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threadedComments/threadedComment5.xml" ContentType="application/vnd.ms-excel.threadedcomments+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updateLinks="never" codeName="ThisWorkbook"/>
  <mc:AlternateContent xmlns:mc="http://schemas.openxmlformats.org/markup-compatibility/2006">
    <mc:Choice Requires="x15">
      <x15ac:absPath xmlns:x15ac="http://schemas.microsoft.com/office/spreadsheetml/2010/11/ac" url="G:\Customer_Engagement\PR24 Reports to Publish\"/>
    </mc:Choice>
  </mc:AlternateContent>
  <xr:revisionPtr revIDLastSave="0" documentId="8_{39298198-7B78-4DE4-B4E4-12142FBDDA9B}" xr6:coauthVersionLast="47" xr6:coauthVersionMax="47" xr10:uidLastSave="{00000000-0000-0000-0000-000000000000}"/>
  <bookViews>
    <workbookView xWindow="-110" yWindow="-110" windowWidth="19420" windowHeight="10420" tabRatio="828" firstSheet="19" xr2:uid="{00000000-000D-0000-FFFF-FFFF00000000}"/>
  </bookViews>
  <sheets>
    <sheet name="Front" sheetId="1" r:id="rId1"/>
    <sheet name="Notes" sheetId="48" r:id="rId2"/>
    <sheet name="General Inputs" sheetId="28" r:id="rId3"/>
    <sheet name="WTP Main" sheetId="29" r:id="rId4"/>
    <sheet name="WTP Summary" sheetId="49" r:id="rId5"/>
    <sheet name="Sources" sheetId="62" r:id="rId6"/>
    <sheet name="WTA ODI SSC" sheetId="57" r:id="rId7"/>
    <sheet name="WTA ODI National" sheetId="60" r:id="rId8"/>
    <sheet name="Pre-PR24 summary" sheetId="61" r:id="rId9"/>
    <sheet name="WTP PR24 SSC" sheetId="56" r:id="rId10"/>
    <sheet name="WTP PR24 WWYW" sheetId="59" r:id="rId11"/>
    <sheet name="WRMP MCDA" sheetId="53" r:id="rId12"/>
    <sheet name="SRO" sheetId="55" r:id="rId13"/>
    <sheet name="PR19 Summary" sheetId="58" r:id="rId14"/>
    <sheet name="WRMP online" sheetId="47" r:id="rId15"/>
    <sheet name="WRMP workshops" sheetId="14" r:id="rId16"/>
    <sheet name="WTP core_DCE" sheetId="21" r:id="rId17"/>
    <sheet name="WTPCore_DCE2" sheetId="45" r:id="rId18"/>
    <sheet name="WTPCore_DCE2_LowBill" sheetId="46" r:id="rId19"/>
    <sheet name="WTP core_Maxdiff" sheetId="27" r:id="rId20"/>
    <sheet name="Customer priorities (2022)" sheetId="52" r:id="rId21"/>
    <sheet name="Contacts (2022)" sheetId="50" r:id="rId22"/>
    <sheet name="Satisfaction (2022)" sheetId="51" r:id="rId23"/>
    <sheet name="PC Slider" sheetId="44" r:id="rId24"/>
    <sheet name="WTPPR14" sheetId="25" state="hidden" r:id="rId25"/>
    <sheet name="ExternalWTP14" sheetId="42" state="hidden" r:id="rId26"/>
    <sheet name="ExternalWTP14_HH" sheetId="43" state="hidden" r:id="rId27"/>
    <sheet name="ExternalWTP14_NHH" sheetId="40" state="hidden" r:id="rId28"/>
    <sheet name="ExternalWTP19" sheetId="20" r:id="rId29"/>
    <sheet name="ExternalWTP19_HH" sheetId="32" r:id="rId30"/>
    <sheet name="ExternalWTP19_NHH" sheetId="39" r:id="rId31"/>
  </sheets>
  <definedNames>
    <definedName name="AllProps_All">'General Inputs'!$D$8</definedName>
    <definedName name="AllProps_CAM">'General Inputs'!$D$7</definedName>
    <definedName name="AllProps_SSW">'General Inputs'!$D$6</definedName>
    <definedName name="AvgHHBill_CAM">'General Inputs'!$B$13</definedName>
    <definedName name="AvgHHBill_SSW">'General Inputs'!$B$12</definedName>
    <definedName name="AvgNHHBill_CAM">'General Inputs'!$C$13</definedName>
    <definedName name="AvgNHHBill_SSW">'General Inputs'!$C$12</definedName>
    <definedName name="CAM_bill_impact_leakage">'General Inputs'!$B$31</definedName>
    <definedName name="CAM_bill_impact_metering">'General Inputs'!$C$31</definedName>
    <definedName name="CAM_Contacts_output_WTP" localSheetId="21">'Contacts (2022)'!$AG$32:$AG$36</definedName>
    <definedName name="CAM_HH_ODI">'WTA ODI SSC'!$P$4:$P$30</definedName>
    <definedName name="CAM_HH_ODI_National">'WTA ODI National'!$P$4:$P$30</definedName>
    <definedName name="CAM_HH_PR24">'WTP PR24 SSC'!$R$5:$R$16</definedName>
    <definedName name="CAM_HH_PR24_WWYW">'WTP PR24 WWYW'!$S$39:$S$45</definedName>
    <definedName name="CAM_MAXWTP_ALL">'WTP Main'!$EQ$79:$EQ$94</definedName>
    <definedName name="CAM_MAXWTP_HH">'WTP Main'!$EQ$31:$EQ$46</definedName>
    <definedName name="CAM_MAXWTP_NHH">'WTP Main'!$EQ$55:$EQ$70</definedName>
    <definedName name="CAM_MINWTP_ALL">'WTP Main'!$EP$79:$EP$94</definedName>
    <definedName name="CAM_MINWTP_HH">'WTP Main'!$EP$31:$EP$46</definedName>
    <definedName name="CAM_MINWTP_NHH">'WTP Main'!$EP$55:$EP$70</definedName>
    <definedName name="CAM_NHH_ODI">'WTA ODI SSC'!$S$4:$S$30</definedName>
    <definedName name="CAM_NHH_ODI_National">'WTA ODI National'!$S$4:$S$30</definedName>
    <definedName name="CAM_NHH_PR24">'WTP PR24 SSC'!$R$22:$R$32</definedName>
    <definedName name="CAM_NHH_PR24_WWYW">'WTP PR24 WWYW'!$V$39:$V$45</definedName>
    <definedName name="CAM_PC_Slider_output_WTP">'PC Slider'!$AG$347:$AG$349</definedName>
    <definedName name="CAM_Priorities_output_WRMP" localSheetId="20">'Customer priorities (2022)'!$S$36:$S$38</definedName>
    <definedName name="CAM_Priorities_output_WTP" localSheetId="20">'Customer priorities (2022)'!$AE$44:$AE$53</definedName>
    <definedName name="CAM_Satisfaction_output_WTP" localSheetId="22">'Satisfaction (2022)'!$AI$24:$AI$27</definedName>
    <definedName name="CAM_WRMP_online_Combined">'WRMP online'!$AD$5:$AD$12</definedName>
    <definedName name="CAM_WRMP_Online_UnitValues">'WRMP online'!$AI$20:$AI$21</definedName>
    <definedName name="CAM_WRMP_workshop_Combined">'WRMP workshops'!$AB$26:$AB$34</definedName>
    <definedName name="CAM_WRMP_Workshop_UnitValues">'WRMP workshops'!$AH$46:$AH$48</definedName>
    <definedName name="CAM_WTP_ALL">'WTP Main'!$EO$79:$EO$94</definedName>
    <definedName name="CAM_WTP_DCE_output_WRMP">WTPCore_DCE2!$Z$69:$Z$71</definedName>
    <definedName name="CAM_WTP_HH">'WTP Main'!$EO$31:$EO$46</definedName>
    <definedName name="CAM_WTP_Maxdiff_output_WRMP">'WTP core_Maxdiff'!$T$133:$T$135</definedName>
    <definedName name="CAM_WTP_NHH">'WTP Main'!$EO$55:$EO$70</definedName>
    <definedName name="CAM_WTPCore_Bursts_Levels">'WTP core_DCE'!$U$70:$W$76</definedName>
    <definedName name="CAM_WTPCore_Bursts_LevelValues">'WTP core_DCE'!$Y$70:$AD$76</definedName>
    <definedName name="CAM_WTPCore_Bursts_MaxDiffUIndex">'WTP core_Maxdiff'!$V$70:$X$76</definedName>
    <definedName name="CAM_WTPCore_Bursts_UnitValues">'WTP core_DCE'!$AH$70:$AJ$76</definedName>
    <definedName name="CAM_WTPCore_Discolour_Levels">'WTP core_DCE'!$U$14:$W$20</definedName>
    <definedName name="CAM_WTPCore_Discolour_LevelValues">'WTP core_DCE'!$Y$14:$AD$20</definedName>
    <definedName name="CAM_WTPCore_Discolour_MaxDiffUIndex">'WTP core_Maxdiff'!$V$14:$X$20</definedName>
    <definedName name="CAM_WTPCore_Discolour_UnitValues">'WTP core_DCE'!$AH$14:$AJ$20</definedName>
    <definedName name="CAM_WTPCore_Drought_Levels">'WTP core_DCE'!$U$56:$W$62</definedName>
    <definedName name="CAM_WTPCore_Drought_LevelValues">'WTP core_DCE'!$Y$56:$AD$62</definedName>
    <definedName name="CAM_WTPCore_Drought_MaxDiffUIndex">'WTP core_Maxdiff'!$V$56:$X$62</definedName>
    <definedName name="CAM_WTPCore_Drought_UnitValues">'WTP core_DCE'!$AH$56:$AJ$62</definedName>
    <definedName name="CAM_WTPCore_Hardness_Levels">'WTP core_DCE'!$U$35:$W$41</definedName>
    <definedName name="CAM_WTPCore_Hardness_LevelValues">'WTP core_DCE'!$Y$35:$AD$41</definedName>
    <definedName name="CAM_WTPCore_Hardness_MaxDiffUIndex">'WTP core_Maxdiff'!$V$35:$X$41</definedName>
    <definedName name="CAM_WTPCore_Hardness_UnitValues">'WTP core_DCE'!$AH$35:$AJ$41</definedName>
    <definedName name="CAM_WTPCore_ImpactRivers_Levels">'WTP core_DCE'!$U$112:$W$118</definedName>
    <definedName name="CAM_WTPCore_ImpactRivers_LevelValues">'WTP core_DCE'!$Y$112:$AD$118</definedName>
    <definedName name="CAM_WTPCore_ImpactRivers_MaxDiffUIndex">'WTP core_Maxdiff'!$V$112:$X$118</definedName>
    <definedName name="CAM_WTPCore_ImpactRivers_UnitValues">'WTP core_DCE'!$AH$112:$AJ$118</definedName>
    <definedName name="CAM_WTPCore_Interruptions_Levels">'WTP core_DCE'!$U$42:$W$48</definedName>
    <definedName name="CAM_WTPCore_Interruptions_LevelValues">'WTP core_DCE'!$Y$42:$AD$48</definedName>
    <definedName name="CAM_WTPCore_Interruptions_MaxDiffUIndex">'WTP core_Maxdiff'!$V$42:$X$48</definedName>
    <definedName name="CAM_WTPCore_Interruptions_UnitValues">'WTP core_DCE'!$AH$42:$AJ$48</definedName>
    <definedName name="CAM_WTPCore_Lead_Levels">'WTP core_DCE'!$U$28:$W$34</definedName>
    <definedName name="CAM_WTPCore_Lead_LevelValues">'WTP core_DCE'!$Y$28:$AD$34</definedName>
    <definedName name="CAM_WTPCore_Lead_MaxDiffUIndex">'WTP core_Maxdiff'!$V$28:$X$34</definedName>
    <definedName name="CAM_WTPCore_Lead_UnitValues">'WTP core_DCE'!$AH$28:$AJ$34</definedName>
    <definedName name="CAM_WTPCore_Leakage_Levels">'WTP core_DCE'!$U$77:$W$83</definedName>
    <definedName name="CAM_WTPCore_Leakage_LevelValues">'WTP core_DCE'!$Y$77:$AD$83</definedName>
    <definedName name="CAM_WTPCore_Leakage_MaxDiffUIndex">'WTP core_Maxdiff'!$V$77:$X$83</definedName>
    <definedName name="CAM_WTPCore_Leakage_UnitValues">'WTP core_DCE'!$AH$77:$AJ$83</definedName>
    <definedName name="CAM_WTPCore_LowPressure_Levels">'WTP core_DCE'!$U$63:$W$69</definedName>
    <definedName name="CAM_WTPCore_LowPressure_LevelValues">'WTP core_DCE'!$Y$63:$AD$69</definedName>
    <definedName name="CAM_WTPCore_LowPressure_MaxDiffUIndex">'WTP core_Maxdiff'!$V$63:$X$69</definedName>
    <definedName name="CAM_WTPCore_LowPressure_UnitValues">'WTP core_DCE'!$AH$63:$AJ$69</definedName>
    <definedName name="CAM_WTPCore_Metering_Levels">'WTP core_DCE'!$U$84:$W$90</definedName>
    <definedName name="CAM_WTPCore_Metering_LevelValues">'WTP core_DCE'!$Y$84:$AD$90</definedName>
    <definedName name="CAM_WTPCore_Metering_MaxDiffUIndex">'WTP core_Maxdiff'!$V$84:$X$90</definedName>
    <definedName name="CAM_WTPCore_Metering_UnitValues">'WTP core_DCE'!$AH$84:$AJ$90</definedName>
    <definedName name="CAM_WTPCore_NotSafe_Levels">'WTP core_DCE'!$U$7:$W$13</definedName>
    <definedName name="CAM_WTPCore_NotSafe_LevelValues">'WTP core_DCE'!$Y$7:$AD$13</definedName>
    <definedName name="CAM_WTPCore_NotSafe_MaxDiffUIndex">'WTP core_Maxdiff'!$V$7:$X$13</definedName>
    <definedName name="CAM_WTPCore_NotSafe_UnitValues">'WTP core_DCE'!$AH$7:$AJ$13</definedName>
    <definedName name="CAM_WTPCore_Renewables_Levels">'WTP core_DCE'!$U$98:$W$104</definedName>
    <definedName name="CAM_WTPCore_Renewables_LevelValues">'WTP core_DCE'!$Y$98:$AD$104</definedName>
    <definedName name="CAM_WTPCore_Renewables_MaxDiffUIndex">'WTP core_Maxdiff'!$V$98:$X$104</definedName>
    <definedName name="CAM_WTPCore_Renewables_UnitValues">'WTP core_DCE'!$AH$98:$AJ$104</definedName>
    <definedName name="CAM_WTPCore_SmartMetering_Levels">'WTP core_DCE'!$U$91:$W$97</definedName>
    <definedName name="CAM_WTPCore_SmartMetering_LevelValues">'WTP core_DCE'!$Y$91:$AD$97</definedName>
    <definedName name="CAM_WTPCore_SmartMetering_MaxDiffUIndex">'WTP core_Maxdiff'!$V$91:$X$97</definedName>
    <definedName name="CAM_WTPCore_SmartMetering_UnitValues">'WTP core_DCE'!$AH$91:$AJ$97</definedName>
    <definedName name="CAM_WTPCore_TasteSmell_Levels">'WTP core_DCE'!$U$21:$W$27</definedName>
    <definedName name="CAM_WTPCore_TasteSmell_LevelValues">'WTP core_DCE'!$Y$21:$AD$27</definedName>
    <definedName name="CAM_WTPCore_TasteSmell_MaxDiffUIndex">'WTP core_Maxdiff'!$V$21:$X$27</definedName>
    <definedName name="CAM_WTPCore_TasteSmell_UnitValues">'WTP core_DCE'!$AH$21:$AJ$27</definedName>
    <definedName name="CAM_WTPCore_TempBan_Levels">'WTP core_DCE'!$U$49:$W$55</definedName>
    <definedName name="CAM_WTPCore_TempBan_LevelValues">'WTP core_DCE'!$Y$49:$AD$55</definedName>
    <definedName name="CAM_WTPCore_TempBan_MaxDiffUIndex">'WTP core_Maxdiff'!$V$49:$X$55</definedName>
    <definedName name="CAM_WTPCore_TempBan_UnitValues">'WTP core_DCE'!$AH$49:$AJ$55</definedName>
    <definedName name="CAM_WTPCore_Traffic_Levels">'WTP core_DCE'!$U$119:$W$125</definedName>
    <definedName name="CAM_WTPCore_Traffic_LevelValues">'WTP core_DCE'!$Y$119:$AD$125</definedName>
    <definedName name="CAM_WTPCore_Traffic_MaxDiffUIndex">'WTP core_Maxdiff'!$V$119:$X$125</definedName>
    <definedName name="CAM_WTPCore_Traffic_UnitValues">'WTP core_DCE'!$AH$119:$AJ$125</definedName>
    <definedName name="CAM_WTPCore_Wildlife_Levels">'WTP core_DCE'!$U$105:$W$111</definedName>
    <definedName name="CAM_WTPCore_Wildlife_LevelValues">'WTP core_DCE'!$Y$105:$AD$111</definedName>
    <definedName name="CAM_WTPCore_Wildlife_MaxDiffUIndex">'WTP core_Maxdiff'!$V$105:$X$111</definedName>
    <definedName name="CAM_WTPCore_Wildlife_UnitValues">'WTP core_DCE'!$AH$105:$AJ$111</definedName>
    <definedName name="CAM_WTPCore2_Bursts_Levels">WTPCore_DCE2!$T$23:$V$24</definedName>
    <definedName name="CAM_WTPCore2_Bursts_LevelValues">WTPCore_DCE2!$W$23:$AB$24</definedName>
    <definedName name="CAM_WTPCore2_Bursts_UnitValues">WTPCore_DCE2!$AF$23:$AH$24</definedName>
    <definedName name="CAM_WTPCore2_Community_UnitValues">WTPCore_DCE2!$AF$35:$AH$36</definedName>
    <definedName name="CAM_WTPCore2_Discolour_Levels">WTPCore_DCE2!$T$9:$V$10</definedName>
    <definedName name="CAM_WTPCore2_Discolour_LevelValues">WTPCore_DCE2!$W$9:$AB$10</definedName>
    <definedName name="CAM_WTPCore2_Discolour_UnitValues">WTPCore_DCE2!$AF$9:$AH$10</definedName>
    <definedName name="CAM_WTPCore2_Educating_UnitValues">WTPCore_DCE2!$AF$37:$AH$38</definedName>
    <definedName name="CAM_WTPCore2_Hardness_Levels">WTPCore_DCE2!$T$15:$V$16</definedName>
    <definedName name="CAM_WTPCore2_Hardness_LevelValues">WTPCore_DCE2!$W$15:$AB$16</definedName>
    <definedName name="CAM_WTPCore2_Hardness_UnitValues">WTPCore_DCE2!$AF$15:$AH$16</definedName>
    <definedName name="CAM_WTPCore2_ImpactRivers_Levels">WTPCore_DCE2!$T$33:$V$34</definedName>
    <definedName name="CAM_WTPCore2_ImpactRivers_LevelValues">WTPCore_DCE2!$W$33:$AB$34</definedName>
    <definedName name="CAM_WTPCore2_ImpactRivers_UnitValues">WTPCore_DCE2!$AF$33:$AH$34</definedName>
    <definedName name="CAM_WTPCore2_Interruptions_Levels">WTPCore_DCE2!$T$17:$V$18</definedName>
    <definedName name="CAM_WTPCore2_Interruptions_LevelValues">WTPCore_DCE2!$W$17:$AB$18</definedName>
    <definedName name="CAM_WTPCore2_Interruptions_UnitValues">WTPCore_DCE2!$AF$17:$AH$18</definedName>
    <definedName name="CAM_WTPCore2_Lead_Levels">WTPCore_DCE2!$T$13:$V$14</definedName>
    <definedName name="CAM_WTPCore2_Lead_LevelValues">WTPCore_DCE2!$W$13:$AB$14</definedName>
    <definedName name="CAM_WTPCore2_Lead_UnitValues">WTPCore_DCE2!$AF$13:$AH$14</definedName>
    <definedName name="CAM_WTPCore2_Leakage_Levels">WTPCore_DCE2!$T$25:$V$26</definedName>
    <definedName name="CAM_WTPCore2_Leakage_LevelValues">WTPCore_DCE2!$W$25:$AB$26</definedName>
    <definedName name="CAM_WTPCore2_Leakage_UnitValues">WTPCore_DCE2!$AF$25:$AH$26</definedName>
    <definedName name="CAM_WTPCore2_LowBill_Bursts_UnitValues">WTPCore_DCE2_LowBill!$AF$15:$AH$15</definedName>
    <definedName name="CAM_WTPCore2_LowBill_Discolour_UnitValues">WTPCore_DCE2_LowBill!$AF$8:$AH$8</definedName>
    <definedName name="CAM_WTPCore2_LowBill_Hardness_UnitValues">WTPCore_DCE2_LowBill!$AF$11:$AH$11</definedName>
    <definedName name="CAM_WTPCore2_LowBill_ImpactRivers_UnitValues">WTPCore_DCE2_LowBill!$AF$20:$AH$20</definedName>
    <definedName name="CAM_WTPCore2_LowBill_Interruptions_UnitValues">WTPCore_DCE2_LowBill!$AF$12:$AH$12</definedName>
    <definedName name="CAM_WTPCore2_LowBill_Lead_UnitValues">WTPCore_DCE2_LowBill!$AF$10:$AH$10</definedName>
    <definedName name="CAM_WTPCore2_LowBill_Leakage_UnitValues">WTPCore_DCE2_LowBill!$AF$16:$AH$16</definedName>
    <definedName name="CAM_WTPCore2_LowBill_LowPressure_UnitValues">WTPCore_DCE2_LowBill!$AF$14:$AH$14</definedName>
    <definedName name="CAM_WTPCore2_LowBill_Metering_UnitValues">WTPCore_DCE2_LowBill!$AF$17:$AH$17</definedName>
    <definedName name="CAM_WTPCore2_LowBill_NotSafe_UnitValues">WTPCore_DCE2_LowBill!$AF$7:$AH$7</definedName>
    <definedName name="CAM_WTPCore2_LowBill_Renewables_UnitValues">WTPCore_DCE2_LowBill!$AF$18:$AH$18</definedName>
    <definedName name="CAM_WTPCore2_LowBill_TasteSmell_UnitValues">WTPCore_DCE2_LowBill!$AF$9:$AH$9</definedName>
    <definedName name="CAM_WTPCore2_LowBill_TempBan_UnitValues">WTPCore_DCE2_LowBill!$AF$13:$AH$13</definedName>
    <definedName name="CAM_WTPCore2_LowBill_Wildlife_UnitValues">WTPCore_DCE2_LowBill!$AF$19:$AH$19</definedName>
    <definedName name="CAM_WTPCore2_LowPressure_Levels">WTPCore_DCE2!$T$21:$V$22</definedName>
    <definedName name="CAM_WTPCore2_LowPressure_LevelValues">WTPCore_DCE2!$W$21:$AB$22</definedName>
    <definedName name="CAM_WTPCore2_LowPressure_UnitValues">WTPCore_DCE2!$AF$21:$AH$22</definedName>
    <definedName name="CAM_WTPCore2_Metering_Levels">WTPCore_DCE2!$T$27:$V$28</definedName>
    <definedName name="CAM_WTPCore2_Metering_LevelValues">WTPCore_DCE2!$W$27:$AB$28</definedName>
    <definedName name="CAM_WTPCore2_Metering_UnitValues">WTPCore_DCE2!$AF$27:$AH$28</definedName>
    <definedName name="CAM_WTPCore2_NotSafe_Levels">WTPCore_DCE2!$T$7:$V$8</definedName>
    <definedName name="CAM_WTPCore2_NotSafe_LevelValues">WTPCore_DCE2!$W$7:$AB$8</definedName>
    <definedName name="CAM_WTPCore2_NotSafe_UnitValues">WTPCore_DCE2!$AF$7:$AH$8</definedName>
    <definedName name="CAM_WTPCore2_Renewables_Levels">WTPCore_DCE2!$T$29:$V$30</definedName>
    <definedName name="CAM_WTPCore2_Renewables_LevelValues">WTPCore_DCE2!$W$29:$AB$30</definedName>
    <definedName name="CAM_WTPCore2_Renewables_UnitValues">WTPCore_DCE2!$AF$29:$AH$30</definedName>
    <definedName name="CAM_WTPCore2_Supporting_UnitValues">WTPCore_DCE2!$AF$39:$AH$40</definedName>
    <definedName name="CAM_WTPCore2_TasteSmell_Levels">WTPCore_DCE2!$T$11:$W$12</definedName>
    <definedName name="CAM_WTPCore2_TasteSmell_LevelValues">WTPCore_DCE2!$W$11:$AB$12</definedName>
    <definedName name="CAM_WTPCore2_TasteSmell_UnitValues">WTPCore_DCE2!$AF$11:$AH$12</definedName>
    <definedName name="CAM_WTPCore2_TempBan_Levels">WTPCore_DCE2!$T$19:$V$20</definedName>
    <definedName name="CAM_WTPCore2_TempBan_LevelValues">WTPCore_DCE2!$W$19:$AB$20</definedName>
    <definedName name="CAM_WTPCore2_TempBan_UnitValues">WTPCore_DCE2!$AF$19:$AH$20</definedName>
    <definedName name="CAM_WTPCore2_Wildlife_Levels">WTPCore_DCE2!$T$31:$V$32</definedName>
    <definedName name="CAM_WTPCore2_Wildlife_LevelValues">WTPCore_DCE2!$W$31:$AB$32</definedName>
    <definedName name="CAM_WTPCore2_Wildlife_UnitValues">WTPCore_DCE2!$AF$31:$AH$32</definedName>
    <definedName name="CAM_WTPMaxdiff_WTP_NHH_Unitvalues">'WTP core_Maxdiff'!$AF$217:$AF$233</definedName>
    <definedName name="CAM_WTPMaxdiff_WTP_Unitvalues">'WTP core_Maxdiff'!$AF$143:$AF$159</definedName>
    <definedName name="Contacts_WTP_options" localSheetId="21">'Contacts (2022)'!$B$32:$B$36</definedName>
    <definedName name="Customer_Contacts" localSheetId="21">'Contacts (2022)'!$A$1</definedName>
    <definedName name="Customer_priorities" localSheetId="20">'Customer priorities (2022)'!$A$1</definedName>
    <definedName name="Customer_Satisfaction" localSheetId="22">'Satisfaction (2022)'!$A$1</definedName>
    <definedName name="Ext_WTP_Unitvalue_groups">ExternalWTP19!$D$5:$F$5</definedName>
    <definedName name="External_WTP">ExternalWTP19!$A$1</definedName>
    <definedName name="ExternalWRW2021_atts">#REF!</definedName>
    <definedName name="ExtWTP_Comps_Discolour">ExternalWTP14!$A$7:$A$18</definedName>
    <definedName name="ExtWTP_Comps_Hardness">ExternalWTP14!$A$83:$A$87</definedName>
    <definedName name="ExtWTP_Comps_ImpactRivers">ExternalWTP14!$A$94:$A$108</definedName>
    <definedName name="ExtWTP_Comps_Interruptions1224">ExternalWTP14!$A$51</definedName>
    <definedName name="ExtWTP_Comps_Interruptions3">ExternalWTP14!$A$32:$A$33</definedName>
    <definedName name="ExtWTP_Comps_Interruptions36">ExternalWTP14!$A$35:$A$43</definedName>
    <definedName name="ExtWTP_Comps_Interruptions612">ExternalWTP14!$A$45:$A$49</definedName>
    <definedName name="ExtWTP_Comps_Leakage">ExternalWTP14!$A$89:$A$92</definedName>
    <definedName name="ExtWTP_Comps_LowPressure">ExternalWTP14!$A$72:$A$74</definedName>
    <definedName name="ExtWTP_Comps_NEUseBan">ExternalWTP14!$A$67:$A$70</definedName>
    <definedName name="ExtWTP_Comps_TasteSmell">ExternalWTP14!$A$20:$A$27</definedName>
    <definedName name="ExtWTP_Comps_TempBan">ExternalWTP14!$A$53:$A$65</definedName>
    <definedName name="ExtWTP_Discolour_UnitValues">ExternalWTP14!$D$7:$F$18</definedName>
    <definedName name="ExtWTP_Group">ExternalWTP19!$D$5:$F$5</definedName>
    <definedName name="ExtWTP_Hardness_UnitValues">ExternalWTP14!$D$83:$F$87</definedName>
    <definedName name="ExtWTP_ImpactRivers_UnitValues">ExternalWTP14!$D$94:$F$108</definedName>
    <definedName name="ExtWTP_Interruptions1224_UnitValues">ExternalWTP14!$D$51:$F$51</definedName>
    <definedName name="ExtWTP_Interruptions3_UnitValues">ExternalWTP14!$D$32:$F$33</definedName>
    <definedName name="ExtWTP_Interruptions36_UnitValues">ExternalWTP14!$D$35:$F$43</definedName>
    <definedName name="ExtWTP_Interruptions612_UnitValues">ExternalWTP14!$D$45:$F$49</definedName>
    <definedName name="ExtWTP_Leakage_UnitValues">ExternalWTP14!$D$89:$F$92</definedName>
    <definedName name="ExtWTP_LowPressure_UnitValues">ExternalWTP14!$D$72:$F$74</definedName>
    <definedName name="ExtWTP_NEUseBan_UnitValues">ExternalWTP14!$D$67:$F$70</definedName>
    <definedName name="ExtWTP_TasteSmell_UnitValues">ExternalWTP14!$D$20:$F$27</definedName>
    <definedName name="ExtWTP_TempBan_UnitValues">ExternalWTP14!$D$53:$F$65</definedName>
    <definedName name="ExtWTP19_Comps_Discolour">ExternalWTP19!$A$7:$A$12</definedName>
    <definedName name="ExtWTP19_Comps_Drought">ExternalWTP19!$A$62:$A$65</definedName>
    <definedName name="ExtWTP19_Comps_Interruptions1224">ExternalWTP19!$A$43:$A$45</definedName>
    <definedName name="ExtWTP19_Comps_Interruptions3">ExternalWTP19!$A$24:$A$26</definedName>
    <definedName name="ExtWTP19_Comps_Interruptions36">ExternalWTP19!$A$28:$A$32</definedName>
    <definedName name="ExtWTP19_Comps_Interruptions48">ExternalWTP19!$A$34</definedName>
    <definedName name="ExtWTP19_Comps_Interruptions612">ExternalWTP19!$A$36:$A$41</definedName>
    <definedName name="ExtWTP19_Comps_Leakage">ExternalWTP19!$A$71:$A$80</definedName>
    <definedName name="ExtWTP19_Comps_LowPressure">ExternalWTP19!$A$67:$A$69</definedName>
    <definedName name="ExtWTP19_Comps_Metering">ExternalWTP19!$A$96:$A$98</definedName>
    <definedName name="ExtWTP19_Comps_NEUseBan">ExternalWTP19!$A$58:$A$60</definedName>
    <definedName name="ExtWTP19_Comps_NotSafe">ExternalWTP19!$A$92:$A$94</definedName>
    <definedName name="ExtWTP19_Comps_SmartMetering">ExternalWTP19!$A$99</definedName>
    <definedName name="ExtWTP19_Comps_TasteSmell">ExternalWTP19!$A$14:$A$20</definedName>
    <definedName name="ExtWTP19_Comps_TempBan">ExternalWTP19!$A$47:$A$56</definedName>
    <definedName name="ExtWTP19_Comps_Traffic">ExternalWTP19!$A$88:$A$90</definedName>
    <definedName name="ExtWTP19_Comps_Wildlife">ExternalWTP19!$A$82:$A$86</definedName>
    <definedName name="ExtWTP19_Discolour_UnitValues">ExternalWTP19!$D$7:$F$12</definedName>
    <definedName name="ExtWTP19_Drought_UnitValues">ExternalWTP19!$D$62:$F$65</definedName>
    <definedName name="ExtWTP19_Interruptions1224_UnitValues">ExternalWTP19!$D$43:$F$45</definedName>
    <definedName name="ExtWTP19_Interruptions3_UnitValues">ExternalWTP19!$D$24:$F$26</definedName>
    <definedName name="ExtWTP19_Interruptions36_UnitValues">ExternalWTP19!$D$28:$F$32</definedName>
    <definedName name="ExtWTP19_Interruptions48_UnitValues">ExternalWTP19!$D$34:$F$34</definedName>
    <definedName name="ExtWTP19_Interruptions612_UnitValues">ExternalWTP19!$D$36:$F$41</definedName>
    <definedName name="ExtWTP19_Leakage_UnitValues">ExternalWTP19!$D$71:$F$80</definedName>
    <definedName name="ExtWTP19_LowPressure_UnitValues">ExternalWTP19!$D$67:$F$69</definedName>
    <definedName name="ExtWTP19_Metering_UnitValues">ExternalWTP19!$D$96:$F$98</definedName>
    <definedName name="ExtWTP19_NEUseBan_UnitValues">ExternalWTP19!$D$58:$F$60</definedName>
    <definedName name="ExtWTP19_NotSafe_UnitValues">ExternalWTP19!$D$92:$F$94</definedName>
    <definedName name="ExtWTP19_SmartMetering_UnitValues">ExternalWTP19!$D$99:$F$99</definedName>
    <definedName name="ExtWTP19_TasteSmell_UnitValues">ExternalWTP19!$D$14:$F$20</definedName>
    <definedName name="ExtWTP19_TempBan_UnitValues">ExternalWTP19!$D$47:$F$56</definedName>
    <definedName name="ExtWTP19_Traffic_UnitValues">ExternalWTP19!$D$88:$F$90</definedName>
    <definedName name="ExtWTP19_Wildlife_UnitValues">ExternalWTP19!$D$82:$F$86</definedName>
    <definedName name="HHProps_All">'General Inputs'!$B$8</definedName>
    <definedName name="HHProps_CAM">'General Inputs'!$B$7</definedName>
    <definedName name="HHProps_SSW">'General Inputs'!$B$6</definedName>
    <definedName name="Highest_servicelevel_CAM_interruptions" localSheetId="12">SRO!#REF!</definedName>
    <definedName name="Highest_servicelevel_CAM_interruptions" localSheetId="11">'WRMP MCDA'!#REF!</definedName>
    <definedName name="Highest_servicelevel_CAM_interruptions">'PC Slider'!$D$13</definedName>
    <definedName name="Highest_servicelevel_CAM_leakage" localSheetId="12">SRO!#REF!</definedName>
    <definedName name="Highest_servicelevel_CAM_leakage" localSheetId="11">'WRMP MCDA'!#REF!</definedName>
    <definedName name="Highest_servicelevel_CAM_leakage">'PC Slider'!$D$10</definedName>
    <definedName name="Highest_servicelevel_CAM_protecting_wildlife" localSheetId="12">SRO!#REF!</definedName>
    <definedName name="Highest_servicelevel_CAM_protecting_wildlife" localSheetId="11">'WRMP MCDA'!#REF!</definedName>
    <definedName name="Highest_servicelevel_CAM_protecting_wildlife">'PC Slider'!$D$7</definedName>
    <definedName name="Highest_servicelevel_SSW_interruptions" localSheetId="12">SRO!#REF!</definedName>
    <definedName name="Highest_servicelevel_SSW_interruptions" localSheetId="11">'WRMP MCDA'!#REF!</definedName>
    <definedName name="Highest_servicelevel_SSW_interruptions">'PC Slider'!$C$13</definedName>
    <definedName name="Highest_servicelevel_SSW_leakage" localSheetId="12">SRO!#REF!</definedName>
    <definedName name="Highest_servicelevel_SSW_leakage" localSheetId="11">'WRMP MCDA'!#REF!</definedName>
    <definedName name="Highest_servicelevel_SSW_leakage">'PC Slider'!$C$10</definedName>
    <definedName name="Highest_servicelevel_SSW_protecting_wildlife" localSheetId="12">SRO!#REF!</definedName>
    <definedName name="Highest_servicelevel_SSW_protecting_wildlife" localSheetId="11">'WRMP MCDA'!#REF!</definedName>
    <definedName name="Highest_servicelevel_SSW_protecting_wildlife">'PC Slider'!$C$7</definedName>
    <definedName name="LLowest_servicelevel_CAM_protecting_wildlife" localSheetId="12">SRO!#REF!</definedName>
    <definedName name="LLowest_servicelevel_CAM_protecting_wildlife" localSheetId="11">'WRMP MCDA'!#REF!</definedName>
    <definedName name="LLowest_servicelevel_CAM_protecting_wildlife">'PC Slider'!$D$8</definedName>
    <definedName name="LMH">'WTP core_Maxdiff'!$H$6:$J$6</definedName>
    <definedName name="Lowest_bill_CAM_interruptions" localSheetId="12">SRO!#REF!</definedName>
    <definedName name="Lowest_bill_CAM_interruptions" localSheetId="11">'WRMP MCDA'!#REF!</definedName>
    <definedName name="Lowest_bill_CAM_interruptions">'PC Slider'!$D$12</definedName>
    <definedName name="Lowest_bill_CAM_leakage" localSheetId="12">SRO!#REF!</definedName>
    <definedName name="Lowest_bill_CAM_leakage" localSheetId="11">'WRMP MCDA'!#REF!</definedName>
    <definedName name="Lowest_bill_CAM_leakage">'PC Slider'!$D$9</definedName>
    <definedName name="Lowest_bill_CAM_protecting_wildlife" localSheetId="12">SRO!#REF!</definedName>
    <definedName name="Lowest_bill_CAM_protecting_wildlife" localSheetId="11">'WRMP MCDA'!#REF!</definedName>
    <definedName name="Lowest_bill_CAM_protecting_wildlife">'PC Slider'!$D$6</definedName>
    <definedName name="Lowest_bill_SSW_interruptions" localSheetId="12">SRO!#REF!</definedName>
    <definedName name="Lowest_bill_SSW_interruptions" localSheetId="11">'WRMP MCDA'!#REF!</definedName>
    <definedName name="Lowest_bill_SSW_interruptions">'PC Slider'!$C$12</definedName>
    <definedName name="Lowest_bill_SSW_leakage" localSheetId="12">SRO!#REF!</definedName>
    <definedName name="Lowest_bill_SSW_leakage" localSheetId="11">'WRMP MCDA'!#REF!</definedName>
    <definedName name="Lowest_bill_SSW_leakage">'PC Slider'!$C$9</definedName>
    <definedName name="Lowest_bill_SSW_protecting_wildlife" localSheetId="12">SRO!#REF!</definedName>
    <definedName name="Lowest_bill_SSW_protecting_wildlife" localSheetId="11">'WRMP MCDA'!#REF!</definedName>
    <definedName name="Lowest_bill_SSW_protecting_wildlife">'PC Slider'!$C$6</definedName>
    <definedName name="Lowest_servicelevel_CAM_interruptions" localSheetId="12">SRO!#REF!</definedName>
    <definedName name="Lowest_servicelevel_CAM_interruptions" localSheetId="11">'WRMP MCDA'!#REF!</definedName>
    <definedName name="Lowest_servicelevel_CAM_interruptions">'PC Slider'!$D$14</definedName>
    <definedName name="Lowest_servicelevel_CAM_leakage" localSheetId="12">SRO!#REF!</definedName>
    <definedName name="Lowest_servicelevel_CAM_leakage" localSheetId="11">'WRMP MCDA'!#REF!</definedName>
    <definedName name="Lowest_servicelevel_CAM_leakage">'PC Slider'!$D$11</definedName>
    <definedName name="Lowest_servicelevel_CAM_protecting_wildlife" localSheetId="12">SRO!#REF!</definedName>
    <definedName name="Lowest_servicelevel_CAM_protecting_wildlife" localSheetId="11">'WRMP MCDA'!#REF!</definedName>
    <definedName name="Lowest_servicelevel_CAM_protecting_wildlife">'PC Slider'!$D$8</definedName>
    <definedName name="Lowest_servicelevel_SSW_interruptions" localSheetId="12">SRO!#REF!</definedName>
    <definedName name="Lowest_servicelevel_SSW_interruptions" localSheetId="11">'WRMP MCDA'!#REF!</definedName>
    <definedName name="Lowest_servicelevel_SSW_interruptions">'PC Slider'!$C$14</definedName>
    <definedName name="Lowest_servicelevel_SSW_leakage" localSheetId="12">SRO!#REF!</definedName>
    <definedName name="Lowest_servicelevel_SSW_leakage" localSheetId="11">'WRMP MCDA'!#REF!</definedName>
    <definedName name="Lowest_servicelevel_SSW_leakage">'PC Slider'!$C$11</definedName>
    <definedName name="Lowest_servicelevel_SSW_protecting_wildlife" localSheetId="12">SRO!#REF!</definedName>
    <definedName name="Lowest_servicelevel_SSW_protecting_wildlife" localSheetId="11">'WRMP MCDA'!#REF!</definedName>
    <definedName name="Lowest_servicelevel_SSW_protecting_wildlife">'PC Slider'!$C$8</definedName>
    <definedName name="MainWTPResults">'WTP Main'!$EX$76:$EX$94</definedName>
    <definedName name="NHHProps_All">'General Inputs'!$C$8</definedName>
    <definedName name="NHHProps_CAM">'General Inputs'!$C$7</definedName>
    <definedName name="NHHProps_SSW">'General Inputs'!$C$6</definedName>
    <definedName name="ODI_National_Options">'WTA ODI National'!$A$4:$A$30</definedName>
    <definedName name="ODI_Options">'WTA ODI SSC'!$A$4:$A$30</definedName>
    <definedName name="PC_Slider_WTP_options" localSheetId="12">SRO!#REF!</definedName>
    <definedName name="PC_Slider_WTP_options" localSheetId="11">'WRMP MCDA'!#REF!</definedName>
    <definedName name="PC_Slider_WTP_options">'PC Slider'!$B$347:$B$349</definedName>
    <definedName name="PR14_CompA_NHH_UnitValues">ExternalWTP14_NHH!$R$5:$R$6</definedName>
    <definedName name="PR14_CompA_NHH_UnitValues_CAM">ExternalWTP14_NHH!$AE$5:$AE$6</definedName>
    <definedName name="PR14_CompA_UnitValues">ExternalWTP14_HH!$R$5:$R$6</definedName>
    <definedName name="PR14_CompA_UnitValues_CAM">ExternalWTP14_HH!$AE$5:$AE$6</definedName>
    <definedName name="PR14_CompA_WTPCore_Options">ExternalWTP14_HH!$B$5:$B$6</definedName>
    <definedName name="PR14_CompB_NHH_UnitValues">ExternalWTP14_NHH!$R$10:$R$11</definedName>
    <definedName name="PR14_CompB_NHH_UnitValues_CAM">ExternalWTP14_NHH!$AE$10:$AE$11</definedName>
    <definedName name="PR14_CompB_UnitValues">ExternalWTP14_HH!$R$10:$R$11</definedName>
    <definedName name="PR14_CompB_UnitValues_CAM">ExternalWTP14_HH!$AE$10:$AE$11</definedName>
    <definedName name="PR14_CompB_WTPCore_Options">ExternalWTP14_HH!$B$10:$B$11</definedName>
    <definedName name="PR14_CompC_NHH_UnitValues">ExternalWTP14_NHH!$R$15:$R$17</definedName>
    <definedName name="PR14_CompC_NHH_UnitValues_CAM">ExternalWTP14_NHH!$AE$15:$AE$17</definedName>
    <definedName name="PR14_CompC_UnitValues">ExternalWTP14_HH!$R$15:$R$17</definedName>
    <definedName name="PR14_CompC_UnitValues_CAM">ExternalWTP14_HH!$AE$15:$AE$17</definedName>
    <definedName name="PR14_CompC_WTPCore_Options">ExternalWTP14_HH!$B$15:$B$17</definedName>
    <definedName name="PR14_CompD_NHH_UnitValues">ExternalWTP14_NHH!$R$21:$R$23</definedName>
    <definedName name="PR14_CompD_NHH_UnitValues_CAM">ExternalWTP14_NHH!$AE$21:$AE$23</definedName>
    <definedName name="PR14_CompD_UnitValues">ExternalWTP14_HH!$R$21:$R$23</definedName>
    <definedName name="PR14_CompD_UnitValues_CAM">ExternalWTP14_HH!$AE$21:$AE$23</definedName>
    <definedName name="PR14_CompD_WTPCore_Options">ExternalWTP14_HH!$B$21:$B$23</definedName>
    <definedName name="PR14_CompE_NHH_UnitValues">ExternalWTP14_NHH!$R$27:$R$29</definedName>
    <definedName name="PR14_CompE_NHH_UnitValues_CAM">ExternalWTP14_NHH!$AE$27:$AE$29</definedName>
    <definedName name="PR14_CompE_UnitValues">ExternalWTP14_HH!$R$27:$R$29</definedName>
    <definedName name="PR14_CompE_UnitValues_CAM">ExternalWTP14_HH!$AE$27:$AE$29</definedName>
    <definedName name="PR14_CompE_WTPCore_Options">ExternalWTP14_HH!$B$27:$B$29</definedName>
    <definedName name="PR14_CompF_NHH_UnitValues">ExternalWTP14_NHH!$R$33</definedName>
    <definedName name="PR14_CompF_NHH_UnitValues_CAM">ExternalWTP14_NHH!$AE$33</definedName>
    <definedName name="PR14_CompF_UnitValues">ExternalWTP14_HH!$R$33</definedName>
    <definedName name="PR14_CompF_UnitValues_CAM">ExternalWTP14_HH!$AE$33</definedName>
    <definedName name="PR14_CompF_WTPCore_Options">ExternalWTP14_HH!$B$33</definedName>
    <definedName name="PR14_CompG_NHH_UnitValues">ExternalWTP14_NHH!$R$37:$R$40</definedName>
    <definedName name="PR14_CompG_NHH_UnitValues_CAM">ExternalWTP14_NHH!$AE$37:$AE$40</definedName>
    <definedName name="PR14_CompG_UnitValues">ExternalWTP14_HH!$R$37:$R$40</definedName>
    <definedName name="PR14_CompG_UnitValues_CAM">ExternalWTP14_HH!$AE$37:$AE$40</definedName>
    <definedName name="PR14_CompG_WTPCore_Options">ExternalWTP14_HH!$B$37:$B$40</definedName>
    <definedName name="PR14_CompH_NHH_UnitValues">ExternalWTP14_NHH!$R$44:$R$45</definedName>
    <definedName name="PR14_CompH_NHH_UnitValues_CAM">ExternalWTP14_NHH!$AE$44:$AE$45</definedName>
    <definedName name="PR14_CompH_UnitValues">ExternalWTP14_HH!$R$44:$R$45</definedName>
    <definedName name="PR14_CompH_UnitValues_CAM">ExternalWTP14_HH!$AE$44:$AE$45</definedName>
    <definedName name="PR14_CompH_WTPCore_Options">ExternalWTP14_HH!$B$44:$B$45</definedName>
    <definedName name="PR14_CompI_NHH_UnitValues">ExternalWTP14_NHH!$R$49:$R$50</definedName>
    <definedName name="PR14_CompI_NHH_UnitValues_CAM">ExternalWTP14_NHH!$AE$49:$AE$50</definedName>
    <definedName name="PR14_CompI_NHH_WTPCore_Options">ExternalWTP14_NHH!$B$49:$B$50</definedName>
    <definedName name="PR14_CompI_UnitValues">ExternalWTP14_HH!$R$49:$R$51</definedName>
    <definedName name="PR14_CompI_UnitValues_CAM">ExternalWTP14_HH!$AE$49:$AE$51</definedName>
    <definedName name="PR14_CompI_WTPCore_Options">ExternalWTP14_HH!$B$49:$B$51</definedName>
    <definedName name="PR14_CompJ_NHH_UnitValues">ExternalWTP14_NHH!$R$54:$R$57</definedName>
    <definedName name="PR14_CompJ_NHH_UnitValues_CAM">ExternalWTP14_NHH!$AE$54:$AE$57</definedName>
    <definedName name="PR14_CompJ_UnitValues">ExternalWTP14_HH!$R$55:$R$58</definedName>
    <definedName name="PR14_CompJ_UnitValues_CAM">ExternalWTP14_HH!$AE$55:$AE$58</definedName>
    <definedName name="PR14_CompJ_WTPCore_Options">ExternalWTP14_HH!$B$55:$B$58</definedName>
    <definedName name="PR14_CompK_NHH_UnitValues">ExternalWTP14_NHH!$R$61:$R$64</definedName>
    <definedName name="PR14_CompK_NHH_UnitValues_CAM">ExternalWTP14_NHH!$AE$61:$AE$64</definedName>
    <definedName name="PR14_CompK_UnitValues">ExternalWTP14_HH!$R$62:$R$65</definedName>
    <definedName name="PR14_CompK_UnitValues_CAM">ExternalWTP14_HH!$AE$62:$AE$65</definedName>
    <definedName name="PR14_CompK_WTPCore_Options">ExternalWTP14_HH!$B$62:$B$65</definedName>
    <definedName name="PR14_CompL_NHH_UnitValues">ExternalWTP14_NHH!$R$68:$R$72</definedName>
    <definedName name="PR14_CompL_NHH_UnitValues_CAM">ExternalWTP14_NHH!$AE$68:$AE$72</definedName>
    <definedName name="PR14_CompL_UnitValues">ExternalWTP14_HH!$R$69:$R$73</definedName>
    <definedName name="PR14_CompL_UnitValues_CAM">ExternalWTP14_HH!$AE$69:$AE$73</definedName>
    <definedName name="PR14_CompL_WTPCore_Options">ExternalWTP14_HH!$B$69:$B$73</definedName>
    <definedName name="PR14_CompM_NHH_UnitValues">ExternalWTP14_NHH!$R$76:$R$79</definedName>
    <definedName name="PR14_CompM_NHH_UnitValues_CAM">ExternalWTP14_NHH!$AE$76:$AE$79</definedName>
    <definedName name="PR14_CompM_NHH_WTPCore_Options">ExternalWTP14_NHH!$B$76:$B$79</definedName>
    <definedName name="PR14_CompM_UnitValues">ExternalWTP14_HH!$R$77:$R$81</definedName>
    <definedName name="PR14_CompM_UnitValues_CAM">ExternalWTP14_HH!$AE$77:$AE$81</definedName>
    <definedName name="PR14_CompM_WTPCore_Options">ExternalWTP14_HH!$B$77:$B$81</definedName>
    <definedName name="PR14_CompN_NHH_UnitValues">ExternalWTP14_NHH!$R$83:$R$86</definedName>
    <definedName name="PR14_CompN_NHH_UnitValues_CAM">ExternalWTP14_NHH!$AE$83:$AE$86</definedName>
    <definedName name="PR14_CompN_UnitValues">ExternalWTP14_HH!$R$85:$R$88</definedName>
    <definedName name="PR14_CompN_UnitValues_CAM">ExternalWTP14_HH!$AE$85:$AE$88</definedName>
    <definedName name="PR14_CompN_WTPCore_Options">ExternalWTP14_HH!$B$85:$B$88</definedName>
    <definedName name="PR14_CompO_NHH_UnitValues">ExternalWTP14_NHH!$R$90:$R$95</definedName>
    <definedName name="PR14_CompO_NHH_UnitValues_CAM">ExternalWTP14_NHH!$AE$90:$AE$95</definedName>
    <definedName name="PR14_CompO_UnitValues">ExternalWTP14_HH!$R$92:$R$97</definedName>
    <definedName name="PR14_CompO_UnitValues_CAM">ExternalWTP14_HH!$AE$92:$AE$97</definedName>
    <definedName name="PR14_CompO_WTPCore_Options">ExternalWTP14_HH!$B$92:$B$97</definedName>
    <definedName name="PR19_CompA_UnitValues">ExternalWTP19_HH!$R$5:$R$8</definedName>
    <definedName name="PR19_CompA_UnitValues_CAM">ExternalWTP19_HH!$AE$5:$AE$8</definedName>
    <definedName name="PR19_CompA_UnitValues_NHH">ExternalWTP19_NHH!$R$5:$R$8</definedName>
    <definedName name="PR19_CompA_UnitValues_NHH_CAM">ExternalWTP19_NHH!$AE$5:$AE$8</definedName>
    <definedName name="PR19_CompA_WTPCore_Options">ExternalWTP19_HH!$B$5:$B$8</definedName>
    <definedName name="PR19_CompB_UnitValues">ExternalWTP19_HH!$R$12:$R$14</definedName>
    <definedName name="PR19_CompB_UnitValues_CAM">ExternalWTP19_HH!$AE$12:$AE$14</definedName>
    <definedName name="PR19_CompB_UnitValues_NHH">ExternalWTP19_NHH!$R$12:$R$14</definedName>
    <definedName name="PR19_CompB_UnitValues_NHH_CAM">ExternalWTP19_NHH!$AE$12:$AE$14</definedName>
    <definedName name="PR19_CompB_WTPCore_Options">ExternalWTP19_HH!$B$12:$B$14</definedName>
    <definedName name="PR19_CompC_UnitValues">ExternalWTP19_HH!$R$18:$R$28</definedName>
    <definedName name="PR19_CompC_UnitValues_CAM">ExternalWTP19_HH!$AE$18:$AE$28</definedName>
    <definedName name="PR19_CompC_UnitValues_NHH">ExternalWTP19_NHH!$R$18:$R$27</definedName>
    <definedName name="PR19_CompC_UnitValues_NHH_CAM">ExternalWTP19_NHH!$AE$18:$AE$27</definedName>
    <definedName name="PR19_CompC_WTPCore_Options">ExternalWTP19_HH!$B$18:$B$28</definedName>
    <definedName name="PR19_CompD_UnitValues">ExternalWTP19_HH!$R$32:$R$42</definedName>
    <definedName name="PR19_CompD_UnitValues_CAM">ExternalWTP19_HH!$AE$32:$AE$42</definedName>
    <definedName name="PR19_CompD_UnitValues_NHH">ExternalWTP19_NHH!$R$31:$R$40</definedName>
    <definedName name="PR19_CompD_UnitValues_NHH_CAM">ExternalWTP19_NHH!$AE$31:$AE$40</definedName>
    <definedName name="PR19_CompD_WTPCore_Options">ExternalWTP19_HH!$B$32:$B$42</definedName>
    <definedName name="PR19_CompE_UnitValues">ExternalWTP19_HH!$R$46:$R$50</definedName>
    <definedName name="PR19_CompE_UnitValues_CAM">ExternalWTP19_HH!$AE$46:$AE$50</definedName>
    <definedName name="PR19_CompE_UnitValues_NHH">ExternalWTP19_NHH!$R$44:$R$48</definedName>
    <definedName name="PR19_CompE_UnitValues_NHH_CAM">ExternalWTP19_NHH!$AE$44:$AE$48</definedName>
    <definedName name="PR19_CompE_WTPCore_Options">ExternalWTP19_HH!$B$46:$B$50</definedName>
    <definedName name="PR19_CompF_UnitValues">ExternalWTP19_HH!$R$54:$R$54</definedName>
    <definedName name="PR19_CompF_UnitValues_CAM">ExternalWTP19_HH!$AE$54:$AE$54</definedName>
    <definedName name="PR19_CompF_WTPCore_Options">ExternalWTP19_HH!$B$54:$B$54</definedName>
    <definedName name="PR19_CompG_UnitValues">ExternalWTP19_HH!$R$58:$R$61</definedName>
    <definedName name="PR19_CompG_UnitValues_CAM">ExternalWTP19_HH!$AE$58:$AE$61</definedName>
    <definedName name="PR19_CompG_UnitValues_NHH">ExternalWTP19_NHH!$R$52:$R$55</definedName>
    <definedName name="PR19_CompG_UnitValues_NHH_CAM">ExternalWTP19_NHH!$AE$52:$AE$55</definedName>
    <definedName name="PR19_CompG_WTPCore_Options">ExternalWTP19_HH!$B$58:$B$61</definedName>
    <definedName name="PR19_CompI_UnitValues">ExternalWTP19_HH!$R$65:$R$68</definedName>
    <definedName name="PR19_CompI_UnitValues_CAM">ExternalWTP19_HH!$AE$65:$AE$68</definedName>
    <definedName name="PR19_CompI_UnitValues_NHH">ExternalWTP19_NHH!$R$59:$R$62</definedName>
    <definedName name="PR19_CompI_UnitValues_NHH_CAM">ExternalWTP19_NHH!$AE$59:$AE$62</definedName>
    <definedName name="PR19_CompI_WTPCore_Options">ExternalWTP19_HH!$B$65:$B$68</definedName>
    <definedName name="PR19_CompJ_UnitValues">ExternalWTP19_HH!$R$72:$R$75</definedName>
    <definedName name="PR19_CompJ_UnitValues_CAM">ExternalWTP19_HH!$AE$72:$AE$75</definedName>
    <definedName name="PR19_CompJ_UnitValues_NHH">ExternalWTP19_NHH!$R$66:$R$69</definedName>
    <definedName name="PR19_CompJ_UnitValues_NHH_CAM">ExternalWTP19_NHH!$AE$66:$AE$69</definedName>
    <definedName name="PR19_CompJ_WTPCore_Options">ExternalWTP19_HH!$B$72:$B$75</definedName>
    <definedName name="PR19_CompL_UnitValues">ExternalWTP19_HH!$R$79:$R$86</definedName>
    <definedName name="PR19_CompL_UnitValues_CAM">ExternalWTP19_HH!$AE$79:$AE$86</definedName>
    <definedName name="PR19_CompL_UnitValues_NHH">ExternalWTP19_NHH!$R$73:$R$80</definedName>
    <definedName name="PR19_CompL_UnitValues_NHH_CAM">ExternalWTP19_NHH!$AE$73:$AE$80</definedName>
    <definedName name="PR19_CompL_WTPCore_Options">ExternalWTP19_HH!$B$79:$B$86</definedName>
    <definedName name="PR19_CompM_UnitValues">ExternalWTP19_HH!$R$90:$R$94</definedName>
    <definedName name="PR19_CompM_UnitValues_CAM">ExternalWTP19_HH!$AE$90:$AE$94</definedName>
    <definedName name="PR19_CompM_UnitValues_NHH">ExternalWTP19_NHH!$R$84:$R$88</definedName>
    <definedName name="PR19_CompM_UnitValues_NHH_CAM">ExternalWTP19_NHH!$AE$84:$AE$88</definedName>
    <definedName name="PR19_CompM_WTPCore_Options">ExternalWTP19_HH!$B$90:$B$94</definedName>
    <definedName name="PR19_CompP_UnitValues">ExternalWTP19_HH!$R$98:$R$100</definedName>
    <definedName name="PR19_CompP_UnitValues_CAM">ExternalWTP19_HH!$AE$98:$AE$100</definedName>
    <definedName name="PR19_CompP_UnitValues_NHH">ExternalWTP19_NHH!$R$92:$R$93</definedName>
    <definedName name="PR19_CompP_UnitValues_NHH_CAM">ExternalWTP19_NHH!$AE$92:$AE$93</definedName>
    <definedName name="PR19_CompP_WTPCore_Options">ExternalWTP19_HH!$B$98:$B$100</definedName>
    <definedName name="PR19_CompQ_UnitValues">ExternalWTP19_HH!$R$104:$R$108</definedName>
    <definedName name="PR19_CompQ_UnitValues_CAM">ExternalWTP19_HH!$AE$104:$AE$108</definedName>
    <definedName name="PR19_CompQ_WTPCore_Options">ExternalWTP19_HH!$B$104:$B$108</definedName>
    <definedName name="PR19_CompT_UnitValues">ExternalWTP19_HH!$R$112:$R$113</definedName>
    <definedName name="PR19_CompT_UnitValues_CAM">ExternalWTP19_HH!$AE$112:$AE$113</definedName>
    <definedName name="PR19_CompT_UnitValues_NHH">ExternalWTP19_NHH!$R$97:$R$98</definedName>
    <definedName name="PR19_CompT_UnitValues_NHH_CAM">ExternalWTP19_NHH!$AE$97:$AE$98</definedName>
    <definedName name="PR19_CompT_WTPCore_Options">ExternalWTP19_HH!$B$112:$B$113</definedName>
    <definedName name="PR19_CompU_UnitValues">ExternalWTP19_HH!$R$117:$R$118</definedName>
    <definedName name="PR19_CompU_UnitValues_CAM">ExternalWTP19_HH!$AE$117:$AE$118</definedName>
    <definedName name="PR19_CompU_UnitValues_NHH">ExternalWTP19_NHH!$R$102:$R$103</definedName>
    <definedName name="PR19_CompU_UnitValues_NHH_CAM">ExternalWTP19_NHH!$AE$102:$AE$103</definedName>
    <definedName name="PR19_CompU_WTPCore_Options">ExternalWTP19_HH!$B$117:$B$118</definedName>
    <definedName name="PR19Pivot">'WTP Main'!$I$3</definedName>
    <definedName name="PR24_HHOptions">'WTP PR24 SSC'!$A$5:$A$16</definedName>
    <definedName name="PR24_HHOptions_WWYW">'WTP PR24 WWYW'!$P$39:$P$45</definedName>
    <definedName name="PR24_NHHOptions">'WTP PR24 SSC'!$A$22:$A$32</definedName>
    <definedName name="PR24_NHHOptions_WWYW">'WTP PR24 WWYW'!$P$39:$P$45</definedName>
    <definedName name="Priorities_WRMP_options" localSheetId="20">'Customer priorities (2022)'!$B$36:$B$38</definedName>
    <definedName name="Priorities_WTP_options" localSheetId="20">'Customer priorities (2022)'!$B$44:$B$53</definedName>
    <definedName name="RAG">'General Inputs'!$A$19:$A$23</definedName>
    <definedName name="RAGWeights">'General Inputs'!$A$19:$B$23</definedName>
    <definedName name="Satisfaction_WTP_options" localSheetId="22">'Satisfaction (2022)'!$C$24:$C$27</definedName>
    <definedName name="SSC_MAXWTP_ALL">'WTP Main'!$EZ$79:$EZ$94</definedName>
    <definedName name="SSC_MAXWTP_HH">'WTP Main'!$EZ$31:$EZ$46</definedName>
    <definedName name="SSC_MAXWTP_NHH">'WTP Main'!$EZ$55:$EZ$70</definedName>
    <definedName name="SSC_MINWTP_ALL">'WTP Main'!$EY$79:$EY$94</definedName>
    <definedName name="SSC_MINWTP_HH">'WTP Main'!$EY$31:$EY$46</definedName>
    <definedName name="SSC_MINWTP_NHH">'WTP Main'!$EY$55:$EY$70</definedName>
    <definedName name="SSC_WTP_ALL">'WTP Main'!$EX$79:$EX$94</definedName>
    <definedName name="SSC_WTP_HH">'WTP Main'!$EX$31:$EX$46</definedName>
    <definedName name="SSC_WTP_MAIN_RESULTS">'WTP Main'!$EX$76:$FD$94</definedName>
    <definedName name="SSC_WTP_NHH">'WTP Main'!$EX$55:$EX$70</definedName>
    <definedName name="SSC_WTP_OPTIONS">'WTP Main'!$A$31:$A$46</definedName>
    <definedName name="SSW_bill_impact_leakage">'General Inputs'!$B$30</definedName>
    <definedName name="SSW_bill_impact_metering">'General Inputs'!$C$30</definedName>
    <definedName name="SSW_Contacts_output_WTP" localSheetId="21">'Contacts (2022)'!$R$32:$R$36</definedName>
    <definedName name="SSW_HH_ODI">'WTA ODI SSC'!$O$4:$O$30</definedName>
    <definedName name="SSW_HH_ODI_National">'WTA ODI National'!$O$4:$O$30</definedName>
    <definedName name="SSW_HH_PR24">'WTP PR24 SSC'!$Q$5:$Q$16</definedName>
    <definedName name="SSW_HH_PR24_WWYW">'WTP PR24 WWYW'!$R$39:$R$45</definedName>
    <definedName name="SSW_MAXWTP_ALL">'WTP Main'!$BG$79:$BG$94</definedName>
    <definedName name="SSW_MAXWTP_HH">'WTP Main'!$BG$31:$BG$46</definedName>
    <definedName name="SSW_MAXWTP_NHH">'WTP Main'!$BG$55:$BG$70</definedName>
    <definedName name="SSW_MINWTP_ALL">'WTP Main'!$BF$79:$BF$94</definedName>
    <definedName name="SSW_MINWTP_HH">'WTP Main'!$BF$31:$BF$46</definedName>
    <definedName name="SSW_MINWTP_NHH">'WTP Main'!$BF$55:$BF$70</definedName>
    <definedName name="SSW_NHH_ODI">'WTA ODI SSC'!$R$4:$R$30</definedName>
    <definedName name="SSW_NHH_ODI_National">'WTA ODI National'!$R$4:$R$30</definedName>
    <definedName name="SSW_NHH_PR24">'WTP PR24 SSC'!$Q$22:$Q$32</definedName>
    <definedName name="SSW_NHH_PR24_WWYW">'WTP PR24 WWYW'!$U$39:$U$45</definedName>
    <definedName name="SSW_PC_Slider_output_WTP">'PC Slider'!$R$347:$R$349</definedName>
    <definedName name="SSW_PR14_Groups">WTPPR14!$D$6:$D$8</definedName>
    <definedName name="SSW_PR14_LMH">WTPPR14!$O$3:$Q$3</definedName>
    <definedName name="SSW_PR14_WTP_Discolour_UnitValues">WTPPR14!$O$9:$Q$10</definedName>
    <definedName name="SSW_PR14_WTP_Hardness_UnitValues">WTPPR14!$O$15:$Q$16</definedName>
    <definedName name="SSW_PR14_WTP_Interruptions_UnitValues">WTPPR14!$O$25:$Q$26</definedName>
    <definedName name="SSW_PR14_WTP_TasteSmell_UnitValues">WTPPR14!$O$6:$Q$7</definedName>
    <definedName name="SSW_PR14_WTP_TempBan_UnitValues">WTPPR14!$O$29:$Q$30</definedName>
    <definedName name="SSW_PR14_WTPCore_Group">WTPPR14!$D$6:$D$7</definedName>
    <definedName name="SSW_PR14_WTPCore_NHH_UnitValues">WTPPR14!$S$60:$S$64</definedName>
    <definedName name="SSW_PR14_WTPCore_Options">WTPPR14!$C$51:$C$55</definedName>
    <definedName name="SSW_PR14_WTPCore_UnitValues">WTPPR14!$S$51:$S$55</definedName>
    <definedName name="SSW_Priorities_output_WRMP" localSheetId="20">'Customer priorities (2022)'!$E$36:$E$38</definedName>
    <definedName name="SSW_Priorities_output_WTP" localSheetId="20">'Customer priorities (2022)'!$Q$44:$Q$53</definedName>
    <definedName name="SSW_Satisfaction_output_WTP" localSheetId="22">'Satisfaction (2022)'!$S$24:$S$27</definedName>
    <definedName name="SSW_WRMP_Online_Combined">'WRMP online'!$M$5:$M$12</definedName>
    <definedName name="SSW_WRMP_Online_UnitValues">'WRMP online'!$R$20:$R$21</definedName>
    <definedName name="SSW_WRMP_Workshop_Combined">'WRMP workshops'!$K$26:$K$34</definedName>
    <definedName name="SSW_WRMP_Workshop_UnitValues">'WRMP workshops'!$R$46:$R$48</definedName>
    <definedName name="SSW_WTP_ALL">'WTP Main'!$BE$79:$BE$94</definedName>
    <definedName name="SSW_WTP_DCE_output_WRMP">WTPCore_DCE2!$J$69:$J$71</definedName>
    <definedName name="SSW_WTP_HH">'WTP Main'!$BE$31:$BE$46</definedName>
    <definedName name="SSW_WTP_Maxdiff_output_WRMP">'WTP core_Maxdiff'!$F$133:$F$135</definedName>
    <definedName name="SSW_WTP_NHH">'WTP Main'!$BE$55:$BE$70</definedName>
    <definedName name="SSW_WTP_PR14">WTPPR14!$A$1</definedName>
    <definedName name="SSW_WTPCore_DCE_Bursts_Levels">'WTP core_DCE'!$E$70:$G$76</definedName>
    <definedName name="SSW_WTPCore_DCE_Bursts_LevelValues">'WTP core_DCE'!$I$70:$N$76</definedName>
    <definedName name="SSW_WTPCore_DCE_Bursts_MaxDiffUIndex">'WTP core_Maxdiff'!$H$70:$J$76</definedName>
    <definedName name="SSW_WTPCore_DCE_Bursts_UnitValues">'WTP core_DCE'!$R$70:$T$76</definedName>
    <definedName name="SSW_WTPCore_DCE_Discolour_Levels">'WTP core_DCE'!$E$14:$G$20</definedName>
    <definedName name="SSW_WTPCore_DCE_Discolour_LevelValues">'WTP core_DCE'!$I$14:$N$20</definedName>
    <definedName name="SSW_WTPCore_DCE_Discolour_MaxDiffUIndex">'WTP core_Maxdiff'!$H$14:$J$20</definedName>
    <definedName name="SSW_WTPCore_DCE_Discolour_UnitValues">'WTP core_DCE'!$R$14:$T$20</definedName>
    <definedName name="SSW_WTPCore_DCE_Drought_Levels">'WTP core_DCE'!$E$56:$G$62</definedName>
    <definedName name="SSW_WTPCore_DCE_Drought_LevelValues">'WTP core_DCE'!$I$56:$N$62</definedName>
    <definedName name="SSW_WTPCore_DCE_Drought_MaxDiffUIndex">'WTP core_Maxdiff'!$H$56:$J$62</definedName>
    <definedName name="SSW_WTPCore_DCE_Drought_UnitValues">'WTP core_DCE'!$R$56:$T$62</definedName>
    <definedName name="SSW_WTPCore_DCE_Hardness_Levels">'WTP core_DCE'!$E$35:$G$41</definedName>
    <definedName name="SSW_WTPCore_DCE_Hardness_LevelValues">'WTP core_DCE'!$I$35:$N$41</definedName>
    <definedName name="SSW_WTPCore_DCE_Hardness_MaxDiffUIndex">'WTP core_Maxdiff'!$H$35:$J$41</definedName>
    <definedName name="SSW_WTPCore_DCE_Hardness_UnitValues">'WTP core_DCE'!$R$35:$T$41</definedName>
    <definedName name="SSW_WTPCore_DCE_ImpactRivers_Levels">'WTP core_DCE'!$E$112:$G$118</definedName>
    <definedName name="SSW_WTPCore_DCE_ImpactRivers_LevelValues">'WTP core_DCE'!$I$112:$N$118</definedName>
    <definedName name="SSW_WTPCore_DCE_ImpactRivers_MaxDiffUIndex">'WTP core_Maxdiff'!$H$112:$J$118</definedName>
    <definedName name="SSW_WTPCore_DCE_ImpactRivers_UnitValues">'WTP core_DCE'!$R$112:$T$118</definedName>
    <definedName name="SSW_WTPCore_DCE_Interruptions_Levels">'WTP core_DCE'!$E$42:$G$48</definedName>
    <definedName name="SSW_WTPCore_DCE_Interruptions_LevelValues">'WTP core_DCE'!$I$42:$N$48</definedName>
    <definedName name="SSW_WTPCore_DCE_Interruptions_MaxDiffUIndex">'WTP core_Maxdiff'!$H$42:$J$48</definedName>
    <definedName name="SSW_WTPCore_DCE_Interruptions_UnitValues">'WTP core_DCE'!$R$42:$T$48</definedName>
    <definedName name="SSW_WTPCore_DCE_Lead_Levels">'WTP core_DCE'!$E$28:$G$34</definedName>
    <definedName name="SSW_WTPCore_DCE_Lead_LevelValues">'WTP core_DCE'!$I$28:$N$34</definedName>
    <definedName name="SSW_WTPCore_DCE_Lead_MaxDiffUIndex">'WTP core_Maxdiff'!$H$28:$J$34</definedName>
    <definedName name="SSW_WTPCore_DCE_Lead_UnitValues">'WTP core_DCE'!$R$28:$T$34</definedName>
    <definedName name="SSW_WTPCore_DCE_Leakage_Levels">'WTP core_DCE'!$E$77:$G$83</definedName>
    <definedName name="SSW_WTPCore_DCE_Leakage_LevelValues">'WTP core_DCE'!$I$77:$N$83</definedName>
    <definedName name="SSW_WTPCore_DCE_Leakage_MaxDiffUIndex">'WTP core_Maxdiff'!$H$77:$J$83</definedName>
    <definedName name="SSW_WTPCore_DCE_Leakage_UnitValues">'WTP core_DCE'!$R$77:$T$83</definedName>
    <definedName name="SSW_WTPCore_DCE_LowPressure_Levels">'WTP core_DCE'!$E$63:$G$69</definedName>
    <definedName name="SSW_WTPCore_DCE_LowPressure_LevelValues">'WTP core_DCE'!$I$63:$N$69</definedName>
    <definedName name="SSW_WTPCore_DCE_LowPressure_MaxDiffUIndex">'WTP core_Maxdiff'!$H$63:$J$69</definedName>
    <definedName name="SSW_WTPCore_DCE_LowPressure_UnitValues">'WTP core_DCE'!$R$63:$T$69</definedName>
    <definedName name="SSW_WTPCore_DCE_Metering_Levels">'WTP core_DCE'!$E$84:$G$90</definedName>
    <definedName name="SSW_WTPCore_DCE_Metering_LevelValues">'WTP core_DCE'!$I$84:$N$90</definedName>
    <definedName name="SSW_WTPCore_DCE_Metering_MaxDiffUIndex">'WTP core_Maxdiff'!$H$84:$J$90</definedName>
    <definedName name="SSW_WTPCore_DCE_Metering_UnitValues">'WTP core_DCE'!$R$84:$T$90</definedName>
    <definedName name="SSW_WTPCore_DCE_NotSafe_Levels">'WTP core_DCE'!$E$7:$G$13</definedName>
    <definedName name="SSW_WTPCore_DCE_NotSafe_LevelValues">'WTP core_DCE'!$I$7:$N$13</definedName>
    <definedName name="SSW_WTPCore_DCE_NotSafe_MaxDiffUIndex">'WTP core_Maxdiff'!$H$7:$J$13</definedName>
    <definedName name="SSW_WTPCore_DCE_NotSafe_UnitValues">'WTP core_DCE'!$R$7:$T$13</definedName>
    <definedName name="SSW_WTPCore_DCE_Renewables_Levels">'WTP core_DCE'!$E$98:$G$104</definedName>
    <definedName name="SSW_WTPCore_DCE_Renewables_LevelValues">'WTP core_DCE'!$I$98:$N$104</definedName>
    <definedName name="SSW_WTPCore_DCE_Renewables_MaxDiffUIndex">'WTP core_Maxdiff'!$H$98:$J$104</definedName>
    <definedName name="SSW_WTPCore_DCE_Renewables_UnitValues">'WTP core_DCE'!$R$98:$T$104</definedName>
    <definedName name="SSW_WTPCore_DCE_SmartMetering_Levels">'WTP core_DCE'!$E$91:$G$97</definedName>
    <definedName name="SSW_WTPCore_DCE_SmartMetering_LevelValues">'WTP core_DCE'!$I$91:$N$97</definedName>
    <definedName name="SSW_WTPCore_DCE_SmartMetering_MaxDiffUIndex">'WTP core_Maxdiff'!$H$91:$J$97</definedName>
    <definedName name="SSW_WTPCore_DCE_SmartMetering_UnitValues">'WTP core_DCE'!$R$91:$T$97</definedName>
    <definedName name="SSW_WTPCore_DCE_TasteSmell_Levels">'WTP core_DCE'!$E$21:$G$27</definedName>
    <definedName name="SSW_WTPCore_DCE_TasteSmell_LevelValues">'WTP core_DCE'!$I$21:$N$27</definedName>
    <definedName name="SSW_WTPCore_DCE_TasteSmell_MaxDiffUIndex">'WTP core_Maxdiff'!$H$21:$J$27</definedName>
    <definedName name="SSW_WTPCore_DCE_TasteSmell_UnitValues">'WTP core_DCE'!$R$21:$T$27</definedName>
    <definedName name="SSW_WTPCore_DCE_TempBan_Levels">'WTP core_DCE'!$E$49:$G$55</definedName>
    <definedName name="SSW_WTPCore_DCE_TempBan_LevelValues">'WTP core_DCE'!$I$49:$N$55</definedName>
    <definedName name="SSW_WTPCore_DCE_TempBan_MaxDiffUIndex">'WTP core_Maxdiff'!$H$49:$J$55</definedName>
    <definedName name="SSW_WTPCore_DCE_TempBan_UnitValues">'WTP core_DCE'!$R$49:$T$55</definedName>
    <definedName name="SSW_WTPCore_DCE_Traffic_Levels">'WTP core_DCE'!$E$119:$G$125</definedName>
    <definedName name="SSW_WTPCore_DCE_Traffic_LevelValues">'WTP core_DCE'!$I$119:$N$125</definedName>
    <definedName name="SSW_WTPCore_DCE_Traffic_MaxDiffUIndex">'WTP core_Maxdiff'!$H$119:$J$125</definedName>
    <definedName name="SSW_WTPCore_DCE_Traffic_UnitValues">'WTP core_DCE'!$R$119:$T$125</definedName>
    <definedName name="SSW_WTPCore_DCE_Wildlife_Levels">'WTP core_DCE'!$E$105:$G$111</definedName>
    <definedName name="SSW_WTPCore_DCE_Wildlife_LevelValues">'WTP core_DCE'!$I$105:$N$111</definedName>
    <definedName name="SSW_WTPCore_DCE_Wildlife_MaxDiffUIndex">'WTP core_Maxdiff'!$H$105:$J$111</definedName>
    <definedName name="SSW_WTPCore_DCE_Wildlife_UnitValues">'WTP core_DCE'!$R$105:$T$111</definedName>
    <definedName name="SSW_WTPCore2_Bursts_Levels">WTPCore_DCE2!$E$23:$G$24</definedName>
    <definedName name="SSW_WTPCore2_Bursts_LevelValues">WTPCore_DCE2!$H$23:$M$24</definedName>
    <definedName name="SSW_WTPCore2_Bursts_UnitValues">WTPCore_DCE2!$Q$23:$S$24</definedName>
    <definedName name="SSW_WTPCore2_Community_UnitValues">WTPCore_DCE2!$Q$35:$S$36</definedName>
    <definedName name="SSW_WTPCore2_Discolour_Levels">WTPCore_DCE2!$E$9:$G$10</definedName>
    <definedName name="SSW_WTPCore2_Discolour_LevelValues">WTPCore_DCE2!$H$9:$M$10</definedName>
    <definedName name="SSW_WTPCore2_Discolour_UnitValues">WTPCore_DCE2!$Q$9:$S$10</definedName>
    <definedName name="SSW_WTPCore2_Educating_UnitValues">WTPCore_DCE2!$Q$37:$S$38</definedName>
    <definedName name="SSW_WTPCore2_Hardness_Levels">WTPCore_DCE2!$E$15:$G$16</definedName>
    <definedName name="SSW_WTPCore2_Hardness_LevelValues">WTPCore_DCE2!$H$15:$M$16</definedName>
    <definedName name="SSW_WTPCore2_Hardness_UnitValues">WTPCore_DCE2!$Q$15:$S$16</definedName>
    <definedName name="SSW_WTPCore2_ImpactRivers_Levels">WTPCore_DCE2!$E$33:$G$34</definedName>
    <definedName name="SSW_WTPCore2_ImpactRivers_LevelValues">WTPCore_DCE2!$H$33:$M$34</definedName>
    <definedName name="SSW_WTPCore2_ImpactRivers_UnitValues">WTPCore_DCE2!$Q$33:$S$34</definedName>
    <definedName name="SSW_WTPCore2_Interruptions_Levels">WTPCore_DCE2!$E$17:$G$18</definedName>
    <definedName name="SSW_WTPCore2_Interruptions_LevelValues">WTPCore_DCE2!$H$17:$M$18</definedName>
    <definedName name="SSW_WTPCore2_Interruptions_UnitValues">WTPCore_DCE2!$Q$17:$S$18</definedName>
    <definedName name="SSW_WTPCore2_Lead_Levels">WTPCore_DCE2!$E$13:$G$14</definedName>
    <definedName name="SSW_WTPCore2_Lead_LevelValues">WTPCore_DCE2!$H$13:$M$14</definedName>
    <definedName name="SSW_WTPCore2_Lead_UnitValues">WTPCore_DCE2!$Q$13:$S$14</definedName>
    <definedName name="SSW_WTPCore2_Leakage_Levels">WTPCore_DCE2!$E$25:$G$26</definedName>
    <definedName name="SSW_WTPCore2_Leakage_LevelValues">WTPCore_DCE2!$H$25:$M$26</definedName>
    <definedName name="SSW_WTPCore2_Leakage_UnitValues">WTPCore_DCE2!$Q$25:$S$26</definedName>
    <definedName name="SSW_WTPCore2_LowBill_Bursts_UnitValues">WTPCore_DCE2_LowBill!$Q$15:$S$15</definedName>
    <definedName name="SSW_WTPCore2_LowBill_Discolour_UnitValues">WTPCore_DCE2_LowBill!$Q$8:$S$8</definedName>
    <definedName name="SSW_WTPCore2_LowBill_Hardness_UnitValues">WTPCore_DCE2_LowBill!$Q$11:$S$11</definedName>
    <definedName name="SSW_WTPCore2_LowBill_ImpactRivers_UnitValues">WTPCore_DCE2_LowBill!$Q$20:$S$20</definedName>
    <definedName name="SSW_WTPCore2_LowBill_Interruptions_UnitValues">WTPCore_DCE2_LowBill!$Q$12:$S$12</definedName>
    <definedName name="SSW_WTPCore2_LowBill_Lead_UnitValues">WTPCore_DCE2_LowBill!$Q$10:$S$10</definedName>
    <definedName name="SSW_WTPCore2_LowBill_Leakage_UnitValues">WTPCore_DCE2_LowBill!$Q$16:$S$16</definedName>
    <definedName name="SSW_WTPCore2_LowBill_LowPressure_UnitValues">WTPCore_DCE2_LowBill!$Q$14:$S$14</definedName>
    <definedName name="SSW_WTPCore2_LowBill_Metering_UnitValues">WTPCore_DCE2_LowBill!$Q$17:$S$17</definedName>
    <definedName name="SSW_WTPCore2_LowBill_NotSafe_UnitValues">WTPCore_DCE2_LowBill!$Q$7:$S$7</definedName>
    <definedName name="SSW_WTPCore2_LowBill_Renewables_UnitValues">WTPCore_DCE2_LowBill!$Q$18:$S$18</definedName>
    <definedName name="SSW_WTPCore2_LowBill_TasteSmell_UnitValues">WTPCore_DCE2_LowBill!$Q$9:$S$9</definedName>
    <definedName name="SSW_WTPCore2_LowBill_TempBan_UnitValues">WTPCore_DCE2_LowBill!$Q$13:$S$13</definedName>
    <definedName name="SSW_WTPCore2_LowBill_Wildlife_UnitValues">WTPCore_DCE2_LowBill!$Q$19:$S$19</definedName>
    <definedName name="SSW_WTPCore2_LowPressure_Levels">WTPCore_DCE2!$E$21:$G$22</definedName>
    <definedName name="SSW_WTPCore2_LowPressure_LevelValues">WTPCore_DCE2!$H$21:$M$22</definedName>
    <definedName name="SSW_WTPCore2_LowPressure_UnitValues">WTPCore_DCE2!$Q$21:$S$22</definedName>
    <definedName name="SSW_WTPCore2_Metering_Levels">WTPCore_DCE2!$E$27:$G$28</definedName>
    <definedName name="SSW_WTPCore2_Metering_LevelValues">WTPCore_DCE2!$H$27:$M$28</definedName>
    <definedName name="SSW_WTPCore2_Metering_UnitValues">WTPCore_DCE2!$Q$27:$S$28</definedName>
    <definedName name="SSW_WTPCore2_NotSafe_Levels">WTPCore_DCE2!$E$7:$G$8</definedName>
    <definedName name="SSW_WTPCore2_NotSafe_LevelValues">WTPCore_DCE2!$H$7:$M$8</definedName>
    <definedName name="SSW_WTPCore2_NotSafe_UnitValues">WTPCore_DCE2!$Q$7:$S$8</definedName>
    <definedName name="SSW_WTPCore2_Renewables_Levels">WTPCore_DCE2!$E$29:$G$30</definedName>
    <definedName name="SSW_WTPCore2_Renewables_LevelValues">WTPCore_DCE2!$H$29:$M$30</definedName>
    <definedName name="SSW_WTPCore2_Renewables_UnitValues">WTPCore_DCE2!$Q$29:$S$30</definedName>
    <definedName name="SSW_WTPCore2_Supporting_UnitValues">WTPCore_DCE2!$Q$39:$S$40</definedName>
    <definedName name="SSW_WTPCore2_TasteSmell_Levels">WTPCore_DCE2!$E$11:$G$12</definedName>
    <definedName name="SSW_WTPCore2_TasteSmell_LevelValues">WTPCore_DCE2!$H$11:$M$12</definedName>
    <definedName name="SSW_WTPCore2_TasteSmell_UnitValues">WTPCore_DCE2!$Q$11:$S$12</definedName>
    <definedName name="SSW_WTPCore2_TempBan_Levels">WTPCore_DCE2!$E$19:$G$20</definedName>
    <definedName name="SSW_WTPCore2_TempBan_LevelValues">WTPCore_DCE2!$H$19:$M$20</definedName>
    <definedName name="SSW_WTPCore2_TempBan_UnitValues">WTPCore_DCE2!$Q$19:$S$20</definedName>
    <definedName name="SSW_WTPCore2_Wildlife_Levels">WTPCore_DCE2!$E$31:$G$32</definedName>
    <definedName name="SSW_WTPCore2_Wildlife_LevelValues">WTPCore_DCE2!$H$31:$M$32</definedName>
    <definedName name="SSW_WTPCore2_Wildlife_UnitValues">WTPCore_DCE2!$Q$31:$S$32</definedName>
    <definedName name="SSW_WTPMaxdiff_WTP_NHH_Unitvalues">'WTP core_Maxdiff'!$R$217:$R$233</definedName>
    <definedName name="SSW_WTPMaxdiff_WTP_Unitvalues">'WTP core_Maxdiff'!$R$143:$R$159</definedName>
    <definedName name="TotalLeakMLPerDay">'General Inputs'!$B$58</definedName>
    <definedName name="VSSW_WTPCore2_Community_UnitValues">WTPCore_DCE2!$Q$35:$S$36</definedName>
    <definedName name="w_contacts_WTP">'WTP Main'!$C$11</definedName>
    <definedName name="w_extWTP_WTP">'WTP Main'!$C$17</definedName>
    <definedName name="w_priorities_WTP">'WTP Main'!$C$10</definedName>
    <definedName name="w_satisfaction_WTP">'WTP Main'!$C$12</definedName>
    <definedName name="w_WRMPonline_WTP">'WTP Main'!$C$14</definedName>
    <definedName name="w_WRMPworkshops_WTP">'WTP Main'!$C$15</definedName>
    <definedName name="w_WTPchoicexp_WTP">'WTP Main'!$C$4</definedName>
    <definedName name="w_WTPmaxdiff_WTP">'WTP Main'!$C$5</definedName>
    <definedName name="WRMP_core_online_results">'WRMP online'!$A$1</definedName>
    <definedName name="WRMP_core_workshop_results">'WRMP workshops'!$A$2</definedName>
    <definedName name="WRMP_online_options">'WRMP online'!$A$5:$A$12</definedName>
    <definedName name="WRMP_Online_WTPAtts">'WRMP online'!$B$20:$B$21</definedName>
    <definedName name="WRMP_workshop_options">'WRMP workshops'!$A$26:$A$34</definedName>
    <definedName name="WRMP_Workshop_WTPAtts">'WRMP workshops'!$B$46:$B$48</definedName>
    <definedName name="WTP_core_Maxdiff">'WTP core_Maxdiff'!$A$2</definedName>
    <definedName name="WTP_WRMP_options">WTPCore_DCE2!$B$69:$B$71</definedName>
    <definedName name="WTPCore_AttLevels">'WTP core_DCE'!$E$6:$G$6</definedName>
    <definedName name="WTPCore_Attributes">'WTP Main'!$B$33:$B$45</definedName>
    <definedName name="WTPCore_Group">'WTP core_DCE'!$D$21:$D$27</definedName>
    <definedName name="WTPCore_LevelValues">'WTP core_DCE'!$I$6:$N$6</definedName>
    <definedName name="WTPCore_Maxdiff_Group">'WTP core_Maxdiff'!$D$7:$D$8</definedName>
    <definedName name="WTPCore_MDValues">'WTP core_Maxdiff'!$H$4:$J$4</definedName>
    <definedName name="WTPCore2_AttLevels">WTPCore_DCE2!$E$6:$G$6</definedName>
    <definedName name="WTPCore2_Group">WTPCore_DCE2!$D$7:$D$8</definedName>
    <definedName name="WTPCore2_LevelValues">WTPCore_DCE2!$H$6:$M$6</definedName>
    <definedName name="WTPMaxdiff_WTP_options">'WTP core_Maxdiff'!$C$143:$C$159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8" l="1"/>
  <c r="K6" i="28" s="1"/>
  <c r="J6" i="28"/>
  <c r="S17" i="57"/>
  <c r="R17" i="57"/>
  <c r="S16" i="57"/>
  <c r="R16" i="57"/>
  <c r="S15" i="57"/>
  <c r="R15" i="57"/>
  <c r="S14" i="57"/>
  <c r="R14" i="57"/>
  <c r="S13" i="57"/>
  <c r="R13" i="57"/>
  <c r="S12" i="57"/>
  <c r="R12" i="57"/>
  <c r="S11" i="57"/>
  <c r="R11" i="57"/>
  <c r="S10" i="57"/>
  <c r="R10" i="57"/>
  <c r="S9" i="57"/>
  <c r="R9" i="57"/>
  <c r="S8" i="57"/>
  <c r="R8" i="57"/>
  <c r="S7" i="57"/>
  <c r="R7" i="57"/>
  <c r="S6" i="57"/>
  <c r="R6" i="57"/>
  <c r="S5" i="57"/>
  <c r="R5" i="57"/>
  <c r="S4" i="57"/>
  <c r="R4" i="57"/>
  <c r="S17" i="60"/>
  <c r="S5" i="60"/>
  <c r="S4" i="60"/>
  <c r="R17" i="60"/>
  <c r="R5" i="60"/>
  <c r="R6" i="60"/>
  <c r="S6" i="60"/>
  <c r="R7" i="60"/>
  <c r="S7" i="60"/>
  <c r="R8" i="60"/>
  <c r="S8" i="60"/>
  <c r="R9" i="60"/>
  <c r="S9" i="60"/>
  <c r="R10" i="60"/>
  <c r="S10" i="60"/>
  <c r="R11" i="60"/>
  <c r="S11" i="60"/>
  <c r="R12" i="60"/>
  <c r="S12" i="60"/>
  <c r="R13" i="60"/>
  <c r="S13" i="60"/>
  <c r="R14" i="60"/>
  <c r="S14" i="60"/>
  <c r="R15" i="60"/>
  <c r="S15" i="60"/>
  <c r="R16" i="60"/>
  <c r="S16" i="60"/>
  <c r="R4" i="60"/>
  <c r="J16" i="56" l="1"/>
  <c r="I16" i="56"/>
  <c r="H16" i="56"/>
  <c r="G16" i="56"/>
  <c r="F16" i="56"/>
  <c r="E16" i="56"/>
  <c r="J15" i="56"/>
  <c r="I15" i="56"/>
  <c r="H15" i="56"/>
  <c r="G15" i="56"/>
  <c r="F15" i="56"/>
  <c r="E15" i="56"/>
  <c r="J14" i="56"/>
  <c r="I14" i="56"/>
  <c r="H14" i="56"/>
  <c r="G14" i="56"/>
  <c r="F14" i="56"/>
  <c r="E14" i="56"/>
  <c r="J13" i="56"/>
  <c r="I13" i="56"/>
  <c r="H13" i="56"/>
  <c r="G13" i="56"/>
  <c r="F13" i="56"/>
  <c r="E13" i="56"/>
  <c r="J12" i="56"/>
  <c r="I12" i="56"/>
  <c r="H12" i="56"/>
  <c r="G12" i="56"/>
  <c r="F12" i="56"/>
  <c r="E12" i="56"/>
  <c r="J11" i="56"/>
  <c r="I11" i="56"/>
  <c r="H11" i="56"/>
  <c r="G11" i="56"/>
  <c r="F11" i="56"/>
  <c r="E11" i="56"/>
  <c r="J10" i="56"/>
  <c r="I10" i="56"/>
  <c r="H10" i="56"/>
  <c r="G10" i="56"/>
  <c r="F10" i="56"/>
  <c r="E10" i="56"/>
  <c r="J9" i="56"/>
  <c r="I9" i="56"/>
  <c r="H9" i="56"/>
  <c r="G9" i="56"/>
  <c r="F9" i="56"/>
  <c r="E9" i="56"/>
  <c r="J8" i="56"/>
  <c r="I8" i="56"/>
  <c r="H8" i="56"/>
  <c r="G8" i="56"/>
  <c r="F8" i="56"/>
  <c r="E8" i="56"/>
  <c r="J7" i="56"/>
  <c r="I7" i="56"/>
  <c r="H7" i="56"/>
  <c r="G7" i="56"/>
  <c r="F7" i="56"/>
  <c r="E7" i="56"/>
  <c r="J6" i="56"/>
  <c r="I6" i="56"/>
  <c r="H6" i="56"/>
  <c r="G6" i="56"/>
  <c r="F6" i="56"/>
  <c r="E6" i="56"/>
  <c r="J5" i="56"/>
  <c r="I5" i="56"/>
  <c r="H5" i="56"/>
  <c r="G5" i="56"/>
  <c r="F5" i="56"/>
  <c r="E5" i="56"/>
  <c r="D3" i="56"/>
  <c r="AZ16" i="56"/>
  <c r="AY16" i="56"/>
  <c r="AZ15" i="56"/>
  <c r="AY15" i="56"/>
  <c r="AZ14" i="56"/>
  <c r="AY14" i="56"/>
  <c r="AZ13" i="56"/>
  <c r="AY13" i="56"/>
  <c r="AZ12" i="56"/>
  <c r="AY12" i="56"/>
  <c r="AZ11" i="56"/>
  <c r="AY11" i="56"/>
  <c r="AZ10" i="56"/>
  <c r="AY10" i="56"/>
  <c r="AZ9" i="56"/>
  <c r="AY9" i="56"/>
  <c r="AZ8" i="56"/>
  <c r="AY8" i="56"/>
  <c r="AZ7" i="56"/>
  <c r="AY7" i="56"/>
  <c r="AZ6" i="56"/>
  <c r="AY6" i="56"/>
  <c r="AZ5" i="56"/>
  <c r="AY5" i="56"/>
  <c r="AT16" i="56"/>
  <c r="AS16" i="56"/>
  <c r="AT15" i="56"/>
  <c r="AS15" i="56"/>
  <c r="AT14" i="56"/>
  <c r="AS14" i="56"/>
  <c r="AT13" i="56"/>
  <c r="AS13" i="56"/>
  <c r="AT12" i="56"/>
  <c r="AS12" i="56"/>
  <c r="AT11" i="56"/>
  <c r="AS11" i="56"/>
  <c r="AT10" i="56"/>
  <c r="AS10" i="56"/>
  <c r="AT9" i="56"/>
  <c r="AS9" i="56"/>
  <c r="AT8" i="56"/>
  <c r="AS8" i="56"/>
  <c r="AT7" i="56"/>
  <c r="AS7" i="56"/>
  <c r="AT6" i="56"/>
  <c r="AS6" i="56"/>
  <c r="AT5" i="56"/>
  <c r="AS5" i="56"/>
  <c r="AN16" i="56"/>
  <c r="AM16" i="56"/>
  <c r="AN15" i="56"/>
  <c r="AM15" i="56"/>
  <c r="AN14" i="56"/>
  <c r="AM14" i="56"/>
  <c r="AN13" i="56"/>
  <c r="AM13" i="56"/>
  <c r="AN12" i="56"/>
  <c r="AM12" i="56"/>
  <c r="AN11" i="56"/>
  <c r="AM11" i="56"/>
  <c r="AN10" i="56"/>
  <c r="AM10" i="56"/>
  <c r="AN9" i="56"/>
  <c r="AM9" i="56"/>
  <c r="AN8" i="56"/>
  <c r="AM8" i="56"/>
  <c r="AN7" i="56"/>
  <c r="AM7" i="56"/>
  <c r="AN6" i="56"/>
  <c r="AM6" i="56"/>
  <c r="AN5" i="56"/>
  <c r="AM5" i="56"/>
  <c r="G17" i="57"/>
  <c r="F17" i="57"/>
  <c r="E17" i="57"/>
  <c r="G16" i="57"/>
  <c r="F16" i="57"/>
  <c r="E16" i="57"/>
  <c r="G15" i="57"/>
  <c r="F15" i="57"/>
  <c r="E15" i="57"/>
  <c r="G14" i="57"/>
  <c r="F14" i="57"/>
  <c r="E14" i="57"/>
  <c r="G13" i="57"/>
  <c r="F13" i="57"/>
  <c r="E13" i="57"/>
  <c r="G12" i="57"/>
  <c r="F12" i="57"/>
  <c r="E12" i="57"/>
  <c r="G11" i="57"/>
  <c r="F11" i="57"/>
  <c r="E11" i="57"/>
  <c r="G10" i="57"/>
  <c r="F10" i="57"/>
  <c r="E10" i="57"/>
  <c r="G9" i="57"/>
  <c r="F9" i="57"/>
  <c r="E9" i="57"/>
  <c r="G8" i="57"/>
  <c r="F8" i="57"/>
  <c r="E8" i="57"/>
  <c r="G7" i="57"/>
  <c r="F7" i="57"/>
  <c r="E7" i="57"/>
  <c r="G6" i="57"/>
  <c r="F6" i="57"/>
  <c r="E6" i="57"/>
  <c r="G5" i="57"/>
  <c r="F5" i="57"/>
  <c r="E5" i="57"/>
  <c r="G4" i="57"/>
  <c r="F4" i="57"/>
  <c r="E4" i="57"/>
  <c r="E1" i="57"/>
  <c r="F23" i="57" l="1"/>
  <c r="K20" i="60"/>
  <c r="J20" i="60"/>
  <c r="I20" i="60"/>
  <c r="J32" i="60"/>
  <c r="I32" i="60"/>
  <c r="F32" i="60"/>
  <c r="E32" i="60"/>
  <c r="K30" i="60"/>
  <c r="J30" i="60"/>
  <c r="I30" i="60"/>
  <c r="G30" i="60"/>
  <c r="F30" i="60"/>
  <c r="E30" i="60"/>
  <c r="K29" i="60"/>
  <c r="J29" i="60"/>
  <c r="I29" i="60"/>
  <c r="G29" i="60"/>
  <c r="F29" i="60"/>
  <c r="E29" i="60"/>
  <c r="K28" i="60"/>
  <c r="J28" i="60"/>
  <c r="I28" i="60"/>
  <c r="G28" i="60"/>
  <c r="F28" i="60"/>
  <c r="E28" i="60"/>
  <c r="K27" i="60"/>
  <c r="J27" i="60"/>
  <c r="I27" i="60"/>
  <c r="G27" i="60"/>
  <c r="F27" i="60"/>
  <c r="E27" i="60"/>
  <c r="K26" i="60"/>
  <c r="J26" i="60"/>
  <c r="I26" i="60"/>
  <c r="G26" i="60"/>
  <c r="F26" i="60"/>
  <c r="E26" i="60"/>
  <c r="K25" i="60"/>
  <c r="J25" i="60"/>
  <c r="I25" i="60"/>
  <c r="G25" i="60"/>
  <c r="F25" i="60"/>
  <c r="E25" i="60"/>
  <c r="K24" i="60"/>
  <c r="J24" i="60"/>
  <c r="I24" i="60"/>
  <c r="G24" i="60"/>
  <c r="F24" i="60"/>
  <c r="E24" i="60"/>
  <c r="K23" i="60"/>
  <c r="J23" i="60"/>
  <c r="I23" i="60"/>
  <c r="G23" i="60"/>
  <c r="F23" i="60"/>
  <c r="E23" i="60"/>
  <c r="J32" i="57"/>
  <c r="I32" i="57"/>
  <c r="F32" i="57"/>
  <c r="E32" i="57"/>
  <c r="K30" i="57"/>
  <c r="J30" i="57"/>
  <c r="I30" i="57"/>
  <c r="K29" i="57"/>
  <c r="J29" i="57"/>
  <c r="I29" i="57"/>
  <c r="K28" i="57"/>
  <c r="J28" i="57"/>
  <c r="I28" i="57"/>
  <c r="K27" i="57"/>
  <c r="J27" i="57"/>
  <c r="I27" i="57"/>
  <c r="K26" i="57"/>
  <c r="J26" i="57"/>
  <c r="I26" i="57"/>
  <c r="K25" i="57"/>
  <c r="J25" i="57"/>
  <c r="I25" i="57"/>
  <c r="K24" i="57"/>
  <c r="J24" i="57"/>
  <c r="I24" i="57"/>
  <c r="K23" i="57"/>
  <c r="J23" i="57"/>
  <c r="I23" i="57"/>
  <c r="G30" i="57"/>
  <c r="F30" i="57"/>
  <c r="E30" i="57"/>
  <c r="G29" i="57"/>
  <c r="F29" i="57"/>
  <c r="E29" i="57"/>
  <c r="G28" i="57"/>
  <c r="F28" i="57"/>
  <c r="E28" i="57"/>
  <c r="G27" i="57"/>
  <c r="F27" i="57"/>
  <c r="E27" i="57"/>
  <c r="G26" i="57"/>
  <c r="F26" i="57"/>
  <c r="E26" i="57"/>
  <c r="G25" i="57"/>
  <c r="F25" i="57"/>
  <c r="E25" i="57"/>
  <c r="G24" i="57"/>
  <c r="F24" i="57"/>
  <c r="E24" i="57"/>
  <c r="G23" i="57"/>
  <c r="E23" i="57"/>
  <c r="J20" i="57"/>
  <c r="K20" i="57"/>
  <c r="I20" i="57"/>
  <c r="Q6" i="56"/>
  <c r="W31" i="29" s="1"/>
  <c r="M26" i="56"/>
  <c r="R26" i="56" s="1"/>
  <c r="L26" i="56"/>
  <c r="Q26" i="56" s="1"/>
  <c r="B58" i="28"/>
  <c r="M10" i="56" s="1"/>
  <c r="CP70" i="29"/>
  <c r="CP69" i="29"/>
  <c r="CP68" i="29"/>
  <c r="CP67" i="29"/>
  <c r="CP66" i="29"/>
  <c r="CP65" i="29"/>
  <c r="CP64" i="29"/>
  <c r="CP63" i="29"/>
  <c r="CP62" i="29"/>
  <c r="CP61" i="29"/>
  <c r="CP60" i="29"/>
  <c r="CP59" i="29"/>
  <c r="CP58" i="29"/>
  <c r="CP57" i="29"/>
  <c r="CP56" i="29"/>
  <c r="CP55" i="29"/>
  <c r="CP46" i="29"/>
  <c r="CP45" i="29"/>
  <c r="CP44" i="29"/>
  <c r="CP43" i="29"/>
  <c r="CP42" i="29"/>
  <c r="CP40" i="29"/>
  <c r="CP39" i="29"/>
  <c r="CP38" i="29"/>
  <c r="CP37" i="29"/>
  <c r="CP36" i="29"/>
  <c r="CP35" i="29"/>
  <c r="CP34" i="29"/>
  <c r="CP33" i="29"/>
  <c r="CP32" i="29"/>
  <c r="CP31" i="29"/>
  <c r="X55" i="29"/>
  <c r="X56" i="29"/>
  <c r="X57" i="29"/>
  <c r="X58" i="29"/>
  <c r="X59" i="29"/>
  <c r="X60" i="29"/>
  <c r="X61" i="29"/>
  <c r="X62" i="29"/>
  <c r="X63" i="29"/>
  <c r="X64" i="29"/>
  <c r="X65" i="29"/>
  <c r="X66" i="29"/>
  <c r="X67" i="29"/>
  <c r="X68" i="29"/>
  <c r="X69" i="29"/>
  <c r="X70" i="29"/>
  <c r="X32" i="29"/>
  <c r="X33" i="29"/>
  <c r="X34" i="29"/>
  <c r="X35" i="29"/>
  <c r="X36" i="29"/>
  <c r="X37" i="29"/>
  <c r="X38" i="29"/>
  <c r="X39" i="29"/>
  <c r="X40" i="29"/>
  <c r="X42" i="29"/>
  <c r="X43" i="29"/>
  <c r="X44" i="29"/>
  <c r="X45" i="29"/>
  <c r="X46" i="29"/>
  <c r="X31" i="29"/>
  <c r="S43" i="59"/>
  <c r="CP41" i="29" s="1"/>
  <c r="R43" i="59"/>
  <c r="X41" i="29" s="1"/>
  <c r="CR70" i="29"/>
  <c r="CR67" i="29"/>
  <c r="CR56" i="29"/>
  <c r="CR46" i="29"/>
  <c r="CR43" i="29"/>
  <c r="CR37" i="29"/>
  <c r="CR36" i="29"/>
  <c r="CR33" i="29"/>
  <c r="CR32" i="29"/>
  <c r="CR31" i="29"/>
  <c r="Z70" i="29"/>
  <c r="Z67" i="29"/>
  <c r="Z46" i="29"/>
  <c r="Z43" i="29"/>
  <c r="Z40" i="29"/>
  <c r="Z39" i="29"/>
  <c r="Z37" i="29"/>
  <c r="Z36" i="29"/>
  <c r="Z33" i="29"/>
  <c r="Z32" i="29"/>
  <c r="Z31" i="29"/>
  <c r="P13" i="60"/>
  <c r="P11" i="60"/>
  <c r="P10" i="60"/>
  <c r="P8" i="60"/>
  <c r="P12" i="60"/>
  <c r="CR63" i="29"/>
  <c r="Z63" i="29"/>
  <c r="P17" i="60"/>
  <c r="CR39" i="29" s="1"/>
  <c r="O17" i="60"/>
  <c r="P16" i="60"/>
  <c r="O16" i="60"/>
  <c r="P15" i="60"/>
  <c r="O15" i="60"/>
  <c r="CR61" i="29"/>
  <c r="Z61" i="29"/>
  <c r="P14" i="60"/>
  <c r="O14" i="60"/>
  <c r="CR57" i="29"/>
  <c r="Z57" i="29"/>
  <c r="P9" i="60"/>
  <c r="O9" i="60"/>
  <c r="CR60" i="29"/>
  <c r="Z60" i="29"/>
  <c r="P7" i="60"/>
  <c r="O7" i="60"/>
  <c r="CR55" i="29"/>
  <c r="Z55" i="29"/>
  <c r="P6" i="60"/>
  <c r="O6" i="60"/>
  <c r="P5" i="60"/>
  <c r="O5" i="60"/>
  <c r="CR64" i="29"/>
  <c r="Z64" i="29"/>
  <c r="P4" i="60"/>
  <c r="CR40" i="29" s="1"/>
  <c r="O4" i="60"/>
  <c r="P23" i="60" l="1"/>
  <c r="CR34" i="29" s="1"/>
  <c r="P27" i="60"/>
  <c r="CR42" i="29" s="1"/>
  <c r="R24" i="60"/>
  <c r="Z59" i="29" s="1"/>
  <c r="R28" i="60"/>
  <c r="O23" i="60"/>
  <c r="Z34" i="29" s="1"/>
  <c r="O27" i="60"/>
  <c r="Z42" i="29" s="1"/>
  <c r="S24" i="60"/>
  <c r="CR59" i="29" s="1"/>
  <c r="S25" i="60"/>
  <c r="CR62" i="29" s="1"/>
  <c r="S29" i="60"/>
  <c r="CR68" i="29" s="1"/>
  <c r="O28" i="57"/>
  <c r="O26" i="60"/>
  <c r="Z41" i="29" s="1"/>
  <c r="S28" i="60"/>
  <c r="O30" i="60"/>
  <c r="Z45" i="29" s="1"/>
  <c r="S23" i="60"/>
  <c r="CR58" i="29" s="1"/>
  <c r="O25" i="60"/>
  <c r="Z38" i="29" s="1"/>
  <c r="S27" i="60"/>
  <c r="CR66" i="29" s="1"/>
  <c r="O29" i="60"/>
  <c r="Z44" i="29" s="1"/>
  <c r="O24" i="60"/>
  <c r="Z35" i="29" s="1"/>
  <c r="S26" i="60"/>
  <c r="CR65" i="29" s="1"/>
  <c r="O28" i="60"/>
  <c r="S30" i="60"/>
  <c r="CR69" i="29" s="1"/>
  <c r="S28" i="57"/>
  <c r="P24" i="60"/>
  <c r="CR35" i="29" s="1"/>
  <c r="R25" i="60"/>
  <c r="Z62" i="29" s="1"/>
  <c r="P28" i="60"/>
  <c r="R29" i="60"/>
  <c r="Z68" i="29" s="1"/>
  <c r="R23" i="60"/>
  <c r="Z58" i="29" s="1"/>
  <c r="P26" i="60"/>
  <c r="CR41" i="29" s="1"/>
  <c r="R27" i="60"/>
  <c r="Z66" i="29" s="1"/>
  <c r="P30" i="60"/>
  <c r="CR45" i="29" s="1"/>
  <c r="P25" i="60"/>
  <c r="CR38" i="29" s="1"/>
  <c r="R26" i="60"/>
  <c r="Z65" i="29" s="1"/>
  <c r="P29" i="60"/>
  <c r="CR44" i="29" s="1"/>
  <c r="R30" i="60"/>
  <c r="Z69" i="29" s="1"/>
  <c r="R28" i="57"/>
  <c r="P28" i="57"/>
  <c r="L10" i="56"/>
  <c r="Q10" i="56" s="1"/>
  <c r="W41" i="29" s="1"/>
  <c r="Z56" i="29"/>
  <c r="O8" i="60"/>
  <c r="O13" i="60"/>
  <c r="O11" i="60"/>
  <c r="O10" i="60"/>
  <c r="O12" i="60"/>
  <c r="Q14" i="56"/>
  <c r="W44" i="29" s="1"/>
  <c r="Q12" i="56"/>
  <c r="W38" i="29" s="1"/>
  <c r="R14" i="56"/>
  <c r="CO44" i="29" s="1"/>
  <c r="R12" i="56"/>
  <c r="CO38" i="29" s="1"/>
  <c r="R10" i="56"/>
  <c r="CO41" i="29" s="1"/>
  <c r="R8" i="56"/>
  <c r="CO35" i="29" s="1"/>
  <c r="R6" i="56"/>
  <c r="CO31" i="29" s="1"/>
  <c r="CI57" i="29"/>
  <c r="CJ57" i="29"/>
  <c r="CI58" i="29"/>
  <c r="CJ58" i="29"/>
  <c r="CI59" i="29"/>
  <c r="CJ59" i="29"/>
  <c r="CI60" i="29"/>
  <c r="CJ60" i="29"/>
  <c r="CI61" i="29"/>
  <c r="CJ61" i="29"/>
  <c r="CI62" i="29"/>
  <c r="CJ62" i="29"/>
  <c r="CI63" i="29"/>
  <c r="CJ63" i="29"/>
  <c r="CI64" i="29"/>
  <c r="CJ64" i="29"/>
  <c r="CI66" i="29"/>
  <c r="CI68" i="29"/>
  <c r="CJ68" i="29"/>
  <c r="CI69" i="29"/>
  <c r="CJ69" i="29"/>
  <c r="CI70" i="29"/>
  <c r="CJ70" i="29"/>
  <c r="CJ56" i="29"/>
  <c r="CI56" i="29"/>
  <c r="CQ67" i="29"/>
  <c r="CQ70" i="29"/>
  <c r="CO57" i="29"/>
  <c r="CO58" i="29"/>
  <c r="CO59" i="29"/>
  <c r="CO60" i="29"/>
  <c r="CO61" i="29"/>
  <c r="CO63" i="29"/>
  <c r="CO64" i="29"/>
  <c r="CO66" i="29"/>
  <c r="CO67" i="29"/>
  <c r="CO69" i="29"/>
  <c r="CO70" i="29"/>
  <c r="CO56" i="29"/>
  <c r="CO32" i="29"/>
  <c r="CO33" i="29"/>
  <c r="CO34" i="29"/>
  <c r="CO36" i="29"/>
  <c r="CO37" i="29"/>
  <c r="CO39" i="29"/>
  <c r="CO40" i="29"/>
  <c r="CO42" i="29"/>
  <c r="CO43" i="29"/>
  <c r="CQ43" i="29"/>
  <c r="CM225" i="29" s="1"/>
  <c r="CO45" i="29"/>
  <c r="CO46" i="29"/>
  <c r="CQ46" i="29"/>
  <c r="CJ46" i="29"/>
  <c r="CI46" i="29"/>
  <c r="CJ45" i="29"/>
  <c r="CI45" i="29"/>
  <c r="CJ44" i="29"/>
  <c r="CI44" i="29"/>
  <c r="CI42" i="29"/>
  <c r="CJ40" i="29"/>
  <c r="CI40" i="29"/>
  <c r="CJ39" i="29"/>
  <c r="CI39" i="29"/>
  <c r="CJ38" i="29"/>
  <c r="CI38" i="29"/>
  <c r="CJ37" i="29"/>
  <c r="CI37" i="29"/>
  <c r="CJ36" i="29"/>
  <c r="CI36" i="29"/>
  <c r="CJ35" i="29"/>
  <c r="CI35" i="29"/>
  <c r="CJ34" i="29"/>
  <c r="CI34" i="29"/>
  <c r="CJ33" i="29"/>
  <c r="CI33" i="29"/>
  <c r="CJ32" i="29"/>
  <c r="CI32" i="29"/>
  <c r="CE32" i="29"/>
  <c r="CF34" i="29"/>
  <c r="CG34" i="29"/>
  <c r="CF35" i="29"/>
  <c r="CG35" i="29"/>
  <c r="CE38" i="29"/>
  <c r="CF38" i="29"/>
  <c r="CG38" i="29"/>
  <c r="CE39" i="29"/>
  <c r="CF39" i="29"/>
  <c r="CG39" i="29"/>
  <c r="CE40" i="29"/>
  <c r="CF40" i="29"/>
  <c r="CG40" i="29"/>
  <c r="CF41" i="29"/>
  <c r="CG41" i="29"/>
  <c r="CE42" i="29"/>
  <c r="CF42" i="29"/>
  <c r="CG42" i="29"/>
  <c r="CE43" i="29"/>
  <c r="CF43" i="29"/>
  <c r="CG43" i="29"/>
  <c r="CF44" i="29"/>
  <c r="CG44" i="29"/>
  <c r="CE45" i="29"/>
  <c r="CF45" i="29"/>
  <c r="CG45" i="29"/>
  <c r="CE46" i="29"/>
  <c r="CF46" i="29"/>
  <c r="CG46" i="29"/>
  <c r="CG31" i="29"/>
  <c r="W56" i="29"/>
  <c r="W57" i="29"/>
  <c r="W58" i="29"/>
  <c r="W59" i="29"/>
  <c r="W60" i="29"/>
  <c r="W61" i="29"/>
  <c r="W63" i="29"/>
  <c r="W64" i="29"/>
  <c r="W66" i="29"/>
  <c r="W67" i="29"/>
  <c r="Y67" i="29"/>
  <c r="W69" i="29"/>
  <c r="W70" i="29"/>
  <c r="Y70" i="29"/>
  <c r="P58" i="29"/>
  <c r="P61" i="29"/>
  <c r="P62" i="29"/>
  <c r="P64" i="29"/>
  <c r="P65" i="29"/>
  <c r="P66" i="29"/>
  <c r="P67" i="29"/>
  <c r="P68" i="29"/>
  <c r="P69" i="29"/>
  <c r="P70" i="29"/>
  <c r="P55" i="29"/>
  <c r="Y43" i="29"/>
  <c r="Y46" i="29"/>
  <c r="W32" i="29"/>
  <c r="W33" i="29"/>
  <c r="W34" i="29"/>
  <c r="W35" i="29"/>
  <c r="W36" i="29"/>
  <c r="W37" i="29"/>
  <c r="W39" i="29"/>
  <c r="W40" i="29"/>
  <c r="W42" i="29"/>
  <c r="W43" i="29"/>
  <c r="W45" i="29"/>
  <c r="W46" i="29"/>
  <c r="Q33" i="29"/>
  <c r="R33" i="29"/>
  <c r="P34" i="29"/>
  <c r="Q34" i="29"/>
  <c r="R34" i="29"/>
  <c r="Q35" i="29"/>
  <c r="R35" i="29"/>
  <c r="Q36" i="29"/>
  <c r="R36" i="29"/>
  <c r="P37" i="29"/>
  <c r="Q37" i="29"/>
  <c r="R37" i="29"/>
  <c r="P38" i="29"/>
  <c r="Q38" i="29"/>
  <c r="R38" i="29"/>
  <c r="Q39" i="29"/>
  <c r="R39" i="29"/>
  <c r="P40" i="29"/>
  <c r="Q40" i="29"/>
  <c r="R40" i="29"/>
  <c r="P41" i="29"/>
  <c r="P42" i="29"/>
  <c r="Q42" i="29"/>
  <c r="P43" i="29"/>
  <c r="P44" i="29"/>
  <c r="Q44" i="29"/>
  <c r="R44" i="29"/>
  <c r="P45" i="29"/>
  <c r="Q45" i="29"/>
  <c r="R45" i="29"/>
  <c r="P46" i="29"/>
  <c r="Q46" i="29"/>
  <c r="R46" i="29"/>
  <c r="R32" i="29"/>
  <c r="Q32" i="29"/>
  <c r="P31" i="29"/>
  <c r="M32" i="29"/>
  <c r="N34" i="29"/>
  <c r="O34" i="29"/>
  <c r="N35" i="29"/>
  <c r="O35" i="29"/>
  <c r="M38" i="29"/>
  <c r="N38" i="29"/>
  <c r="O38" i="29"/>
  <c r="M39" i="29"/>
  <c r="N39" i="29"/>
  <c r="O39" i="29"/>
  <c r="M40" i="29"/>
  <c r="N40" i="29"/>
  <c r="O40" i="29"/>
  <c r="N41" i="29"/>
  <c r="O41" i="29"/>
  <c r="M42" i="29"/>
  <c r="N42" i="29"/>
  <c r="O42" i="29"/>
  <c r="M43" i="29"/>
  <c r="N43" i="29"/>
  <c r="O43" i="29"/>
  <c r="N44" i="29"/>
  <c r="O44" i="29"/>
  <c r="M45" i="29"/>
  <c r="N45" i="29"/>
  <c r="O45" i="29"/>
  <c r="M46" i="29"/>
  <c r="N46" i="29"/>
  <c r="O46" i="29"/>
  <c r="O31" i="29"/>
  <c r="U23" i="56"/>
  <c r="U24" i="56"/>
  <c r="U25" i="56"/>
  <c r="U26" i="56"/>
  <c r="U27" i="56"/>
  <c r="U28" i="56"/>
  <c r="U29" i="56"/>
  <c r="U30" i="56"/>
  <c r="U31" i="56"/>
  <c r="U32" i="56"/>
  <c r="U22" i="56"/>
  <c r="T32" i="56"/>
  <c r="T31" i="56"/>
  <c r="T30" i="56"/>
  <c r="T29" i="56"/>
  <c r="T28" i="56"/>
  <c r="T27" i="56"/>
  <c r="T26" i="56"/>
  <c r="T25" i="56"/>
  <c r="T24" i="56"/>
  <c r="T23" i="56"/>
  <c r="T22" i="56"/>
  <c r="T6" i="56"/>
  <c r="U6" i="56"/>
  <c r="T7" i="56"/>
  <c r="U7" i="56"/>
  <c r="T8" i="56"/>
  <c r="U8" i="56"/>
  <c r="T9" i="56"/>
  <c r="U9" i="56"/>
  <c r="T10" i="56"/>
  <c r="U10" i="56"/>
  <c r="T11" i="56"/>
  <c r="U11" i="56"/>
  <c r="T12" i="56"/>
  <c r="U12" i="56"/>
  <c r="T13" i="56"/>
  <c r="U13" i="56"/>
  <c r="T14" i="56"/>
  <c r="U14" i="56"/>
  <c r="T15" i="56"/>
  <c r="U15" i="56"/>
  <c r="T16" i="56"/>
  <c r="U16" i="56"/>
  <c r="U5" i="56"/>
  <c r="T5" i="56"/>
  <c r="CN261" i="29"/>
  <c r="CO261" i="29"/>
  <c r="CN257" i="29"/>
  <c r="CO257" i="29"/>
  <c r="CJ225" i="29"/>
  <c r="CK225" i="29"/>
  <c r="CK224" i="29"/>
  <c r="CJ224" i="29"/>
  <c r="CS196" i="29"/>
  <c r="CQ196" i="29"/>
  <c r="CS192" i="29"/>
  <c r="CQ192" i="29"/>
  <c r="CK168" i="29"/>
  <c r="CL168" i="29"/>
  <c r="CK162" i="29"/>
  <c r="CL162" i="29"/>
  <c r="CL167" i="29"/>
  <c r="CK167" i="29"/>
  <c r="CL161" i="29"/>
  <c r="CK161" i="29"/>
  <c r="CQ141" i="29"/>
  <c r="CS141" i="29"/>
  <c r="CQ142" i="29"/>
  <c r="CS142" i="29"/>
  <c r="CQ143" i="29"/>
  <c r="CS143" i="29"/>
  <c r="CQ144" i="29"/>
  <c r="CS144" i="29"/>
  <c r="CQ145" i="29"/>
  <c r="CS145" i="29"/>
  <c r="CQ146" i="29"/>
  <c r="CS146" i="29"/>
  <c r="CQ147" i="29"/>
  <c r="CS147" i="29"/>
  <c r="CS140" i="29"/>
  <c r="CQ140" i="29"/>
  <c r="CQ130" i="29"/>
  <c r="CS130" i="29"/>
  <c r="CQ131" i="29"/>
  <c r="CS131" i="29"/>
  <c r="CQ132" i="29"/>
  <c r="CS132" i="29"/>
  <c r="CQ133" i="29"/>
  <c r="CS133" i="29"/>
  <c r="CQ134" i="29"/>
  <c r="CS134" i="29"/>
  <c r="CQ135" i="29"/>
  <c r="CS135" i="29"/>
  <c r="CQ136" i="29"/>
  <c r="CS136" i="29"/>
  <c r="CS129" i="29"/>
  <c r="CQ129" i="29"/>
  <c r="Q289" i="29" l="1"/>
  <c r="P289" i="29"/>
  <c r="Q285" i="29"/>
  <c r="P285" i="29"/>
  <c r="R261" i="29"/>
  <c r="Q261" i="29"/>
  <c r="R257" i="29"/>
  <c r="Q257" i="29"/>
  <c r="N225" i="29"/>
  <c r="O225" i="29"/>
  <c r="O224" i="29"/>
  <c r="N224" i="29"/>
  <c r="R196" i="29"/>
  <c r="Q196" i="29"/>
  <c r="R192" i="29"/>
  <c r="Q192" i="29"/>
  <c r="N168" i="29"/>
  <c r="M168" i="29"/>
  <c r="N167" i="29"/>
  <c r="M167" i="29"/>
  <c r="N162" i="29"/>
  <c r="M162" i="29"/>
  <c r="N161" i="29"/>
  <c r="M161" i="29"/>
  <c r="Q141" i="29"/>
  <c r="R141" i="29"/>
  <c r="Q142" i="29"/>
  <c r="R142" i="29"/>
  <c r="Q143" i="29"/>
  <c r="R143" i="29"/>
  <c r="Q144" i="29"/>
  <c r="R144" i="29"/>
  <c r="Q145" i="29"/>
  <c r="R145" i="29"/>
  <c r="Q146" i="29"/>
  <c r="R146" i="29"/>
  <c r="Q147" i="29"/>
  <c r="R147" i="29"/>
  <c r="R140" i="29"/>
  <c r="Q140" i="29"/>
  <c r="Q130" i="29"/>
  <c r="R130" i="29"/>
  <c r="Q131" i="29"/>
  <c r="R131" i="29"/>
  <c r="Q132" i="29"/>
  <c r="R132" i="29"/>
  <c r="Q133" i="29"/>
  <c r="R133" i="29"/>
  <c r="Q134" i="29"/>
  <c r="R134" i="29"/>
  <c r="Q135" i="29"/>
  <c r="R135" i="29"/>
  <c r="Q136" i="29"/>
  <c r="R136" i="29"/>
  <c r="R129" i="29"/>
  <c r="Q129" i="29"/>
  <c r="R26" i="57"/>
  <c r="CQ63" i="29"/>
  <c r="CN168" i="29" s="1"/>
  <c r="Y63" i="29"/>
  <c r="CQ64" i="29"/>
  <c r="CN167" i="29" s="1"/>
  <c r="Y64" i="29"/>
  <c r="P17" i="57"/>
  <c r="CQ39" i="29" s="1"/>
  <c r="CN162" i="29" s="1"/>
  <c r="O17" i="57"/>
  <c r="P4" i="57"/>
  <c r="CQ40" i="29" s="1"/>
  <c r="CN161" i="29" s="1"/>
  <c r="O4" i="57"/>
  <c r="O14" i="57"/>
  <c r="P14" i="57"/>
  <c r="CQ37" i="29" s="1"/>
  <c r="CU135" i="29" s="1"/>
  <c r="O63" i="21"/>
  <c r="Y37" i="29" l="1"/>
  <c r="T135" i="29" s="1"/>
  <c r="Y39" i="29"/>
  <c r="P162" i="29" s="1"/>
  <c r="U17" i="57"/>
  <c r="Y40" i="29"/>
  <c r="P161" i="29" s="1"/>
  <c r="U4" i="57"/>
  <c r="R24" i="57"/>
  <c r="R27" i="57"/>
  <c r="R30" i="57"/>
  <c r="R29" i="57"/>
  <c r="R25" i="57"/>
  <c r="S27" i="57"/>
  <c r="S26" i="57"/>
  <c r="S29" i="57"/>
  <c r="S25" i="57"/>
  <c r="S24" i="57"/>
  <c r="S30" i="57"/>
  <c r="S23" i="57"/>
  <c r="R23" i="57"/>
  <c r="O24" i="57"/>
  <c r="O27" i="57"/>
  <c r="O29" i="57"/>
  <c r="O26" i="57"/>
  <c r="O30" i="57"/>
  <c r="O25" i="57"/>
  <c r="P27" i="57"/>
  <c r="P29" i="57"/>
  <c r="P25" i="57"/>
  <c r="P26" i="57"/>
  <c r="P24" i="57"/>
  <c r="P30" i="57"/>
  <c r="P23" i="57"/>
  <c r="O23" i="57"/>
  <c r="CQ71" i="29"/>
  <c r="CQ54" i="29"/>
  <c r="CQ30" i="29"/>
  <c r="L22" i="56"/>
  <c r="S289" i="29"/>
  <c r="Y71" i="29"/>
  <c r="Y54" i="29"/>
  <c r="S285" i="29"/>
  <c r="Q225" i="29"/>
  <c r="Y30" i="29"/>
  <c r="P167" i="29"/>
  <c r="CQ55" i="29"/>
  <c r="CU140" i="29" s="1"/>
  <c r="CQ60" i="29"/>
  <c r="CU142" i="29" s="1"/>
  <c r="CQ57" i="29"/>
  <c r="CU144" i="29" s="1"/>
  <c r="CQ56" i="29"/>
  <c r="CU145" i="29" s="1"/>
  <c r="CQ61" i="29"/>
  <c r="CU146" i="29" s="1"/>
  <c r="P168" i="29"/>
  <c r="O5" i="57"/>
  <c r="P5" i="57"/>
  <c r="O6" i="57"/>
  <c r="P6" i="57"/>
  <c r="CQ31" i="29" s="1"/>
  <c r="CU129" i="29" s="1"/>
  <c r="O7" i="57"/>
  <c r="P7" i="57"/>
  <c r="O8" i="57"/>
  <c r="P8" i="57"/>
  <c r="CQ36" i="29" s="1"/>
  <c r="CU131" i="29" s="1"/>
  <c r="O9" i="57"/>
  <c r="P9" i="57"/>
  <c r="CQ33" i="29" s="1"/>
  <c r="CU133" i="29" s="1"/>
  <c r="O10" i="57"/>
  <c r="P10" i="57"/>
  <c r="CQ32" i="29" s="1"/>
  <c r="CU134" i="29" s="1"/>
  <c r="O11" i="57"/>
  <c r="P11" i="57"/>
  <c r="O12" i="57"/>
  <c r="P12" i="57"/>
  <c r="O13" i="57"/>
  <c r="P13" i="57"/>
  <c r="O15" i="57"/>
  <c r="P15" i="57"/>
  <c r="O16" i="57"/>
  <c r="P16" i="57"/>
  <c r="CQ256" i="29"/>
  <c r="CT134" i="29"/>
  <c r="CT133" i="29"/>
  <c r="CT136" i="29"/>
  <c r="CT131" i="29"/>
  <c r="CT135" i="29"/>
  <c r="CM162" i="29"/>
  <c r="CM161" i="29"/>
  <c r="CT192" i="29"/>
  <c r="CL224" i="29"/>
  <c r="CL225" i="29"/>
  <c r="R289" i="29"/>
  <c r="CQ261" i="29"/>
  <c r="S261" i="29"/>
  <c r="CM167" i="29"/>
  <c r="O167" i="29"/>
  <c r="CM168" i="29"/>
  <c r="O168" i="29"/>
  <c r="CT146" i="29"/>
  <c r="S146" i="29"/>
  <c r="CT142" i="29"/>
  <c r="S142" i="29"/>
  <c r="CT143" i="29"/>
  <c r="S143" i="29"/>
  <c r="CT147" i="29"/>
  <c r="S147" i="29"/>
  <c r="CT144" i="29"/>
  <c r="S144" i="29"/>
  <c r="CT145" i="29"/>
  <c r="S145" i="29"/>
  <c r="R285" i="29"/>
  <c r="CQ257" i="29"/>
  <c r="S257" i="29"/>
  <c r="S256" i="29"/>
  <c r="P225" i="29"/>
  <c r="P224" i="29"/>
  <c r="S192" i="29"/>
  <c r="O161" i="29"/>
  <c r="O162" i="29"/>
  <c r="S135" i="29"/>
  <c r="S131" i="29"/>
  <c r="S132" i="29"/>
  <c r="S136" i="29"/>
  <c r="S133" i="29"/>
  <c r="S134" i="29"/>
  <c r="CT129" i="29"/>
  <c r="B23" i="28"/>
  <c r="B22" i="28"/>
  <c r="B21" i="28"/>
  <c r="B20" i="28"/>
  <c r="B19" i="28"/>
  <c r="CT130" i="29"/>
  <c r="CT132" i="29"/>
  <c r="M30" i="56"/>
  <c r="R30" i="56" s="1"/>
  <c r="CO68" i="29" s="1"/>
  <c r="CQ260" i="29" s="1"/>
  <c r="L30" i="56"/>
  <c r="W65" i="29"/>
  <c r="S196" i="29" s="1"/>
  <c r="M28" i="56"/>
  <c r="L28" i="56"/>
  <c r="M22" i="56"/>
  <c r="S130" i="29"/>
  <c r="S129" i="29"/>
  <c r="C16" i="29" l="1"/>
  <c r="C12" i="29"/>
  <c r="C13" i="29"/>
  <c r="C14" i="29"/>
  <c r="C15" i="29"/>
  <c r="C17" i="29"/>
  <c r="C19" i="29"/>
  <c r="C10" i="29"/>
  <c r="C11" i="29"/>
  <c r="C21" i="29"/>
  <c r="C22" i="29"/>
  <c r="C7" i="29"/>
  <c r="C23" i="29"/>
  <c r="C8" i="29"/>
  <c r="C24" i="29"/>
  <c r="C9" i="29"/>
  <c r="C4" i="29"/>
  <c r="C6" i="29"/>
  <c r="C20" i="29"/>
  <c r="C5" i="29"/>
  <c r="C18" i="29"/>
  <c r="Y61" i="29"/>
  <c r="T146" i="29" s="1"/>
  <c r="Y56" i="29"/>
  <c r="T145" i="29" s="1"/>
  <c r="Y55" i="29"/>
  <c r="T140" i="29" s="1"/>
  <c r="Y57" i="29"/>
  <c r="T144" i="29" s="1"/>
  <c r="Y60" i="29"/>
  <c r="T142" i="29" s="1"/>
  <c r="U14" i="57"/>
  <c r="U15" i="57"/>
  <c r="U5" i="57"/>
  <c r="U16" i="57"/>
  <c r="U13" i="57"/>
  <c r="U10" i="57"/>
  <c r="Y32" i="29"/>
  <c r="T134" i="29" s="1"/>
  <c r="U6" i="57"/>
  <c r="Y31" i="29"/>
  <c r="T129" i="29" s="1"/>
  <c r="U9" i="57"/>
  <c r="Y33" i="29"/>
  <c r="T133" i="29" s="1"/>
  <c r="U12" i="57"/>
  <c r="U8" i="57"/>
  <c r="Y36" i="29"/>
  <c r="T131" i="29" s="1"/>
  <c r="U11" i="57"/>
  <c r="U7" i="57"/>
  <c r="CP53" i="29"/>
  <c r="Q30" i="56"/>
  <c r="W68" i="29" s="1"/>
  <c r="S260" i="29" s="1"/>
  <c r="Q22" i="56"/>
  <c r="W55" i="29" s="1"/>
  <c r="S140" i="29" s="1"/>
  <c r="R22" i="56"/>
  <c r="CO55" i="29" s="1"/>
  <c r="CT140" i="29" s="1"/>
  <c r="Q28" i="56"/>
  <c r="W62" i="29" s="1"/>
  <c r="S141" i="29" s="1"/>
  <c r="R28" i="56"/>
  <c r="CO62" i="29" s="1"/>
  <c r="CT141" i="29" s="1"/>
  <c r="CO65" i="29"/>
  <c r="CT196" i="29" s="1"/>
  <c r="X29" i="29" l="1"/>
  <c r="X53" i="29"/>
  <c r="Z29" i="29"/>
  <c r="Z53" i="29"/>
  <c r="Y29" i="29"/>
  <c r="Y53" i="29"/>
  <c r="CP29" i="29"/>
  <c r="CR53" i="29"/>
  <c r="CR29" i="29"/>
  <c r="CQ53" i="29"/>
  <c r="CM53" i="29"/>
  <c r="U53" i="29"/>
  <c r="CQ29" i="29"/>
  <c r="CM29" i="29"/>
  <c r="U29" i="29"/>
  <c r="B35" i="50"/>
  <c r="C35" i="50"/>
  <c r="A35" i="50"/>
  <c r="W35" i="50"/>
  <c r="G35" i="50"/>
  <c r="V35" i="50"/>
  <c r="S35" i="50"/>
  <c r="U35" i="50"/>
  <c r="F35" i="50"/>
  <c r="D35" i="50"/>
  <c r="H35" i="50"/>
  <c r="I35" i="50" l="1"/>
  <c r="X35" i="50"/>
  <c r="P16" i="49" l="1"/>
  <c r="Q16" i="49"/>
  <c r="Y16" i="49"/>
  <c r="Z16" i="49"/>
  <c r="C17" i="49"/>
  <c r="D17" i="49" s="1"/>
  <c r="G17" i="49"/>
  <c r="H17" i="49"/>
  <c r="I17" i="49"/>
  <c r="K17" i="49" s="1"/>
  <c r="L17" i="49"/>
  <c r="M17" i="49" s="1"/>
  <c r="P17" i="49"/>
  <c r="Q17" i="49"/>
  <c r="R17" i="49"/>
  <c r="T17" i="49" s="1"/>
  <c r="U17" i="49"/>
  <c r="V17" i="49" s="1"/>
  <c r="Y17" i="49"/>
  <c r="Z17" i="49"/>
  <c r="AA17" i="49"/>
  <c r="AC17" i="49" s="1"/>
  <c r="S17" i="49" l="1"/>
  <c r="J17" i="49"/>
  <c r="AB17" i="49"/>
  <c r="W17" i="49"/>
  <c r="N17" i="49"/>
  <c r="E17" i="49"/>
  <c r="F6" i="53" l="1"/>
  <c r="CM44" i="29" s="1"/>
  <c r="CN256" i="29" s="1"/>
  <c r="C6" i="53"/>
  <c r="U44" i="29" s="1"/>
  <c r="Q256" i="29" s="1"/>
  <c r="F9" i="53"/>
  <c r="F7" i="53" s="1"/>
  <c r="CM68" i="29" s="1"/>
  <c r="CN260" i="29" s="1"/>
  <c r="C7" i="53"/>
  <c r="U68" i="29" s="1"/>
  <c r="Q260" i="29" s="1"/>
  <c r="F9" i="55"/>
  <c r="F7" i="55" l="1"/>
  <c r="CN68" i="29" s="1"/>
  <c r="CO260" i="29" s="1"/>
  <c r="F6" i="55"/>
  <c r="CN44" i="29" s="1"/>
  <c r="CO256" i="29" s="1"/>
  <c r="C7" i="55"/>
  <c r="V68" i="29" s="1"/>
  <c r="R260" i="29" s="1"/>
  <c r="C6" i="55"/>
  <c r="V44" i="29" s="1"/>
  <c r="R256" i="29" s="1"/>
  <c r="H7" i="55"/>
  <c r="G7" i="55"/>
  <c r="H6" i="55"/>
  <c r="G6" i="55"/>
  <c r="E6" i="55"/>
  <c r="E7" i="55"/>
  <c r="D7" i="55"/>
  <c r="D6" i="55"/>
  <c r="AA53" i="29" l="1"/>
  <c r="CS53" i="29"/>
  <c r="CN53" i="29"/>
  <c r="V53" i="29"/>
  <c r="V29" i="29"/>
  <c r="CN29" i="29"/>
  <c r="CS29" i="29"/>
  <c r="AA29" i="29"/>
  <c r="G17" i="50"/>
  <c r="I17" i="50"/>
  <c r="J17" i="50"/>
  <c r="H17" i="50"/>
  <c r="K17" i="50" l="1"/>
  <c r="L17" i="50" s="1"/>
  <c r="M17" i="50" s="1"/>
  <c r="X49" i="52" l="1"/>
  <c r="J49" i="52"/>
  <c r="D49" i="52"/>
  <c r="AD53" i="52" l="1"/>
  <c r="AD51" i="52"/>
  <c r="X51" i="52"/>
  <c r="J51" i="52"/>
  <c r="AD50" i="52"/>
  <c r="X50" i="52"/>
  <c r="J50" i="52"/>
  <c r="AD49" i="52"/>
  <c r="AD48" i="52"/>
  <c r="AD47" i="52"/>
  <c r="X47" i="52"/>
  <c r="J47" i="52"/>
  <c r="AD46" i="52"/>
  <c r="X46" i="52"/>
  <c r="J46" i="52"/>
  <c r="AD45" i="52"/>
  <c r="X45" i="52"/>
  <c r="J45" i="52"/>
  <c r="AD44" i="52"/>
  <c r="X44" i="52"/>
  <c r="J44" i="52"/>
  <c r="A38" i="52"/>
  <c r="A37" i="52"/>
  <c r="A36" i="52"/>
  <c r="V27" i="52"/>
  <c r="H27" i="52"/>
  <c r="V26" i="52"/>
  <c r="H26" i="52"/>
  <c r="V25" i="52"/>
  <c r="H25" i="52"/>
  <c r="V24" i="52"/>
  <c r="H24" i="52"/>
  <c r="V23" i="52"/>
  <c r="H23" i="52"/>
  <c r="V22" i="52"/>
  <c r="H22" i="52"/>
  <c r="V21" i="52"/>
  <c r="H21" i="52"/>
  <c r="V20" i="52"/>
  <c r="H20" i="52"/>
  <c r="V19" i="52"/>
  <c r="H19" i="52"/>
  <c r="V18" i="52"/>
  <c r="H18" i="52"/>
  <c r="V17" i="52"/>
  <c r="H17" i="52"/>
  <c r="V16" i="52"/>
  <c r="H16" i="52"/>
  <c r="V15" i="52"/>
  <c r="H15" i="52"/>
  <c r="V14" i="52"/>
  <c r="H14" i="52"/>
  <c r="V13" i="52"/>
  <c r="H13" i="52"/>
  <c r="V12" i="52"/>
  <c r="H12" i="52"/>
  <c r="V11" i="52"/>
  <c r="H11" i="52"/>
  <c r="V10" i="52"/>
  <c r="H10" i="52"/>
  <c r="V9" i="52"/>
  <c r="H9" i="52"/>
  <c r="V8" i="52"/>
  <c r="H8" i="52"/>
  <c r="V7" i="52"/>
  <c r="H7" i="52"/>
  <c r="V6" i="52"/>
  <c r="H6" i="52"/>
  <c r="V5" i="52"/>
  <c r="H5" i="52"/>
  <c r="F44" i="52"/>
  <c r="H46" i="52"/>
  <c r="T47" i="52"/>
  <c r="R47" i="52"/>
  <c r="R50" i="52"/>
  <c r="G53" i="52"/>
  <c r="U47" i="52"/>
  <c r="G46" i="52"/>
  <c r="D51" i="52"/>
  <c r="T45" i="52"/>
  <c r="U49" i="52"/>
  <c r="R45" i="52"/>
  <c r="D46" i="52"/>
  <c r="T53" i="52"/>
  <c r="U44" i="52"/>
  <c r="G44" i="52"/>
  <c r="H48" i="52"/>
  <c r="F46" i="52"/>
  <c r="V50" i="52"/>
  <c r="F53" i="52"/>
  <c r="R46" i="52"/>
  <c r="U53" i="52"/>
  <c r="T51" i="52"/>
  <c r="V44" i="52"/>
  <c r="G49" i="52"/>
  <c r="H49" i="52"/>
  <c r="F50" i="52"/>
  <c r="V46" i="52"/>
  <c r="G51" i="52"/>
  <c r="V53" i="52"/>
  <c r="F49" i="52"/>
  <c r="F51" i="52"/>
  <c r="R44" i="52"/>
  <c r="T44" i="52"/>
  <c r="H44" i="52"/>
  <c r="H51" i="52"/>
  <c r="V49" i="52"/>
  <c r="R49" i="52"/>
  <c r="U48" i="52"/>
  <c r="H47" i="52"/>
  <c r="T46" i="52"/>
  <c r="U50" i="52"/>
  <c r="D47" i="52"/>
  <c r="G47" i="52"/>
  <c r="D50" i="52"/>
  <c r="R51" i="52"/>
  <c r="V45" i="52"/>
  <c r="T48" i="52"/>
  <c r="T49" i="52"/>
  <c r="F45" i="52"/>
  <c r="G48" i="52"/>
  <c r="D48" i="52"/>
  <c r="U51" i="52"/>
  <c r="V48" i="52"/>
  <c r="V51" i="52"/>
  <c r="H45" i="52"/>
  <c r="R53" i="52"/>
  <c r="D53" i="52"/>
  <c r="U46" i="52"/>
  <c r="G50" i="52"/>
  <c r="T50" i="52"/>
  <c r="D44" i="52"/>
  <c r="R48" i="52"/>
  <c r="F48" i="52"/>
  <c r="F47" i="52"/>
  <c r="V47" i="52"/>
  <c r="H53" i="52"/>
  <c r="G45" i="52"/>
  <c r="H50" i="52"/>
  <c r="U45" i="52"/>
  <c r="D45" i="52"/>
  <c r="V28" i="52" l="1"/>
  <c r="W22" i="52" s="1"/>
  <c r="W8" i="52"/>
  <c r="H28" i="52"/>
  <c r="I18" i="52" s="1"/>
  <c r="W45" i="52"/>
  <c r="I48" i="52"/>
  <c r="W46" i="52"/>
  <c r="W49" i="52"/>
  <c r="W50" i="52"/>
  <c r="W53" i="52"/>
  <c r="W47" i="52"/>
  <c r="W48" i="52"/>
  <c r="W51" i="52"/>
  <c r="I44" i="52"/>
  <c r="I45" i="52"/>
  <c r="I46" i="52"/>
  <c r="I50" i="52"/>
  <c r="W44" i="52"/>
  <c r="I47" i="52"/>
  <c r="I49" i="52"/>
  <c r="I51" i="52"/>
  <c r="I53" i="52"/>
  <c r="I25" i="52"/>
  <c r="I17" i="52"/>
  <c r="I7" i="52"/>
  <c r="I24" i="52"/>
  <c r="I14" i="52"/>
  <c r="D37" i="52" s="1"/>
  <c r="I8" i="52"/>
  <c r="I27" i="52"/>
  <c r="I19" i="52"/>
  <c r="I13" i="52"/>
  <c r="I20" i="52"/>
  <c r="I10" i="52"/>
  <c r="I26" i="52"/>
  <c r="I22" i="52"/>
  <c r="I16" i="52"/>
  <c r="I12" i="52"/>
  <c r="I6" i="52"/>
  <c r="I23" i="52"/>
  <c r="I15" i="52"/>
  <c r="I21" i="52"/>
  <c r="I11" i="52"/>
  <c r="D36" i="52" s="1"/>
  <c r="W9" i="52"/>
  <c r="R38" i="52" s="1"/>
  <c r="W20" i="52"/>
  <c r="W18" i="52"/>
  <c r="W13" i="52"/>
  <c r="W14" i="52"/>
  <c r="R37" i="52" s="1"/>
  <c r="W7" i="52"/>
  <c r="W19" i="52"/>
  <c r="W23" i="52"/>
  <c r="W5" i="52"/>
  <c r="W11" i="52" l="1"/>
  <c r="R36" i="52" s="1"/>
  <c r="W24" i="52"/>
  <c r="W21" i="52"/>
  <c r="X48" i="52" s="1"/>
  <c r="W12" i="52"/>
  <c r="W17" i="52"/>
  <c r="W25" i="52"/>
  <c r="W10" i="52"/>
  <c r="W26" i="52"/>
  <c r="X53" i="52" s="1"/>
  <c r="W15" i="52"/>
  <c r="W16" i="52"/>
  <c r="J48" i="52"/>
  <c r="W27" i="52"/>
  <c r="W6" i="52"/>
  <c r="I5" i="52"/>
  <c r="J53" i="52" s="1"/>
  <c r="I9" i="52"/>
  <c r="D38" i="52" s="1"/>
  <c r="D39" i="52" s="1"/>
  <c r="E36" i="52" s="1"/>
  <c r="W54" i="52"/>
  <c r="R39" i="52"/>
  <c r="S38" i="52" s="1"/>
  <c r="I54" i="52"/>
  <c r="W28" i="52" l="1"/>
  <c r="S37" i="52"/>
  <c r="X54" i="52"/>
  <c r="I28" i="52"/>
  <c r="J54" i="52"/>
  <c r="E37" i="52"/>
  <c r="E38" i="52"/>
  <c r="S36" i="52"/>
  <c r="S39" i="52" s="1"/>
  <c r="E39" i="52" l="1"/>
  <c r="K9" i="51" l="1"/>
  <c r="K8" i="51"/>
  <c r="K7" i="51"/>
  <c r="K6" i="51"/>
  <c r="AA9" i="51"/>
  <c r="AA13" i="51" s="1"/>
  <c r="AA8" i="51"/>
  <c r="AA7" i="51"/>
  <c r="AA6" i="51"/>
  <c r="G9" i="50"/>
  <c r="G12" i="50"/>
  <c r="G13" i="50"/>
  <c r="G14" i="50"/>
  <c r="G7" i="50"/>
  <c r="G15" i="50"/>
  <c r="A36" i="50"/>
  <c r="A34" i="50"/>
  <c r="A33" i="50"/>
  <c r="A32" i="50"/>
  <c r="V15" i="50"/>
  <c r="V14" i="50"/>
  <c r="V13" i="50"/>
  <c r="V12" i="50"/>
  <c r="V11" i="50"/>
  <c r="G11" i="50"/>
  <c r="V10" i="50"/>
  <c r="G10" i="50"/>
  <c r="V9" i="50"/>
  <c r="V8" i="50"/>
  <c r="G8" i="50"/>
  <c r="V7" i="50"/>
  <c r="V6" i="50"/>
  <c r="O77" i="21"/>
  <c r="W14" i="50"/>
  <c r="I12" i="50"/>
  <c r="Y13" i="50"/>
  <c r="J8" i="50"/>
  <c r="Y14" i="50"/>
  <c r="W7" i="50"/>
  <c r="E7" i="51"/>
  <c r="Y7" i="51"/>
  <c r="X7" i="51"/>
  <c r="G8" i="51"/>
  <c r="W7" i="51"/>
  <c r="H10" i="50"/>
  <c r="U33" i="50"/>
  <c r="X6" i="51"/>
  <c r="X7" i="50"/>
  <c r="X9" i="51"/>
  <c r="X14" i="50"/>
  <c r="J15" i="50"/>
  <c r="V32" i="50"/>
  <c r="H11" i="50"/>
  <c r="G6" i="51"/>
  <c r="Y12" i="50"/>
  <c r="G32" i="50"/>
  <c r="H7" i="51"/>
  <c r="H32" i="50"/>
  <c r="D33" i="50"/>
  <c r="I11" i="50"/>
  <c r="X11" i="50"/>
  <c r="D34" i="50"/>
  <c r="I7" i="50"/>
  <c r="I8" i="50"/>
  <c r="H6" i="50"/>
  <c r="Y6" i="50"/>
  <c r="H15" i="50"/>
  <c r="H12" i="50"/>
  <c r="X12" i="50"/>
  <c r="W36" i="50"/>
  <c r="W10" i="50"/>
  <c r="W11" i="50"/>
  <c r="E10" i="51"/>
  <c r="Y8" i="50"/>
  <c r="X8" i="50"/>
  <c r="V33" i="50"/>
  <c r="Y15" i="50"/>
  <c r="H36" i="50"/>
  <c r="S32" i="50"/>
  <c r="F36" i="50"/>
  <c r="H33" i="50"/>
  <c r="J13" i="50"/>
  <c r="I7" i="51"/>
  <c r="U7" i="51"/>
  <c r="W6" i="50"/>
  <c r="H8" i="50"/>
  <c r="G10" i="51"/>
  <c r="H13" i="50"/>
  <c r="J12" i="50"/>
  <c r="Y6" i="51"/>
  <c r="I9" i="51"/>
  <c r="I6" i="50"/>
  <c r="E8" i="51"/>
  <c r="X6" i="50"/>
  <c r="F32" i="50"/>
  <c r="F33" i="50"/>
  <c r="H34" i="50"/>
  <c r="W8" i="50"/>
  <c r="U36" i="50"/>
  <c r="U8" i="51"/>
  <c r="H8" i="51"/>
  <c r="H7" i="50"/>
  <c r="H9" i="51"/>
  <c r="W33" i="50"/>
  <c r="F34" i="50"/>
  <c r="W6" i="51"/>
  <c r="W12" i="50"/>
  <c r="J10" i="50"/>
  <c r="E6" i="51"/>
  <c r="U6" i="51"/>
  <c r="Y7" i="50"/>
  <c r="I14" i="50"/>
  <c r="I10" i="50"/>
  <c r="S33" i="50"/>
  <c r="I8" i="51"/>
  <c r="I13" i="50"/>
  <c r="H14" i="50"/>
  <c r="H9" i="50"/>
  <c r="X13" i="50"/>
  <c r="D36" i="50"/>
  <c r="Y9" i="50"/>
  <c r="Y9" i="51"/>
  <c r="U32" i="50"/>
  <c r="S36" i="50"/>
  <c r="H6" i="51"/>
  <c r="I6" i="51"/>
  <c r="W32" i="50"/>
  <c r="U34" i="50"/>
  <c r="Y8" i="51"/>
  <c r="X10" i="50"/>
  <c r="G7" i="51"/>
  <c r="D32" i="50"/>
  <c r="J6" i="50"/>
  <c r="W15" i="50"/>
  <c r="U9" i="51"/>
  <c r="W34" i="50"/>
  <c r="J9" i="50"/>
  <c r="G9" i="51"/>
  <c r="J11" i="50"/>
  <c r="V36" i="50"/>
  <c r="I15" i="50"/>
  <c r="X9" i="50"/>
  <c r="Y10" i="50"/>
  <c r="S34" i="50"/>
  <c r="Y11" i="50"/>
  <c r="I9" i="50"/>
  <c r="X15" i="50"/>
  <c r="J14" i="50"/>
  <c r="V34" i="50"/>
  <c r="G34" i="50"/>
  <c r="G33" i="50"/>
  <c r="X8" i="51"/>
  <c r="W9" i="50"/>
  <c r="G36" i="50"/>
  <c r="W8" i="51"/>
  <c r="W13" i="50"/>
  <c r="W9" i="51"/>
  <c r="E9" i="51"/>
  <c r="J7" i="50"/>
  <c r="S53" i="29" l="1"/>
  <c r="CK53" i="29"/>
  <c r="S29" i="29"/>
  <c r="CK29" i="29"/>
  <c r="L6" i="51"/>
  <c r="J9" i="51"/>
  <c r="Z7" i="51"/>
  <c r="J6" i="51"/>
  <c r="Z8" i="51"/>
  <c r="L7" i="51"/>
  <c r="J7" i="51"/>
  <c r="Z9" i="51"/>
  <c r="J8" i="51"/>
  <c r="Z6" i="51"/>
  <c r="AB7" i="51"/>
  <c r="AB6" i="51"/>
  <c r="L8" i="51"/>
  <c r="AB8" i="51"/>
  <c r="L9" i="51"/>
  <c r="K13" i="51"/>
  <c r="AB9" i="51"/>
  <c r="G6" i="50"/>
  <c r="K9" i="50"/>
  <c r="L9" i="50" s="1"/>
  <c r="M9" i="50" s="1"/>
  <c r="I32" i="50"/>
  <c r="Z7" i="50"/>
  <c r="AA7" i="50" s="1"/>
  <c r="AB7" i="50" s="1"/>
  <c r="Y33" i="50" s="1"/>
  <c r="Z33" i="50" s="1"/>
  <c r="Z11" i="50"/>
  <c r="AA11" i="50" s="1"/>
  <c r="AB11" i="50" s="1"/>
  <c r="Y35" i="50" s="1"/>
  <c r="Z35" i="50" s="1"/>
  <c r="I36" i="50"/>
  <c r="K8" i="50"/>
  <c r="L8" i="50" s="1"/>
  <c r="M8" i="50" s="1"/>
  <c r="K7" i="50"/>
  <c r="L7" i="50" s="1"/>
  <c r="M7" i="50" s="1"/>
  <c r="J33" i="50" s="1"/>
  <c r="K33" i="50" s="1"/>
  <c r="K11" i="50"/>
  <c r="L11" i="50" s="1"/>
  <c r="M11" i="50" s="1"/>
  <c r="J35" i="50" s="1"/>
  <c r="K35" i="50" s="1"/>
  <c r="Z8" i="50"/>
  <c r="AA8" i="50" s="1"/>
  <c r="AB8" i="50" s="1"/>
  <c r="X33" i="50"/>
  <c r="Z6" i="50"/>
  <c r="AA6" i="50" s="1"/>
  <c r="AB6" i="50" s="1"/>
  <c r="Y32" i="50" s="1"/>
  <c r="Z10" i="50"/>
  <c r="AA10" i="50" s="1"/>
  <c r="AB10" i="50" s="1"/>
  <c r="Y34" i="50" s="1"/>
  <c r="Z34" i="50" s="1"/>
  <c r="I33" i="50"/>
  <c r="X34" i="50"/>
  <c r="Z15" i="50"/>
  <c r="AA15" i="50" s="1"/>
  <c r="AB15" i="50" s="1"/>
  <c r="Y36" i="50" s="1"/>
  <c r="Z36" i="50" s="1"/>
  <c r="K15" i="50"/>
  <c r="L15" i="50" s="1"/>
  <c r="M15" i="50" s="1"/>
  <c r="J36" i="50" s="1"/>
  <c r="K36" i="50" s="1"/>
  <c r="K6" i="50"/>
  <c r="L6" i="50" s="1"/>
  <c r="M6" i="50" s="1"/>
  <c r="J32" i="50" s="1"/>
  <c r="K10" i="50"/>
  <c r="L10" i="50" s="1"/>
  <c r="M10" i="50" s="1"/>
  <c r="J34" i="50" s="1"/>
  <c r="K34" i="50" s="1"/>
  <c r="Z9" i="50"/>
  <c r="AA9" i="50" s="1"/>
  <c r="AB9" i="50" s="1"/>
  <c r="X32" i="50"/>
  <c r="I34" i="50"/>
  <c r="X36" i="50"/>
  <c r="AB13" i="51" l="1"/>
  <c r="L13" i="51"/>
  <c r="J13" i="51"/>
  <c r="Z13" i="51"/>
  <c r="K32" i="50"/>
  <c r="J38" i="50"/>
  <c r="Y38" i="50"/>
  <c r="Z32" i="50"/>
  <c r="X38" i="50"/>
  <c r="I38" i="50"/>
  <c r="Z38" i="50" l="1"/>
  <c r="K38" i="50"/>
  <c r="G29" i="29" l="1"/>
  <c r="X28" i="21" l="1"/>
  <c r="A69" i="45" l="1"/>
  <c r="V70" i="45"/>
  <c r="U69" i="45"/>
  <c r="F69" i="45"/>
  <c r="E70" i="45"/>
  <c r="F70" i="45"/>
  <c r="V69" i="45"/>
  <c r="U70" i="45"/>
  <c r="G70" i="45" l="1"/>
  <c r="W70" i="45"/>
  <c r="W69" i="45"/>
  <c r="I289" i="29"/>
  <c r="I261" i="29"/>
  <c r="I260" i="29"/>
  <c r="I196" i="29"/>
  <c r="I167" i="29"/>
  <c r="I141" i="29"/>
  <c r="I146" i="29"/>
  <c r="I147" i="29"/>
  <c r="I140" i="29"/>
  <c r="I285" i="29"/>
  <c r="I257" i="29"/>
  <c r="I256" i="29"/>
  <c r="CH224" i="29"/>
  <c r="L224" i="29"/>
  <c r="I192" i="29"/>
  <c r="CJ161" i="29"/>
  <c r="CI161" i="29"/>
  <c r="CH161" i="29"/>
  <c r="I161" i="29"/>
  <c r="CJ162" i="29"/>
  <c r="CI162" i="29"/>
  <c r="CH162" i="29"/>
  <c r="CN130" i="29"/>
  <c r="CM130" i="29"/>
  <c r="CL130" i="29"/>
  <c r="CN132" i="29"/>
  <c r="CM132" i="29"/>
  <c r="CN136" i="29"/>
  <c r="CM136" i="29"/>
  <c r="CN129" i="29"/>
  <c r="E69" i="45"/>
  <c r="G69" i="45" l="1"/>
  <c r="CN289" i="29"/>
  <c r="CN285" i="29"/>
  <c r="CM257" i="29"/>
  <c r="CM261" i="29"/>
  <c r="CM289" i="29"/>
  <c r="CM285" i="29"/>
  <c r="P257" i="29"/>
  <c r="P261" i="29"/>
  <c r="O257" i="29"/>
  <c r="O261" i="29"/>
  <c r="O256" i="29"/>
  <c r="O260" i="29"/>
  <c r="P256" i="29"/>
  <c r="P260" i="29"/>
  <c r="N257" i="29"/>
  <c r="N261" i="29"/>
  <c r="O29" i="45" l="1"/>
  <c r="R29" i="45" s="1"/>
  <c r="K51" i="25" l="1"/>
  <c r="D5" i="47" l="1"/>
  <c r="J5" i="47"/>
  <c r="K5" i="47" s="1"/>
  <c r="U5" i="47"/>
  <c r="AA5" i="47"/>
  <c r="AB5" i="47" s="1"/>
  <c r="D6" i="47"/>
  <c r="J6" i="47"/>
  <c r="K6" i="47" s="1"/>
  <c r="U6" i="47"/>
  <c r="AA6" i="47"/>
  <c r="AB6" i="47" s="1"/>
  <c r="D7" i="47"/>
  <c r="J7" i="47"/>
  <c r="K7" i="47" s="1"/>
  <c r="U7" i="47"/>
  <c r="AA7" i="47"/>
  <c r="AB7" i="47" s="1"/>
  <c r="D8" i="47"/>
  <c r="J8" i="47"/>
  <c r="K8" i="47" s="1"/>
  <c r="U9" i="47"/>
  <c r="AA9" i="47"/>
  <c r="AB9" i="47" s="1"/>
  <c r="D10" i="47"/>
  <c r="J10" i="47"/>
  <c r="K10" i="47" s="1"/>
  <c r="D11" i="47"/>
  <c r="J11" i="47"/>
  <c r="K11" i="47" s="1"/>
  <c r="U11" i="47"/>
  <c r="AA11" i="47"/>
  <c r="AB11" i="47" s="1"/>
  <c r="D12" i="47"/>
  <c r="J12" i="47"/>
  <c r="K12" i="47" s="1"/>
  <c r="U12" i="47"/>
  <c r="AA12" i="47"/>
  <c r="AB12" i="47" s="1"/>
  <c r="D14" i="47"/>
  <c r="E7" i="47" s="1"/>
  <c r="F14" i="47"/>
  <c r="G6" i="47" s="1"/>
  <c r="W14" i="47"/>
  <c r="X11" i="47" s="1"/>
  <c r="A20" i="47"/>
  <c r="E12" i="47" l="1"/>
  <c r="U14" i="47"/>
  <c r="V12" i="47" s="1"/>
  <c r="E11" i="47"/>
  <c r="E8" i="47"/>
  <c r="V7" i="47"/>
  <c r="E6" i="47"/>
  <c r="E5" i="47"/>
  <c r="AB14" i="47"/>
  <c r="AC6" i="47" s="1"/>
  <c r="K14" i="47"/>
  <c r="L11" i="47" s="1"/>
  <c r="G12" i="47"/>
  <c r="X9" i="47"/>
  <c r="X6" i="47"/>
  <c r="X12" i="47"/>
  <c r="G10" i="47"/>
  <c r="V9" i="47"/>
  <c r="G7" i="47"/>
  <c r="G5" i="47"/>
  <c r="G11" i="47"/>
  <c r="E10" i="47"/>
  <c r="X7" i="47"/>
  <c r="X5" i="47"/>
  <c r="G8" i="47"/>
  <c r="AC11" i="47" l="1"/>
  <c r="V11" i="47"/>
  <c r="V5" i="47"/>
  <c r="V14" i="47" s="1"/>
  <c r="AD11" i="47"/>
  <c r="V6" i="47"/>
  <c r="AD6" i="47" s="1"/>
  <c r="L12" i="47"/>
  <c r="M12" i="47" s="1"/>
  <c r="M11" i="47"/>
  <c r="G14" i="47"/>
  <c r="L5" i="47"/>
  <c r="M5" i="47"/>
  <c r="L8" i="47"/>
  <c r="M8" i="47" s="1"/>
  <c r="AC12" i="47"/>
  <c r="AD12" i="47" s="1"/>
  <c r="AC7" i="47"/>
  <c r="AD7" i="47" s="1"/>
  <c r="AC9" i="47"/>
  <c r="AD9" i="47" s="1"/>
  <c r="L6" i="47"/>
  <c r="M6" i="47" s="1"/>
  <c r="AC5" i="47"/>
  <c r="AD5" i="47" s="1"/>
  <c r="X14" i="47"/>
  <c r="E14" i="47"/>
  <c r="L7" i="47"/>
  <c r="M7" i="47" s="1"/>
  <c r="L10" i="47"/>
  <c r="M10" i="47" s="1"/>
  <c r="AH20" i="47"/>
  <c r="A21" i="47"/>
  <c r="AD14" i="47" l="1"/>
  <c r="AA20" i="47"/>
  <c r="M14" i="47"/>
  <c r="J20" i="47"/>
  <c r="L14" i="47"/>
  <c r="AC14" i="47"/>
  <c r="J21" i="47"/>
  <c r="K21" i="47" s="1"/>
  <c r="AA21" i="47" l="1"/>
  <c r="AB21" i="47" s="1"/>
  <c r="AH21" i="47"/>
  <c r="J22" i="47"/>
  <c r="AA22" i="47" l="1"/>
  <c r="L29" i="29" l="1"/>
  <c r="CD29" i="29"/>
  <c r="AE20" i="46"/>
  <c r="AH20" i="46" s="1"/>
  <c r="AD20" i="46"/>
  <c r="AG20" i="46" s="1"/>
  <c r="AC20" i="46"/>
  <c r="AF20" i="46" s="1"/>
  <c r="P20" i="46"/>
  <c r="S20" i="46" s="1"/>
  <c r="O20" i="46"/>
  <c r="R20" i="46" s="1"/>
  <c r="N20" i="46"/>
  <c r="Q20" i="46" s="1"/>
  <c r="AE19" i="46"/>
  <c r="AH19" i="46" s="1"/>
  <c r="AD19" i="46"/>
  <c r="AG19" i="46" s="1"/>
  <c r="AC19" i="46"/>
  <c r="AF19" i="46" s="1"/>
  <c r="P19" i="46"/>
  <c r="S19" i="46" s="1"/>
  <c r="O19" i="46"/>
  <c r="R19" i="46" s="1"/>
  <c r="N19" i="46"/>
  <c r="Q19" i="46" s="1"/>
  <c r="AE18" i="46"/>
  <c r="AH18" i="46" s="1"/>
  <c r="AD18" i="46"/>
  <c r="AG18" i="46" s="1"/>
  <c r="AC18" i="46"/>
  <c r="AF18" i="46" s="1"/>
  <c r="P18" i="46"/>
  <c r="S18" i="46" s="1"/>
  <c r="O18" i="46"/>
  <c r="R18" i="46" s="1"/>
  <c r="N18" i="46"/>
  <c r="Q18" i="46" s="1"/>
  <c r="AE17" i="46"/>
  <c r="AH17" i="46" s="1"/>
  <c r="AD17" i="46"/>
  <c r="AG17" i="46" s="1"/>
  <c r="AC17" i="46"/>
  <c r="AF17" i="46" s="1"/>
  <c r="P17" i="46"/>
  <c r="S17" i="46" s="1"/>
  <c r="O17" i="46"/>
  <c r="R17" i="46" s="1"/>
  <c r="N17" i="46"/>
  <c r="Q17" i="46" s="1"/>
  <c r="AE16" i="46"/>
  <c r="AH16" i="46" s="1"/>
  <c r="AD16" i="46"/>
  <c r="AG16" i="46" s="1"/>
  <c r="AC16" i="46"/>
  <c r="AF16" i="46" s="1"/>
  <c r="P16" i="46"/>
  <c r="S16" i="46" s="1"/>
  <c r="O16" i="46"/>
  <c r="R16" i="46" s="1"/>
  <c r="N16" i="46"/>
  <c r="Q16" i="46" s="1"/>
  <c r="AE15" i="46"/>
  <c r="AD15" i="46"/>
  <c r="AC15" i="46"/>
  <c r="V15" i="46"/>
  <c r="U15" i="46"/>
  <c r="T15" i="46"/>
  <c r="P15" i="46"/>
  <c r="O15" i="46"/>
  <c r="N15" i="46"/>
  <c r="G15" i="46"/>
  <c r="F15" i="46"/>
  <c r="E15" i="46"/>
  <c r="AE14" i="46"/>
  <c r="AD14" i="46"/>
  <c r="AC14" i="46"/>
  <c r="V14" i="46"/>
  <c r="U14" i="46"/>
  <c r="T14" i="46"/>
  <c r="P14" i="46"/>
  <c r="O14" i="46"/>
  <c r="N14" i="46"/>
  <c r="G14" i="46"/>
  <c r="F14" i="46"/>
  <c r="E14" i="46"/>
  <c r="AE13" i="46"/>
  <c r="AD13" i="46"/>
  <c r="AC13" i="46"/>
  <c r="V13" i="46"/>
  <c r="U13" i="46"/>
  <c r="T13" i="46"/>
  <c r="P13" i="46"/>
  <c r="O13" i="46"/>
  <c r="N13" i="46"/>
  <c r="G13" i="46"/>
  <c r="F13" i="46"/>
  <c r="E13" i="46"/>
  <c r="AE12" i="46"/>
  <c r="AD12" i="46"/>
  <c r="AC12" i="46"/>
  <c r="V12" i="46"/>
  <c r="U12" i="46"/>
  <c r="T12" i="46"/>
  <c r="P12" i="46"/>
  <c r="O12" i="46"/>
  <c r="N12" i="46"/>
  <c r="G12" i="46"/>
  <c r="F12" i="46"/>
  <c r="E12" i="46"/>
  <c r="AE11" i="46"/>
  <c r="AH11" i="46" s="1"/>
  <c r="AD11" i="46"/>
  <c r="AG11" i="46" s="1"/>
  <c r="AC11" i="46"/>
  <c r="AF11" i="46" s="1"/>
  <c r="P11" i="46"/>
  <c r="S11" i="46" s="1"/>
  <c r="O11" i="46"/>
  <c r="R11" i="46" s="1"/>
  <c r="N11" i="46"/>
  <c r="Q11" i="46" s="1"/>
  <c r="AE10" i="46"/>
  <c r="AD10" i="46"/>
  <c r="AC10" i="46"/>
  <c r="V10" i="46"/>
  <c r="U10" i="46"/>
  <c r="T10" i="46"/>
  <c r="P10" i="46"/>
  <c r="O10" i="46"/>
  <c r="N10" i="46"/>
  <c r="G10" i="46"/>
  <c r="F10" i="46"/>
  <c r="E10" i="46"/>
  <c r="AE9" i="46"/>
  <c r="AD9" i="46"/>
  <c r="AC9" i="46"/>
  <c r="V9" i="46"/>
  <c r="U9" i="46"/>
  <c r="T9" i="46"/>
  <c r="P9" i="46"/>
  <c r="O9" i="46"/>
  <c r="N9" i="46"/>
  <c r="G9" i="46"/>
  <c r="F9" i="46"/>
  <c r="E9" i="46"/>
  <c r="AE8" i="46"/>
  <c r="AD8" i="46"/>
  <c r="AC8" i="46"/>
  <c r="V8" i="46"/>
  <c r="U8" i="46"/>
  <c r="T8" i="46"/>
  <c r="P8" i="46"/>
  <c r="O8" i="46"/>
  <c r="N8" i="46"/>
  <c r="G8" i="46"/>
  <c r="F8" i="46"/>
  <c r="E8" i="46"/>
  <c r="AE7" i="46"/>
  <c r="AD7" i="46"/>
  <c r="AC7" i="46"/>
  <c r="V7" i="46"/>
  <c r="U7" i="46"/>
  <c r="T7" i="46"/>
  <c r="P7" i="46"/>
  <c r="O7" i="46"/>
  <c r="N7" i="46"/>
  <c r="G7" i="46"/>
  <c r="F7" i="46"/>
  <c r="E7" i="46"/>
  <c r="AG13" i="46" l="1"/>
  <c r="Q13" i="46"/>
  <c r="S13" i="46"/>
  <c r="R13" i="46"/>
  <c r="AH13" i="46"/>
  <c r="AF13" i="46"/>
  <c r="CA53" i="29"/>
  <c r="I53" i="29"/>
  <c r="CA29" i="29" l="1"/>
  <c r="I29" i="29"/>
  <c r="O7" i="21"/>
  <c r="AG122" i="21"/>
  <c r="AG124" i="21" s="1"/>
  <c r="AF122" i="21"/>
  <c r="AF124" i="21" s="1"/>
  <c r="AE122" i="21"/>
  <c r="AE124" i="21" s="1"/>
  <c r="AG121" i="21"/>
  <c r="AF121" i="21"/>
  <c r="AE121" i="21"/>
  <c r="AG120" i="21"/>
  <c r="AF120" i="21"/>
  <c r="AF123" i="21" s="1"/>
  <c r="AE120" i="21"/>
  <c r="AE123" i="21" s="1"/>
  <c r="AG119" i="21"/>
  <c r="AF119" i="21"/>
  <c r="AE119" i="21"/>
  <c r="AG115" i="21"/>
  <c r="AJ115" i="21" s="1"/>
  <c r="AJ117" i="21" s="1"/>
  <c r="AF115" i="21"/>
  <c r="AI115" i="21" s="1"/>
  <c r="AI117" i="21" s="1"/>
  <c r="AE115" i="21"/>
  <c r="AH115" i="21" s="1"/>
  <c r="AH117" i="21" s="1"/>
  <c r="AG114" i="21"/>
  <c r="AJ114" i="21" s="1"/>
  <c r="AF114" i="21"/>
  <c r="AI114" i="21" s="1"/>
  <c r="AE114" i="21"/>
  <c r="AH114" i="21" s="1"/>
  <c r="AG113" i="21"/>
  <c r="AJ113" i="21" s="1"/>
  <c r="AJ116" i="21" s="1"/>
  <c r="AF113" i="21"/>
  <c r="AF116" i="21" s="1"/>
  <c r="AE113" i="21"/>
  <c r="AH113" i="21" s="1"/>
  <c r="AH116" i="21" s="1"/>
  <c r="AG112" i="21"/>
  <c r="AJ112" i="21" s="1"/>
  <c r="AF112" i="21"/>
  <c r="AI112" i="21" s="1"/>
  <c r="AE112" i="21"/>
  <c r="AH112" i="21" s="1"/>
  <c r="AG108" i="21"/>
  <c r="AJ108" i="21" s="1"/>
  <c r="AJ110" i="21" s="1"/>
  <c r="AF108" i="21"/>
  <c r="AI108" i="21" s="1"/>
  <c r="AI110" i="21" s="1"/>
  <c r="AE108" i="21"/>
  <c r="AH108" i="21" s="1"/>
  <c r="AH110" i="21" s="1"/>
  <c r="AG107" i="21"/>
  <c r="AJ107" i="21" s="1"/>
  <c r="AF107" i="21"/>
  <c r="AI107" i="21" s="1"/>
  <c r="AE107" i="21"/>
  <c r="AH107" i="21" s="1"/>
  <c r="AG106" i="21"/>
  <c r="AJ106" i="21" s="1"/>
  <c r="AJ109" i="21" s="1"/>
  <c r="AF106" i="21"/>
  <c r="AF109" i="21" s="1"/>
  <c r="AE106" i="21"/>
  <c r="AH106" i="21" s="1"/>
  <c r="AH109" i="21" s="1"/>
  <c r="AG105" i="21"/>
  <c r="AJ105" i="21" s="1"/>
  <c r="AF105" i="21"/>
  <c r="AI105" i="21" s="1"/>
  <c r="AE105" i="21"/>
  <c r="AH105" i="21" s="1"/>
  <c r="AG101" i="21"/>
  <c r="AJ101" i="21" s="1"/>
  <c r="AJ103" i="21" s="1"/>
  <c r="AF101" i="21"/>
  <c r="AI101" i="21" s="1"/>
  <c r="AI103" i="21" s="1"/>
  <c r="AE101" i="21"/>
  <c r="AH101" i="21" s="1"/>
  <c r="AH103" i="21" s="1"/>
  <c r="AG100" i="21"/>
  <c r="AJ100" i="21" s="1"/>
  <c r="AF100" i="21"/>
  <c r="AI100" i="21" s="1"/>
  <c r="AE100" i="21"/>
  <c r="AH100" i="21" s="1"/>
  <c r="AG99" i="21"/>
  <c r="AJ99" i="21" s="1"/>
  <c r="AJ102" i="21" s="1"/>
  <c r="AF99" i="21"/>
  <c r="AI99" i="21" s="1"/>
  <c r="AI102" i="21" s="1"/>
  <c r="AE99" i="21"/>
  <c r="AH99" i="21" s="1"/>
  <c r="AH102" i="21" s="1"/>
  <c r="AG98" i="21"/>
  <c r="AJ98" i="21" s="1"/>
  <c r="AF98" i="21"/>
  <c r="AI98" i="21" s="1"/>
  <c r="AE98" i="21"/>
  <c r="AH98" i="21" s="1"/>
  <c r="AG92" i="21"/>
  <c r="AG95" i="21" s="1"/>
  <c r="AG97" i="21" s="1"/>
  <c r="AF92" i="21"/>
  <c r="AF95" i="21" s="1"/>
  <c r="AF97" i="21" s="1"/>
  <c r="AE92" i="21"/>
  <c r="AE95" i="21" s="1"/>
  <c r="AE97" i="21" s="1"/>
  <c r="AG91" i="21"/>
  <c r="AF91" i="21"/>
  <c r="AE91" i="21"/>
  <c r="AG85" i="21"/>
  <c r="AJ85" i="21" s="1"/>
  <c r="AJ88" i="21" s="1"/>
  <c r="AJ90" i="21" s="1"/>
  <c r="AF85" i="21"/>
  <c r="AF88" i="21" s="1"/>
  <c r="AF90" i="21" s="1"/>
  <c r="AE85" i="21"/>
  <c r="AH85" i="21" s="1"/>
  <c r="AH88" i="21" s="1"/>
  <c r="AH90" i="21" s="1"/>
  <c r="AG84" i="21"/>
  <c r="AJ84" i="21" s="1"/>
  <c r="AF84" i="21"/>
  <c r="AI84" i="21" s="1"/>
  <c r="AE84" i="21"/>
  <c r="AH84" i="21" s="1"/>
  <c r="AG80" i="21"/>
  <c r="AG82" i="21" s="1"/>
  <c r="AF80" i="21"/>
  <c r="AF82" i="21" s="1"/>
  <c r="AE80" i="21"/>
  <c r="AG79" i="21"/>
  <c r="AF79" i="21"/>
  <c r="AE79" i="21"/>
  <c r="AG78" i="21"/>
  <c r="AG81" i="21" s="1"/>
  <c r="AF78" i="21"/>
  <c r="AF81" i="21" s="1"/>
  <c r="AE78" i="21"/>
  <c r="AE81" i="21" s="1"/>
  <c r="AG77" i="21"/>
  <c r="AF77" i="21"/>
  <c r="AE77" i="21"/>
  <c r="AG73" i="21"/>
  <c r="AF73" i="21"/>
  <c r="AF75" i="21" s="1"/>
  <c r="AE73" i="21"/>
  <c r="AE75" i="21" s="1"/>
  <c r="AG72" i="21"/>
  <c r="AF72" i="21"/>
  <c r="AE72" i="21"/>
  <c r="AG71" i="21"/>
  <c r="AG74" i="21" s="1"/>
  <c r="AF71" i="21"/>
  <c r="AF74" i="21" s="1"/>
  <c r="AE71" i="21"/>
  <c r="AE74" i="21" s="1"/>
  <c r="AG70" i="21"/>
  <c r="AF70" i="21"/>
  <c r="AE70" i="21"/>
  <c r="AG66" i="21"/>
  <c r="AG68" i="21" s="1"/>
  <c r="AF66" i="21"/>
  <c r="AF68" i="21" s="1"/>
  <c r="AE66" i="21"/>
  <c r="AG65" i="21"/>
  <c r="AF65" i="21"/>
  <c r="AE65" i="21"/>
  <c r="AG64" i="21"/>
  <c r="AG67" i="21" s="1"/>
  <c r="AF64" i="21"/>
  <c r="AF67" i="21" s="1"/>
  <c r="AE64" i="21"/>
  <c r="AE67" i="21" s="1"/>
  <c r="AG63" i="21"/>
  <c r="AF63" i="21"/>
  <c r="AE63" i="21"/>
  <c r="AG59" i="21"/>
  <c r="AG61" i="21" s="1"/>
  <c r="AF59" i="21"/>
  <c r="AF61" i="21" s="1"/>
  <c r="AE59" i="21"/>
  <c r="AE61" i="21" s="1"/>
  <c r="AG58" i="21"/>
  <c r="AF58" i="21"/>
  <c r="AE58" i="21"/>
  <c r="AG57" i="21"/>
  <c r="AG60" i="21" s="1"/>
  <c r="AF57" i="21"/>
  <c r="AF60" i="21" s="1"/>
  <c r="AE57" i="21"/>
  <c r="AE60" i="21" s="1"/>
  <c r="AG56" i="21"/>
  <c r="AF56" i="21"/>
  <c r="AE56" i="21"/>
  <c r="AG52" i="21"/>
  <c r="AG54" i="21" s="1"/>
  <c r="AF52" i="21"/>
  <c r="AF54" i="21" s="1"/>
  <c r="AE52" i="21"/>
  <c r="AE54" i="21" s="1"/>
  <c r="AG51" i="21"/>
  <c r="AF51" i="21"/>
  <c r="AE51" i="21"/>
  <c r="AG50" i="21"/>
  <c r="AG53" i="21" s="1"/>
  <c r="AF50" i="21"/>
  <c r="AF53" i="21" s="1"/>
  <c r="AE50" i="21"/>
  <c r="AE53" i="21" s="1"/>
  <c r="AG49" i="21"/>
  <c r="AF49" i="21"/>
  <c r="AE49" i="21"/>
  <c r="AG45" i="21"/>
  <c r="AG47" i="21" s="1"/>
  <c r="AF45" i="21"/>
  <c r="AF47" i="21" s="1"/>
  <c r="AE45" i="21"/>
  <c r="AE47" i="21" s="1"/>
  <c r="AG44" i="21"/>
  <c r="AF44" i="21"/>
  <c r="AE44" i="21"/>
  <c r="AG43" i="21"/>
  <c r="AG46" i="21" s="1"/>
  <c r="AF43" i="21"/>
  <c r="AF46" i="21" s="1"/>
  <c r="AE43" i="21"/>
  <c r="AG42" i="21"/>
  <c r="AF42" i="21"/>
  <c r="AE42" i="21"/>
  <c r="AG38" i="21"/>
  <c r="AG40" i="21" s="1"/>
  <c r="AF38" i="21"/>
  <c r="AF40" i="21" s="1"/>
  <c r="AE38" i="21"/>
  <c r="AE40" i="21" s="1"/>
  <c r="AG37" i="21"/>
  <c r="AF37" i="21"/>
  <c r="AE37" i="21"/>
  <c r="AG36" i="21"/>
  <c r="AG39" i="21" s="1"/>
  <c r="AF36" i="21"/>
  <c r="AF39" i="21" s="1"/>
  <c r="AE36" i="21"/>
  <c r="AE39" i="21" s="1"/>
  <c r="AG35" i="21"/>
  <c r="AF35" i="21"/>
  <c r="AE35" i="21"/>
  <c r="AG31" i="21"/>
  <c r="AG33" i="21" s="1"/>
  <c r="AF31" i="21"/>
  <c r="AF33" i="21" s="1"/>
  <c r="AE31" i="21"/>
  <c r="AE33" i="21" s="1"/>
  <c r="AG30" i="21"/>
  <c r="AF30" i="21"/>
  <c r="AE30" i="21"/>
  <c r="AG29" i="21"/>
  <c r="AG32" i="21" s="1"/>
  <c r="AF29" i="21"/>
  <c r="AF32" i="21" s="1"/>
  <c r="AE29" i="21"/>
  <c r="AE32" i="21" s="1"/>
  <c r="AG28" i="21"/>
  <c r="AF28" i="21"/>
  <c r="AE28" i="21"/>
  <c r="AG24" i="21"/>
  <c r="AG26" i="21" s="1"/>
  <c r="AF24" i="21"/>
  <c r="AF26" i="21" s="1"/>
  <c r="AE24" i="21"/>
  <c r="AE26" i="21" s="1"/>
  <c r="AG23" i="21"/>
  <c r="AF23" i="21"/>
  <c r="AE23" i="21"/>
  <c r="AG22" i="21"/>
  <c r="AG25" i="21" s="1"/>
  <c r="AF22" i="21"/>
  <c r="AF25" i="21" s="1"/>
  <c r="AE22" i="21"/>
  <c r="AE25" i="21" s="1"/>
  <c r="AG21" i="21"/>
  <c r="AF21" i="21"/>
  <c r="AE21" i="21"/>
  <c r="AG17" i="21"/>
  <c r="AG19" i="21" s="1"/>
  <c r="AF17" i="21"/>
  <c r="AF19" i="21" s="1"/>
  <c r="AE17" i="21"/>
  <c r="AE19" i="21" s="1"/>
  <c r="AG16" i="21"/>
  <c r="AF16" i="21"/>
  <c r="AE16" i="21"/>
  <c r="AG15" i="21"/>
  <c r="AG18" i="21" s="1"/>
  <c r="AF15" i="21"/>
  <c r="AF18" i="21" s="1"/>
  <c r="AE15" i="21"/>
  <c r="AE18" i="21" s="1"/>
  <c r="AG14" i="21"/>
  <c r="AF14" i="21"/>
  <c r="AE14" i="21"/>
  <c r="AG10" i="21"/>
  <c r="AG12" i="21" s="1"/>
  <c r="AF10" i="21"/>
  <c r="AF12" i="21" s="1"/>
  <c r="AE10" i="21"/>
  <c r="AE12" i="21" s="1"/>
  <c r="AG9" i="21"/>
  <c r="AF9" i="21"/>
  <c r="AE9" i="21"/>
  <c r="AG8" i="21"/>
  <c r="AG11" i="21" s="1"/>
  <c r="AF8" i="21"/>
  <c r="AF11" i="21" s="1"/>
  <c r="AE8" i="21"/>
  <c r="AE11" i="21" s="1"/>
  <c r="AG7" i="21"/>
  <c r="AF7" i="21"/>
  <c r="AE7" i="21"/>
  <c r="AG123" i="21"/>
  <c r="AE117" i="21"/>
  <c r="AG109" i="21"/>
  <c r="AE103" i="21"/>
  <c r="AG88" i="21"/>
  <c r="AG90" i="21" s="1"/>
  <c r="AE88" i="21"/>
  <c r="AE90" i="21" s="1"/>
  <c r="AE82" i="21"/>
  <c r="AG75" i="21"/>
  <c r="AE68" i="21"/>
  <c r="AE46" i="21"/>
  <c r="O119" i="21"/>
  <c r="P119" i="21"/>
  <c r="Q119" i="21"/>
  <c r="Q122" i="21"/>
  <c r="P122" i="21"/>
  <c r="O122" i="21"/>
  <c r="Q121" i="21"/>
  <c r="P121" i="21"/>
  <c r="O121" i="21"/>
  <c r="Q120" i="21"/>
  <c r="P120" i="21"/>
  <c r="O120" i="21"/>
  <c r="Q115" i="21"/>
  <c r="T115" i="21" s="1"/>
  <c r="P115" i="21"/>
  <c r="S115" i="21" s="1"/>
  <c r="O115" i="21"/>
  <c r="R115" i="21" s="1"/>
  <c r="Q114" i="21"/>
  <c r="T114" i="21" s="1"/>
  <c r="P114" i="21"/>
  <c r="S114" i="21" s="1"/>
  <c r="O114" i="21"/>
  <c r="R114" i="21" s="1"/>
  <c r="Q113" i="21"/>
  <c r="T113" i="21" s="1"/>
  <c r="P113" i="21"/>
  <c r="S113" i="21" s="1"/>
  <c r="O113" i="21"/>
  <c r="R113" i="21" s="1"/>
  <c r="Q112" i="21"/>
  <c r="T112" i="21" s="1"/>
  <c r="P112" i="21"/>
  <c r="S112" i="21" s="1"/>
  <c r="O112" i="21"/>
  <c r="R112" i="21" s="1"/>
  <c r="Q108" i="21"/>
  <c r="T108" i="21" s="1"/>
  <c r="P108" i="21"/>
  <c r="S108" i="21" s="1"/>
  <c r="O108" i="21"/>
  <c r="R108" i="21" s="1"/>
  <c r="Q107" i="21"/>
  <c r="T107" i="21" s="1"/>
  <c r="P107" i="21"/>
  <c r="S107" i="21" s="1"/>
  <c r="O107" i="21"/>
  <c r="R107" i="21" s="1"/>
  <c r="Q106" i="21"/>
  <c r="T106" i="21" s="1"/>
  <c r="P106" i="21"/>
  <c r="S106" i="21" s="1"/>
  <c r="O106" i="21"/>
  <c r="R106" i="21" s="1"/>
  <c r="Q105" i="21"/>
  <c r="T105" i="21" s="1"/>
  <c r="P105" i="21"/>
  <c r="S105" i="21" s="1"/>
  <c r="O105" i="21"/>
  <c r="R105" i="21" s="1"/>
  <c r="Q101" i="21"/>
  <c r="T101" i="21" s="1"/>
  <c r="P101" i="21"/>
  <c r="S101" i="21" s="1"/>
  <c r="O101" i="21"/>
  <c r="R101" i="21" s="1"/>
  <c r="Q100" i="21"/>
  <c r="T100" i="21" s="1"/>
  <c r="P100" i="21"/>
  <c r="S100" i="21" s="1"/>
  <c r="O100" i="21"/>
  <c r="R100" i="21" s="1"/>
  <c r="Q99" i="21"/>
  <c r="T99" i="21" s="1"/>
  <c r="P99" i="21"/>
  <c r="S99" i="21" s="1"/>
  <c r="O99" i="21"/>
  <c r="R99" i="21" s="1"/>
  <c r="Q98" i="21"/>
  <c r="T98" i="21" s="1"/>
  <c r="P98" i="21"/>
  <c r="S98" i="21" s="1"/>
  <c r="O98" i="21"/>
  <c r="R98" i="21" s="1"/>
  <c r="Q92" i="21"/>
  <c r="T92" i="21" s="1"/>
  <c r="P92" i="21"/>
  <c r="S92" i="21" s="1"/>
  <c r="O92" i="21"/>
  <c r="R92" i="21" s="1"/>
  <c r="Q91" i="21"/>
  <c r="T91" i="21" s="1"/>
  <c r="P91" i="21"/>
  <c r="S91" i="21" s="1"/>
  <c r="O91" i="21"/>
  <c r="R91" i="21" s="1"/>
  <c r="Q85" i="21"/>
  <c r="T85" i="21" s="1"/>
  <c r="P85" i="21"/>
  <c r="S85" i="21" s="1"/>
  <c r="O85" i="21"/>
  <c r="R85" i="21" s="1"/>
  <c r="Q84" i="21"/>
  <c r="T84" i="21" s="1"/>
  <c r="P84" i="21"/>
  <c r="S84" i="21" s="1"/>
  <c r="O84" i="21"/>
  <c r="R84" i="21" s="1"/>
  <c r="Q80" i="21"/>
  <c r="P80" i="21"/>
  <c r="O80" i="21"/>
  <c r="Q79" i="21"/>
  <c r="P79" i="21"/>
  <c r="O79" i="21"/>
  <c r="Q78" i="21"/>
  <c r="P78" i="21"/>
  <c r="O78" i="21"/>
  <c r="Q77" i="21"/>
  <c r="P77" i="21"/>
  <c r="Q73" i="21"/>
  <c r="P73" i="21"/>
  <c r="O73" i="21"/>
  <c r="Q72" i="21"/>
  <c r="P72" i="21"/>
  <c r="O72" i="21"/>
  <c r="Q71" i="21"/>
  <c r="P71" i="21"/>
  <c r="O71" i="21"/>
  <c r="Q70" i="21"/>
  <c r="P70" i="21"/>
  <c r="O70" i="21"/>
  <c r="Q66" i="21"/>
  <c r="P66" i="21"/>
  <c r="O66" i="21"/>
  <c r="Q65" i="21"/>
  <c r="P65" i="21"/>
  <c r="O65" i="21"/>
  <c r="Q64" i="21"/>
  <c r="P64" i="21"/>
  <c r="O64" i="21"/>
  <c r="Q63" i="21"/>
  <c r="P63" i="21"/>
  <c r="Q59" i="21"/>
  <c r="P59" i="21"/>
  <c r="O59" i="21"/>
  <c r="Q58" i="21"/>
  <c r="P58" i="21"/>
  <c r="O58" i="21"/>
  <c r="Q57" i="21"/>
  <c r="P57" i="21"/>
  <c r="O57" i="21"/>
  <c r="Q56" i="21"/>
  <c r="P56" i="21"/>
  <c r="O56" i="21"/>
  <c r="Q52" i="21"/>
  <c r="P52" i="21"/>
  <c r="O52" i="21"/>
  <c r="Q51" i="21"/>
  <c r="P51" i="21"/>
  <c r="O51" i="21"/>
  <c r="Q50" i="21"/>
  <c r="P50" i="21"/>
  <c r="O50" i="21"/>
  <c r="Q49" i="21"/>
  <c r="P49" i="21"/>
  <c r="O49" i="21"/>
  <c r="Q45" i="21"/>
  <c r="P45" i="21"/>
  <c r="O45" i="21"/>
  <c r="Q44" i="21"/>
  <c r="P44" i="21"/>
  <c r="O44" i="21"/>
  <c r="Q43" i="21"/>
  <c r="P43" i="21"/>
  <c r="O43" i="21"/>
  <c r="Q42" i="21"/>
  <c r="P42" i="21"/>
  <c r="O42" i="21"/>
  <c r="Q38" i="21"/>
  <c r="P38" i="21"/>
  <c r="O38" i="21"/>
  <c r="Q37" i="21"/>
  <c r="P37" i="21"/>
  <c r="O37" i="21"/>
  <c r="Q36" i="21"/>
  <c r="P36" i="21"/>
  <c r="O36" i="21"/>
  <c r="Q35" i="21"/>
  <c r="P35" i="21"/>
  <c r="O35" i="21"/>
  <c r="Q31" i="21"/>
  <c r="P31" i="21"/>
  <c r="O31" i="21"/>
  <c r="Q30" i="21"/>
  <c r="P30" i="21"/>
  <c r="O30" i="21"/>
  <c r="Q29" i="21"/>
  <c r="P29" i="21"/>
  <c r="O29" i="21"/>
  <c r="Q28" i="21"/>
  <c r="P28" i="21"/>
  <c r="O28" i="21"/>
  <c r="Q24" i="21"/>
  <c r="P24" i="21"/>
  <c r="O24" i="21"/>
  <c r="Q23" i="21"/>
  <c r="P23" i="21"/>
  <c r="O23" i="21"/>
  <c r="Q22" i="21"/>
  <c r="P22" i="21"/>
  <c r="O22" i="21"/>
  <c r="Q21" i="21"/>
  <c r="P21" i="21"/>
  <c r="O21" i="21"/>
  <c r="Q17" i="21"/>
  <c r="P17" i="21"/>
  <c r="O17" i="21"/>
  <c r="Q16" i="21"/>
  <c r="P16" i="21"/>
  <c r="O16" i="21"/>
  <c r="Q15" i="21"/>
  <c r="P15" i="21"/>
  <c r="O15" i="21"/>
  <c r="Q14" i="21"/>
  <c r="P14" i="21"/>
  <c r="O14" i="21"/>
  <c r="P9" i="21"/>
  <c r="Q9" i="21"/>
  <c r="P10" i="21"/>
  <c r="Q10" i="21"/>
  <c r="O10" i="21"/>
  <c r="O9" i="21"/>
  <c r="O8" i="21"/>
  <c r="P7" i="21"/>
  <c r="Q7" i="21"/>
  <c r="P8" i="21"/>
  <c r="Q8" i="21"/>
  <c r="X122" i="21"/>
  <c r="X121" i="21"/>
  <c r="X120" i="21"/>
  <c r="X119" i="21"/>
  <c r="X115" i="21"/>
  <c r="X114" i="21"/>
  <c r="X113" i="21"/>
  <c r="X112" i="21"/>
  <c r="X108" i="21"/>
  <c r="X107" i="21"/>
  <c r="X106" i="21"/>
  <c r="X105" i="21"/>
  <c r="X101" i="21"/>
  <c r="X100" i="21"/>
  <c r="X99" i="21"/>
  <c r="X98" i="21"/>
  <c r="X92" i="21"/>
  <c r="X91" i="21"/>
  <c r="X85" i="21"/>
  <c r="X84" i="21"/>
  <c r="X80" i="21"/>
  <c r="X79" i="21"/>
  <c r="X78" i="21"/>
  <c r="X77" i="21"/>
  <c r="X73" i="21"/>
  <c r="X72" i="21"/>
  <c r="X71" i="21"/>
  <c r="X70" i="21"/>
  <c r="X66" i="21"/>
  <c r="X65" i="21"/>
  <c r="X64" i="21"/>
  <c r="X63" i="21"/>
  <c r="X59" i="21"/>
  <c r="X58" i="21"/>
  <c r="X57" i="21"/>
  <c r="X56" i="21"/>
  <c r="X52" i="21"/>
  <c r="X51" i="21"/>
  <c r="X50" i="21"/>
  <c r="X49" i="21"/>
  <c r="X45" i="21"/>
  <c r="X44" i="21"/>
  <c r="X43" i="21"/>
  <c r="X42" i="21"/>
  <c r="X38" i="21"/>
  <c r="X37" i="21"/>
  <c r="X36" i="21"/>
  <c r="X35" i="21"/>
  <c r="X31" i="21"/>
  <c r="X30" i="21"/>
  <c r="X29" i="21"/>
  <c r="X24" i="21"/>
  <c r="X23" i="21"/>
  <c r="X22" i="21"/>
  <c r="X21" i="21"/>
  <c r="X17" i="21"/>
  <c r="X16" i="21"/>
  <c r="X15" i="21"/>
  <c r="X14" i="21"/>
  <c r="X8" i="21"/>
  <c r="X9" i="21"/>
  <c r="X10" i="21"/>
  <c r="X7" i="21"/>
  <c r="AE40" i="45"/>
  <c r="AH40" i="45" s="1"/>
  <c r="AD40" i="45"/>
  <c r="AG40" i="45" s="1"/>
  <c r="AC40" i="45"/>
  <c r="AF40" i="45" s="1"/>
  <c r="AE39" i="45"/>
  <c r="AH39" i="45" s="1"/>
  <c r="AD39" i="45"/>
  <c r="AG39" i="45" s="1"/>
  <c r="AC39" i="45"/>
  <c r="AF39" i="45" s="1"/>
  <c r="AE38" i="45"/>
  <c r="AH38" i="45" s="1"/>
  <c r="AD38" i="45"/>
  <c r="AG38" i="45" s="1"/>
  <c r="AC38" i="45"/>
  <c r="AF38" i="45" s="1"/>
  <c r="AE37" i="45"/>
  <c r="AH37" i="45" s="1"/>
  <c r="AD37" i="45"/>
  <c r="AG37" i="45" s="1"/>
  <c r="AC37" i="45"/>
  <c r="AF37" i="45" s="1"/>
  <c r="AE36" i="45"/>
  <c r="AH36" i="45" s="1"/>
  <c r="AD36" i="45"/>
  <c r="AG36" i="45" s="1"/>
  <c r="AC36" i="45"/>
  <c r="AF36" i="45" s="1"/>
  <c r="AE35" i="45"/>
  <c r="AH35" i="45" s="1"/>
  <c r="AD35" i="45"/>
  <c r="AG35" i="45" s="1"/>
  <c r="AC35" i="45"/>
  <c r="AF35" i="45" s="1"/>
  <c r="AE34" i="45"/>
  <c r="AH34" i="45" s="1"/>
  <c r="AD34" i="45"/>
  <c r="AG34" i="45" s="1"/>
  <c r="AC34" i="45"/>
  <c r="AF34" i="45" s="1"/>
  <c r="AE33" i="45"/>
  <c r="AH33" i="45" s="1"/>
  <c r="AD33" i="45"/>
  <c r="AG33" i="45" s="1"/>
  <c r="AC33" i="45"/>
  <c r="AF33" i="45" s="1"/>
  <c r="AE32" i="45"/>
  <c r="AH32" i="45" s="1"/>
  <c r="AD32" i="45"/>
  <c r="AG32" i="45" s="1"/>
  <c r="AC32" i="45"/>
  <c r="AF32" i="45" s="1"/>
  <c r="AE31" i="45"/>
  <c r="AH31" i="45" s="1"/>
  <c r="AD31" i="45"/>
  <c r="AG31" i="45" s="1"/>
  <c r="AC31" i="45"/>
  <c r="AF31" i="45" s="1"/>
  <c r="AE30" i="45"/>
  <c r="AH30" i="45" s="1"/>
  <c r="AD30" i="45"/>
  <c r="AG30" i="45" s="1"/>
  <c r="AC30" i="45"/>
  <c r="AF30" i="45" s="1"/>
  <c r="AE29" i="45"/>
  <c r="AH29" i="45" s="1"/>
  <c r="AD29" i="45"/>
  <c r="AG29" i="45" s="1"/>
  <c r="AC29" i="45"/>
  <c r="AF29" i="45" s="1"/>
  <c r="AE27" i="45"/>
  <c r="AH27" i="45" s="1"/>
  <c r="AD27" i="45"/>
  <c r="AG27" i="45" s="1"/>
  <c r="AC27" i="45"/>
  <c r="AF27" i="45" s="1"/>
  <c r="AE26" i="45"/>
  <c r="AH26" i="45" s="1"/>
  <c r="AD26" i="45"/>
  <c r="AG26" i="45" s="1"/>
  <c r="AC26" i="45"/>
  <c r="AF26" i="45" s="1"/>
  <c r="AE25" i="45"/>
  <c r="AH25" i="45" s="1"/>
  <c r="AD25" i="45"/>
  <c r="AG25" i="45" s="1"/>
  <c r="AC25" i="45"/>
  <c r="AF25" i="45" s="1"/>
  <c r="AE24" i="45"/>
  <c r="AD24" i="45"/>
  <c r="AC24" i="45"/>
  <c r="AE23" i="45"/>
  <c r="AD23" i="45"/>
  <c r="AC23" i="45"/>
  <c r="AE22" i="45"/>
  <c r="AD22" i="45"/>
  <c r="AC22" i="45"/>
  <c r="AE21" i="45"/>
  <c r="AD21" i="45"/>
  <c r="AC21" i="45"/>
  <c r="AE20" i="45"/>
  <c r="AD20" i="45"/>
  <c r="AC20" i="45"/>
  <c r="AE19" i="45"/>
  <c r="AD19" i="45"/>
  <c r="AC19" i="45"/>
  <c r="AE18" i="45"/>
  <c r="AD18" i="45"/>
  <c r="AC18" i="45"/>
  <c r="AE17" i="45"/>
  <c r="AD17" i="45"/>
  <c r="AC17" i="45"/>
  <c r="AE16" i="45"/>
  <c r="AH16" i="45" s="1"/>
  <c r="AD16" i="45"/>
  <c r="AG16" i="45" s="1"/>
  <c r="AC16" i="45"/>
  <c r="AF16" i="45" s="1"/>
  <c r="AE15" i="45"/>
  <c r="AH15" i="45" s="1"/>
  <c r="AD15" i="45"/>
  <c r="AG15" i="45" s="1"/>
  <c r="AC15" i="45"/>
  <c r="AF15" i="45" s="1"/>
  <c r="AE14" i="45"/>
  <c r="AD14" i="45"/>
  <c r="AC14" i="45"/>
  <c r="AE13" i="45"/>
  <c r="AD13" i="45"/>
  <c r="AC13" i="45"/>
  <c r="AE12" i="45"/>
  <c r="AD12" i="45"/>
  <c r="AC12" i="45"/>
  <c r="AE11" i="45"/>
  <c r="AD11" i="45"/>
  <c r="AC11" i="45"/>
  <c r="AE10" i="45"/>
  <c r="AD10" i="45"/>
  <c r="AC10" i="45"/>
  <c r="AE9" i="45"/>
  <c r="AD9" i="45"/>
  <c r="AC9" i="45"/>
  <c r="AE8" i="45"/>
  <c r="AD8" i="45"/>
  <c r="AC8" i="45"/>
  <c r="AE7" i="45"/>
  <c r="AD7" i="45"/>
  <c r="AC7" i="45"/>
  <c r="E38" i="45"/>
  <c r="F38" i="45"/>
  <c r="G38" i="45"/>
  <c r="E37" i="45"/>
  <c r="F37" i="45"/>
  <c r="G37" i="45"/>
  <c r="P40" i="45"/>
  <c r="S40" i="45" s="1"/>
  <c r="O40" i="45"/>
  <c r="R40" i="45" s="1"/>
  <c r="N40" i="45"/>
  <c r="Q40" i="45" s="1"/>
  <c r="P39" i="45"/>
  <c r="S39" i="45" s="1"/>
  <c r="O39" i="45"/>
  <c r="R39" i="45" s="1"/>
  <c r="N39" i="45"/>
  <c r="Q39" i="45" s="1"/>
  <c r="P38" i="45"/>
  <c r="O38" i="45"/>
  <c r="N38" i="45"/>
  <c r="Q38" i="45" s="1"/>
  <c r="P37" i="45"/>
  <c r="O37" i="45"/>
  <c r="N37" i="45"/>
  <c r="P36" i="45"/>
  <c r="S36" i="45" s="1"/>
  <c r="O36" i="45"/>
  <c r="R36" i="45" s="1"/>
  <c r="N36" i="45"/>
  <c r="Q36" i="45" s="1"/>
  <c r="P35" i="45"/>
  <c r="S35" i="45" s="1"/>
  <c r="O35" i="45"/>
  <c r="R35" i="45" s="1"/>
  <c r="N35" i="45"/>
  <c r="Q35" i="45" s="1"/>
  <c r="P34" i="45"/>
  <c r="S34" i="45" s="1"/>
  <c r="O34" i="45"/>
  <c r="R34" i="45" s="1"/>
  <c r="N34" i="45"/>
  <c r="Q34" i="45" s="1"/>
  <c r="P33" i="45"/>
  <c r="S33" i="45" s="1"/>
  <c r="O33" i="45"/>
  <c r="R33" i="45" s="1"/>
  <c r="N33" i="45"/>
  <c r="Q33" i="45" s="1"/>
  <c r="P32" i="45"/>
  <c r="S32" i="45" s="1"/>
  <c r="O32" i="45"/>
  <c r="R32" i="45" s="1"/>
  <c r="N32" i="45"/>
  <c r="Q32" i="45" s="1"/>
  <c r="P31" i="45"/>
  <c r="S31" i="45" s="1"/>
  <c r="O31" i="45"/>
  <c r="R31" i="45" s="1"/>
  <c r="N31" i="45"/>
  <c r="Q31" i="45" s="1"/>
  <c r="P30" i="45"/>
  <c r="S30" i="45" s="1"/>
  <c r="O30" i="45"/>
  <c r="R30" i="45" s="1"/>
  <c r="N30" i="45"/>
  <c r="Q30" i="45" s="1"/>
  <c r="P29" i="45"/>
  <c r="S29" i="45" s="1"/>
  <c r="N29" i="45"/>
  <c r="Q29" i="45" s="1"/>
  <c r="P27" i="45"/>
  <c r="S27" i="45" s="1"/>
  <c r="O27" i="45"/>
  <c r="R27" i="45" s="1"/>
  <c r="N27" i="45"/>
  <c r="Q27" i="45" s="1"/>
  <c r="P26" i="45"/>
  <c r="S26" i="45" s="1"/>
  <c r="O26" i="45"/>
  <c r="R26" i="45" s="1"/>
  <c r="N26" i="45"/>
  <c r="Q26" i="45" s="1"/>
  <c r="P25" i="45"/>
  <c r="S25" i="45" s="1"/>
  <c r="O25" i="45"/>
  <c r="R25" i="45" s="1"/>
  <c r="N25" i="45"/>
  <c r="Q25" i="45" s="1"/>
  <c r="P24" i="45"/>
  <c r="O24" i="45"/>
  <c r="N24" i="45"/>
  <c r="P23" i="45"/>
  <c r="O23" i="45"/>
  <c r="N23" i="45"/>
  <c r="P22" i="45"/>
  <c r="O22" i="45"/>
  <c r="N22" i="45"/>
  <c r="P21" i="45"/>
  <c r="O21" i="45"/>
  <c r="N21" i="45"/>
  <c r="P20" i="45"/>
  <c r="O20" i="45"/>
  <c r="N20" i="45"/>
  <c r="P19" i="45"/>
  <c r="O19" i="45"/>
  <c r="N19" i="45"/>
  <c r="P18" i="45"/>
  <c r="O18" i="45"/>
  <c r="N18" i="45"/>
  <c r="P17" i="45"/>
  <c r="O17" i="45"/>
  <c r="N17" i="45"/>
  <c r="P16" i="45"/>
  <c r="S16" i="45" s="1"/>
  <c r="O16" i="45"/>
  <c r="R16" i="45" s="1"/>
  <c r="N16" i="45"/>
  <c r="Q16" i="45" s="1"/>
  <c r="P15" i="45"/>
  <c r="S15" i="45" s="1"/>
  <c r="O15" i="45"/>
  <c r="R15" i="45" s="1"/>
  <c r="N15" i="45"/>
  <c r="Q15" i="45" s="1"/>
  <c r="P14" i="45"/>
  <c r="O14" i="45"/>
  <c r="N14" i="45"/>
  <c r="P13" i="45"/>
  <c r="O13" i="45"/>
  <c r="N13" i="45"/>
  <c r="P12" i="45"/>
  <c r="O12" i="45"/>
  <c r="N12" i="45"/>
  <c r="P11" i="45"/>
  <c r="O11" i="45"/>
  <c r="N11" i="45"/>
  <c r="P10" i="45"/>
  <c r="O10" i="45"/>
  <c r="N10" i="45"/>
  <c r="P9" i="45"/>
  <c r="O9" i="45"/>
  <c r="N9" i="45"/>
  <c r="O8" i="45"/>
  <c r="P8" i="45"/>
  <c r="N8" i="45"/>
  <c r="O7" i="45"/>
  <c r="P7" i="45"/>
  <c r="N7" i="45"/>
  <c r="AA50" i="52"/>
  <c r="G68" i="29"/>
  <c r="M47" i="52"/>
  <c r="BY42" i="29"/>
  <c r="BY45" i="29"/>
  <c r="AA47" i="52"/>
  <c r="G43" i="29"/>
  <c r="M50" i="52"/>
  <c r="AA46" i="52"/>
  <c r="AA64" i="40"/>
  <c r="G42" i="29"/>
  <c r="BY44" i="29"/>
  <c r="M46" i="52"/>
  <c r="G45" i="29"/>
  <c r="G44" i="29"/>
  <c r="BY68" i="29"/>
  <c r="G69" i="29"/>
  <c r="BY69" i="29"/>
  <c r="AG116" i="21" l="1"/>
  <c r="AG102" i="21"/>
  <c r="AE116" i="21"/>
  <c r="N47" i="52"/>
  <c r="AB47" i="52"/>
  <c r="N46" i="52"/>
  <c r="AB46" i="52"/>
  <c r="N50" i="52"/>
  <c r="AB50" i="52"/>
  <c r="AG117" i="21"/>
  <c r="AE102" i="21"/>
  <c r="AE104" i="21" s="1"/>
  <c r="AG103" i="21"/>
  <c r="AF102" i="21"/>
  <c r="AE110" i="21"/>
  <c r="AE41" i="21"/>
  <c r="AG83" i="21"/>
  <c r="AJ118" i="21"/>
  <c r="AG55" i="21"/>
  <c r="AG20" i="21"/>
  <c r="AF117" i="21"/>
  <c r="AE13" i="21"/>
  <c r="AF103" i="21"/>
  <c r="AG27" i="21"/>
  <c r="AE34" i="21"/>
  <c r="AG110" i="21"/>
  <c r="AG111" i="21" s="1"/>
  <c r="AF110" i="21"/>
  <c r="AF111" i="21" s="1"/>
  <c r="AE109" i="21"/>
  <c r="G225" i="29"/>
  <c r="G260" i="29"/>
  <c r="G261" i="29"/>
  <c r="CF260" i="29"/>
  <c r="CF261" i="29"/>
  <c r="G224" i="29"/>
  <c r="G256" i="29"/>
  <c r="G257" i="29"/>
  <c r="CB224" i="29"/>
  <c r="CF256" i="29"/>
  <c r="CF257" i="29"/>
  <c r="AG62" i="21"/>
  <c r="AG41" i="21"/>
  <c r="AF83" i="21"/>
  <c r="AG125" i="21"/>
  <c r="S38" i="45"/>
  <c r="AJ111" i="21"/>
  <c r="AH104" i="21"/>
  <c r="AE62" i="21"/>
  <c r="R38" i="45"/>
  <c r="AF55" i="21"/>
  <c r="AF41" i="21"/>
  <c r="AF69" i="21"/>
  <c r="AF118" i="21"/>
  <c r="AI85" i="21"/>
  <c r="AI88" i="21" s="1"/>
  <c r="AI106" i="21"/>
  <c r="AI109" i="21" s="1"/>
  <c r="AF27" i="21"/>
  <c r="AE69" i="21"/>
  <c r="AE118" i="21"/>
  <c r="AG48" i="21"/>
  <c r="AF20" i="21"/>
  <c r="AF34" i="21"/>
  <c r="AF62" i="21"/>
  <c r="AI113" i="21"/>
  <c r="AI116" i="21" s="1"/>
  <c r="AI118" i="21" s="1"/>
  <c r="S37" i="45"/>
  <c r="AJ104" i="21"/>
  <c r="AH118" i="21"/>
  <c r="AI104" i="21"/>
  <c r="AH111" i="21"/>
  <c r="AE20" i="21"/>
  <c r="AE48" i="21"/>
  <c r="AE125" i="21"/>
  <c r="AE55" i="21"/>
  <c r="AG69" i="21"/>
  <c r="AF48" i="21"/>
  <c r="AE76" i="21"/>
  <c r="AF125" i="21"/>
  <c r="AF13" i="21"/>
  <c r="AG13" i="21"/>
  <c r="AE27" i="21"/>
  <c r="AG34" i="21"/>
  <c r="AF76" i="21"/>
  <c r="AG76" i="21"/>
  <c r="AE83" i="21"/>
  <c r="Q37" i="45"/>
  <c r="R37" i="45"/>
  <c r="AD124" i="21"/>
  <c r="AC124" i="21"/>
  <c r="AB124" i="21"/>
  <c r="AA124" i="21"/>
  <c r="Z124" i="21"/>
  <c r="Y124" i="21"/>
  <c r="N124" i="21"/>
  <c r="M124" i="21"/>
  <c r="L124" i="21"/>
  <c r="K124" i="21"/>
  <c r="J124" i="21"/>
  <c r="I124" i="21"/>
  <c r="AD123" i="21"/>
  <c r="AC123" i="21"/>
  <c r="AB123" i="21"/>
  <c r="AA123" i="21"/>
  <c r="Z123" i="21"/>
  <c r="Y123" i="21"/>
  <c r="N123" i="21"/>
  <c r="M123" i="21"/>
  <c r="L123" i="21"/>
  <c r="K123" i="21"/>
  <c r="J123" i="21"/>
  <c r="I123" i="21"/>
  <c r="AD117" i="21"/>
  <c r="AC117" i="21"/>
  <c r="AB117" i="21"/>
  <c r="AA117" i="21"/>
  <c r="Z117" i="21"/>
  <c r="Y117" i="21"/>
  <c r="W117" i="21"/>
  <c r="V117" i="21"/>
  <c r="U117" i="21"/>
  <c r="N117" i="21"/>
  <c r="M117" i="21"/>
  <c r="L117" i="21"/>
  <c r="K117" i="21"/>
  <c r="J117" i="21"/>
  <c r="I117" i="21"/>
  <c r="G117" i="21"/>
  <c r="F117" i="21"/>
  <c r="E117" i="21"/>
  <c r="AD116" i="21"/>
  <c r="AC116" i="21"/>
  <c r="AB116" i="21"/>
  <c r="AA116" i="21"/>
  <c r="Z116" i="21"/>
  <c r="Y116" i="21"/>
  <c r="W116" i="21"/>
  <c r="V116" i="21"/>
  <c r="U116" i="21"/>
  <c r="N116" i="21"/>
  <c r="M116" i="21"/>
  <c r="L116" i="21"/>
  <c r="K116" i="21"/>
  <c r="J116" i="21"/>
  <c r="I116" i="21"/>
  <c r="G116" i="21"/>
  <c r="F116" i="21"/>
  <c r="E116" i="21"/>
  <c r="AD110" i="21"/>
  <c r="AC110" i="21"/>
  <c r="AB110" i="21"/>
  <c r="AA110" i="21"/>
  <c r="Z110" i="21"/>
  <c r="Y110" i="21"/>
  <c r="W110" i="21"/>
  <c r="V110" i="21"/>
  <c r="U110" i="21"/>
  <c r="N110" i="21"/>
  <c r="M110" i="21"/>
  <c r="L110" i="21"/>
  <c r="K110" i="21"/>
  <c r="J110" i="21"/>
  <c r="I110" i="21"/>
  <c r="G110" i="21"/>
  <c r="F110" i="21"/>
  <c r="E110" i="21"/>
  <c r="AD109" i="21"/>
  <c r="AC109" i="21"/>
  <c r="AB109" i="21"/>
  <c r="AA109" i="21"/>
  <c r="Z109" i="21"/>
  <c r="Y109" i="21"/>
  <c r="W109" i="21"/>
  <c r="V109" i="21"/>
  <c r="U109" i="21"/>
  <c r="N109" i="21"/>
  <c r="M109" i="21"/>
  <c r="L109" i="21"/>
  <c r="K109" i="21"/>
  <c r="J109" i="21"/>
  <c r="I109" i="21"/>
  <c r="G109" i="21"/>
  <c r="F109" i="21"/>
  <c r="E109" i="21"/>
  <c r="AD103" i="21"/>
  <c r="AC103" i="21"/>
  <c r="AB103" i="21"/>
  <c r="AA103" i="21"/>
  <c r="Z103" i="21"/>
  <c r="Y103" i="21"/>
  <c r="W103" i="21"/>
  <c r="V103" i="21"/>
  <c r="U103" i="21"/>
  <c r="N103" i="21"/>
  <c r="M103" i="21"/>
  <c r="L103" i="21"/>
  <c r="K103" i="21"/>
  <c r="J103" i="21"/>
  <c r="I103" i="21"/>
  <c r="G103" i="21"/>
  <c r="F103" i="21"/>
  <c r="E103" i="21"/>
  <c r="AD102" i="21"/>
  <c r="AC102" i="21"/>
  <c r="AB102" i="21"/>
  <c r="AA102" i="21"/>
  <c r="Z102" i="21"/>
  <c r="Y102" i="21"/>
  <c r="W102" i="21"/>
  <c r="V102" i="21"/>
  <c r="U102" i="21"/>
  <c r="N102" i="21"/>
  <c r="M102" i="21"/>
  <c r="L102" i="21"/>
  <c r="K102" i="21"/>
  <c r="J102" i="21"/>
  <c r="I102" i="21"/>
  <c r="G102" i="21"/>
  <c r="F102" i="21"/>
  <c r="E102" i="21"/>
  <c r="AD95" i="21"/>
  <c r="AC95" i="21"/>
  <c r="AB95" i="21"/>
  <c r="AA95" i="21"/>
  <c r="Z95" i="21"/>
  <c r="Y95" i="21"/>
  <c r="N95" i="21"/>
  <c r="M95" i="21"/>
  <c r="L95" i="21"/>
  <c r="K95" i="21"/>
  <c r="J95" i="21"/>
  <c r="I95" i="21"/>
  <c r="G95" i="21"/>
  <c r="E95" i="21"/>
  <c r="AD88" i="21"/>
  <c r="AC88" i="21"/>
  <c r="AB88" i="21"/>
  <c r="AA88" i="21"/>
  <c r="Z88" i="21"/>
  <c r="Y88" i="21"/>
  <c r="W88" i="21"/>
  <c r="V88" i="21"/>
  <c r="U88" i="21"/>
  <c r="N88" i="21"/>
  <c r="M88" i="21"/>
  <c r="L88" i="21"/>
  <c r="K88" i="21"/>
  <c r="J88" i="21"/>
  <c r="I88" i="21"/>
  <c r="G88" i="21"/>
  <c r="F88" i="21"/>
  <c r="E88" i="21"/>
  <c r="AD82" i="21"/>
  <c r="AC82" i="21"/>
  <c r="AB82" i="21"/>
  <c r="AA82" i="21"/>
  <c r="Z82" i="21"/>
  <c r="Y82" i="21"/>
  <c r="U82" i="21"/>
  <c r="N82" i="21"/>
  <c r="M82" i="21"/>
  <c r="L82" i="21"/>
  <c r="K82" i="21"/>
  <c r="J82" i="21"/>
  <c r="I82" i="21"/>
  <c r="E82" i="21"/>
  <c r="AD81" i="21"/>
  <c r="AC81" i="21"/>
  <c r="AB81" i="21"/>
  <c r="AA81" i="21"/>
  <c r="Z81" i="21"/>
  <c r="Y81" i="21"/>
  <c r="U81" i="21"/>
  <c r="N81" i="21"/>
  <c r="M81" i="21"/>
  <c r="L81" i="21"/>
  <c r="K81" i="21"/>
  <c r="J81" i="21"/>
  <c r="I81" i="21"/>
  <c r="E81" i="21"/>
  <c r="AD75" i="21"/>
  <c r="AC75" i="21"/>
  <c r="AB75" i="21"/>
  <c r="AA75" i="21"/>
  <c r="Z75" i="21"/>
  <c r="Y75" i="21"/>
  <c r="W75" i="21"/>
  <c r="N75" i="21"/>
  <c r="M75" i="21"/>
  <c r="L75" i="21"/>
  <c r="K75" i="21"/>
  <c r="J75" i="21"/>
  <c r="I75" i="21"/>
  <c r="G75" i="21"/>
  <c r="AD74" i="21"/>
  <c r="AC74" i="21"/>
  <c r="AB74" i="21"/>
  <c r="AA74" i="21"/>
  <c r="Z74" i="21"/>
  <c r="Y74" i="21"/>
  <c r="W74" i="21"/>
  <c r="N74" i="21"/>
  <c r="M74" i="21"/>
  <c r="L74" i="21"/>
  <c r="K74" i="21"/>
  <c r="J74" i="21"/>
  <c r="I74" i="21"/>
  <c r="G74" i="21"/>
  <c r="AD68" i="21"/>
  <c r="AC68" i="21"/>
  <c r="AB68" i="21"/>
  <c r="AA68" i="21"/>
  <c r="Z68" i="21"/>
  <c r="Y68" i="21"/>
  <c r="N68" i="21"/>
  <c r="M68" i="21"/>
  <c r="L68" i="21"/>
  <c r="K68" i="21"/>
  <c r="J68" i="21"/>
  <c r="I68" i="21"/>
  <c r="AD67" i="21"/>
  <c r="AC67" i="21"/>
  <c r="AB67" i="21"/>
  <c r="AA67" i="21"/>
  <c r="Z67" i="21"/>
  <c r="Y67" i="21"/>
  <c r="N67" i="21"/>
  <c r="M67" i="21"/>
  <c r="L67" i="21"/>
  <c r="K67" i="21"/>
  <c r="J67" i="21"/>
  <c r="I67" i="21"/>
  <c r="AD61" i="21"/>
  <c r="AC61" i="21"/>
  <c r="AB61" i="21"/>
  <c r="AA61" i="21"/>
  <c r="Z61" i="21"/>
  <c r="Y61" i="21"/>
  <c r="N61" i="21"/>
  <c r="M61" i="21"/>
  <c r="L61" i="21"/>
  <c r="K61" i="21"/>
  <c r="J61" i="21"/>
  <c r="I61" i="21"/>
  <c r="G61" i="21"/>
  <c r="AD60" i="21"/>
  <c r="AC60" i="21"/>
  <c r="AB60" i="21"/>
  <c r="AA60" i="21"/>
  <c r="Z60" i="21"/>
  <c r="Y60" i="21"/>
  <c r="N60" i="21"/>
  <c r="M60" i="21"/>
  <c r="L60" i="21"/>
  <c r="K60" i="21"/>
  <c r="J60" i="21"/>
  <c r="I60" i="21"/>
  <c r="G60" i="21"/>
  <c r="AD54" i="21"/>
  <c r="AC54" i="21"/>
  <c r="AB54" i="21"/>
  <c r="AA54" i="21"/>
  <c r="Z54" i="21"/>
  <c r="Y54" i="21"/>
  <c r="W54" i="21"/>
  <c r="N54" i="21"/>
  <c r="M54" i="21"/>
  <c r="L54" i="21"/>
  <c r="K54" i="21"/>
  <c r="J54" i="21"/>
  <c r="I54" i="21"/>
  <c r="G54" i="21"/>
  <c r="AD53" i="21"/>
  <c r="AC53" i="21"/>
  <c r="AB53" i="21"/>
  <c r="AA53" i="21"/>
  <c r="Z53" i="21"/>
  <c r="Y53" i="21"/>
  <c r="W53" i="21"/>
  <c r="N53" i="21"/>
  <c r="M53" i="21"/>
  <c r="L53" i="21"/>
  <c r="K53" i="21"/>
  <c r="J53" i="21"/>
  <c r="I53" i="21"/>
  <c r="G53" i="21"/>
  <c r="AD47" i="21"/>
  <c r="AC47" i="21"/>
  <c r="AB47" i="21"/>
  <c r="AA47" i="21"/>
  <c r="Z47" i="21"/>
  <c r="Y47" i="21"/>
  <c r="W47" i="21"/>
  <c r="N47" i="21"/>
  <c r="M47" i="21"/>
  <c r="L47" i="21"/>
  <c r="K47" i="21"/>
  <c r="J47" i="21"/>
  <c r="I47" i="21"/>
  <c r="G47" i="21"/>
  <c r="AD46" i="21"/>
  <c r="AC46" i="21"/>
  <c r="AB46" i="21"/>
  <c r="AA46" i="21"/>
  <c r="Z46" i="21"/>
  <c r="Y46" i="21"/>
  <c r="W46" i="21"/>
  <c r="N46" i="21"/>
  <c r="M46" i="21"/>
  <c r="L46" i="21"/>
  <c r="K46" i="21"/>
  <c r="J46" i="21"/>
  <c r="I46" i="21"/>
  <c r="G46" i="21"/>
  <c r="AD40" i="21"/>
  <c r="AC40" i="21"/>
  <c r="AB40" i="21"/>
  <c r="AA40" i="21"/>
  <c r="Z40" i="21"/>
  <c r="Y40" i="21"/>
  <c r="W40" i="21"/>
  <c r="U40" i="21"/>
  <c r="N40" i="21"/>
  <c r="M40" i="21"/>
  <c r="L40" i="21"/>
  <c r="K40" i="21"/>
  <c r="J40" i="21"/>
  <c r="I40" i="21"/>
  <c r="G40" i="21"/>
  <c r="E40" i="21"/>
  <c r="AD39" i="21"/>
  <c r="AC39" i="21"/>
  <c r="AB39" i="21"/>
  <c r="AA39" i="21"/>
  <c r="Z39" i="21"/>
  <c r="Y39" i="21"/>
  <c r="W39" i="21"/>
  <c r="U39" i="21"/>
  <c r="N39" i="21"/>
  <c r="M39" i="21"/>
  <c r="L39" i="21"/>
  <c r="K39" i="21"/>
  <c r="J39" i="21"/>
  <c r="I39" i="21"/>
  <c r="G39" i="21"/>
  <c r="E39" i="21"/>
  <c r="AD33" i="21"/>
  <c r="AC33" i="21"/>
  <c r="AB33" i="21"/>
  <c r="AA33" i="21"/>
  <c r="Z33" i="21"/>
  <c r="Y33" i="21"/>
  <c r="W33" i="21"/>
  <c r="N33" i="21"/>
  <c r="M33" i="21"/>
  <c r="L33" i="21"/>
  <c r="K33" i="21"/>
  <c r="J33" i="21"/>
  <c r="I33" i="21"/>
  <c r="G33" i="21"/>
  <c r="AD32" i="21"/>
  <c r="AC32" i="21"/>
  <c r="AB32" i="21"/>
  <c r="AA32" i="21"/>
  <c r="Z32" i="21"/>
  <c r="Y32" i="21"/>
  <c r="W32" i="21"/>
  <c r="N32" i="21"/>
  <c r="M32" i="21"/>
  <c r="L32" i="21"/>
  <c r="K32" i="21"/>
  <c r="J32" i="21"/>
  <c r="I32" i="21"/>
  <c r="G32" i="21"/>
  <c r="AD26" i="21"/>
  <c r="AC26" i="21"/>
  <c r="AB26" i="21"/>
  <c r="AA26" i="21"/>
  <c r="Z26" i="21"/>
  <c r="Y26" i="21"/>
  <c r="W26" i="21"/>
  <c r="N26" i="21"/>
  <c r="M26" i="21"/>
  <c r="L26" i="21"/>
  <c r="K26" i="21"/>
  <c r="J26" i="21"/>
  <c r="I26" i="21"/>
  <c r="G26" i="21"/>
  <c r="AD25" i="21"/>
  <c r="AC25" i="21"/>
  <c r="AB25" i="21"/>
  <c r="AA25" i="21"/>
  <c r="Z25" i="21"/>
  <c r="Y25" i="21"/>
  <c r="W25" i="21"/>
  <c r="N25" i="21"/>
  <c r="M25" i="21"/>
  <c r="L25" i="21"/>
  <c r="K25" i="21"/>
  <c r="J25" i="21"/>
  <c r="I25" i="21"/>
  <c r="G25" i="21"/>
  <c r="AD19" i="21"/>
  <c r="AC19" i="21"/>
  <c r="AB19" i="21"/>
  <c r="AA19" i="21"/>
  <c r="Z19" i="21"/>
  <c r="Y19" i="21"/>
  <c r="W19" i="21"/>
  <c r="N19" i="21"/>
  <c r="M19" i="21"/>
  <c r="L19" i="21"/>
  <c r="K19" i="21"/>
  <c r="J19" i="21"/>
  <c r="I19" i="21"/>
  <c r="G19" i="21"/>
  <c r="AD18" i="21"/>
  <c r="AC18" i="21"/>
  <c r="AB18" i="21"/>
  <c r="AA18" i="21"/>
  <c r="Z18" i="21"/>
  <c r="Y18" i="21"/>
  <c r="W18" i="21"/>
  <c r="N18" i="21"/>
  <c r="M18" i="21"/>
  <c r="L18" i="21"/>
  <c r="K18" i="21"/>
  <c r="J18" i="21"/>
  <c r="I18" i="21"/>
  <c r="G18" i="21"/>
  <c r="AD11" i="21"/>
  <c r="AC11" i="21"/>
  <c r="AB11" i="21"/>
  <c r="AA11" i="21"/>
  <c r="Z11" i="21"/>
  <c r="Y11" i="21"/>
  <c r="J11" i="21"/>
  <c r="K11" i="21"/>
  <c r="L11" i="21"/>
  <c r="M11" i="21"/>
  <c r="N11" i="21"/>
  <c r="I11" i="21"/>
  <c r="Y12" i="21"/>
  <c r="Z12" i="21"/>
  <c r="AA12" i="21"/>
  <c r="AB12" i="21"/>
  <c r="AC12" i="21"/>
  <c r="AD12" i="21"/>
  <c r="I12" i="21"/>
  <c r="J12" i="21"/>
  <c r="K12" i="21"/>
  <c r="L12" i="21"/>
  <c r="M12" i="21"/>
  <c r="N12" i="21"/>
  <c r="G12" i="21"/>
  <c r="G11" i="21"/>
  <c r="Y47" i="52"/>
  <c r="AG104" i="21" l="1"/>
  <c r="AG118" i="21"/>
  <c r="Z47" i="52"/>
  <c r="AI111" i="21"/>
  <c r="AE111" i="21"/>
  <c r="AF104" i="21"/>
  <c r="AI90" i="21"/>
  <c r="Y18" i="44"/>
  <c r="Y19" i="44"/>
  <c r="Y20" i="44"/>
  <c r="Y21" i="44"/>
  <c r="Y22" i="44"/>
  <c r="Y23" i="44"/>
  <c r="Y24" i="44"/>
  <c r="Y25" i="44"/>
  <c r="Y26" i="44"/>
  <c r="Y27" i="44"/>
  <c r="Y28" i="44"/>
  <c r="Y29" i="44"/>
  <c r="Y30" i="44"/>
  <c r="Y31" i="44"/>
  <c r="Y32" i="44"/>
  <c r="Y33" i="44"/>
  <c r="Y34" i="44"/>
  <c r="Y35" i="44"/>
  <c r="Y36" i="44"/>
  <c r="Y37" i="44"/>
  <c r="Y38" i="44"/>
  <c r="Y39" i="44"/>
  <c r="Y40" i="44"/>
  <c r="Y41" i="44"/>
  <c r="Y42" i="44"/>
  <c r="Y43" i="44"/>
  <c r="Y44" i="44"/>
  <c r="Y45" i="44"/>
  <c r="Y46" i="44"/>
  <c r="Y47" i="44"/>
  <c r="Y48" i="44"/>
  <c r="Y49" i="44"/>
  <c r="Y50" i="44"/>
  <c r="Y51" i="44"/>
  <c r="Y52" i="44"/>
  <c r="Y53" i="44"/>
  <c r="Y54" i="44"/>
  <c r="Y55" i="44"/>
  <c r="Y56" i="44"/>
  <c r="Y57" i="44"/>
  <c r="Y58" i="44"/>
  <c r="Y59" i="44"/>
  <c r="Y60" i="44"/>
  <c r="Y61" i="44"/>
  <c r="Y62" i="44"/>
  <c r="Y63" i="44"/>
  <c r="Y64" i="44"/>
  <c r="Y65" i="44"/>
  <c r="Y66" i="44"/>
  <c r="Y67" i="44"/>
  <c r="Y68" i="44"/>
  <c r="Y69" i="44"/>
  <c r="Y70" i="44"/>
  <c r="Y71" i="44"/>
  <c r="Y72" i="44"/>
  <c r="Y73" i="44"/>
  <c r="Y74" i="44"/>
  <c r="Y75" i="44"/>
  <c r="Y76" i="44"/>
  <c r="Y77" i="44"/>
  <c r="Y78" i="44"/>
  <c r="Y79" i="44"/>
  <c r="Y80" i="44"/>
  <c r="Y81" i="44"/>
  <c r="Y82" i="44"/>
  <c r="Y83" i="44"/>
  <c r="Y84" i="44"/>
  <c r="Y85" i="44"/>
  <c r="Y86" i="44"/>
  <c r="Y87" i="44"/>
  <c r="Y88" i="44"/>
  <c r="Y89" i="44"/>
  <c r="Y90" i="44"/>
  <c r="Y91" i="44"/>
  <c r="Y92" i="44"/>
  <c r="Y93" i="44"/>
  <c r="Y94" i="44"/>
  <c r="Y95" i="44"/>
  <c r="Y96" i="44"/>
  <c r="Y97" i="44"/>
  <c r="Y98" i="44"/>
  <c r="Y99" i="44"/>
  <c r="Y100" i="44"/>
  <c r="Y101" i="44"/>
  <c r="Y102" i="44"/>
  <c r="Y103" i="44"/>
  <c r="Y104" i="44"/>
  <c r="Y105" i="44"/>
  <c r="Y106" i="44"/>
  <c r="Y107" i="44"/>
  <c r="Y108" i="44"/>
  <c r="Y109" i="44"/>
  <c r="Y110" i="44"/>
  <c r="Y111" i="44"/>
  <c r="Y112" i="44"/>
  <c r="Y113" i="44"/>
  <c r="Y114" i="44"/>
  <c r="Y115" i="44"/>
  <c r="Y116" i="44"/>
  <c r="Y117" i="44"/>
  <c r="Y118" i="44"/>
  <c r="Y119" i="44"/>
  <c r="Y120" i="44"/>
  <c r="Y121" i="44"/>
  <c r="Y122" i="44"/>
  <c r="Y123" i="44"/>
  <c r="Y124" i="44"/>
  <c r="Y125" i="44"/>
  <c r="Y126" i="44"/>
  <c r="Y127" i="44"/>
  <c r="Y128" i="44"/>
  <c r="Y129" i="44"/>
  <c r="Y130" i="44"/>
  <c r="Y131" i="44"/>
  <c r="Y132" i="44"/>
  <c r="Y133" i="44"/>
  <c r="Y134" i="44"/>
  <c r="Y135" i="44"/>
  <c r="Y136" i="44"/>
  <c r="Y137" i="44"/>
  <c r="Y138" i="44"/>
  <c r="Y139" i="44"/>
  <c r="Y140" i="44"/>
  <c r="Y141" i="44"/>
  <c r="Y142" i="44"/>
  <c r="Y143" i="44"/>
  <c r="Y144" i="44"/>
  <c r="Y145" i="44"/>
  <c r="Y146" i="44"/>
  <c r="Y147" i="44"/>
  <c r="Y148" i="44"/>
  <c r="Y149" i="44"/>
  <c r="Y150" i="44"/>
  <c r="Y151" i="44"/>
  <c r="Y152" i="44"/>
  <c r="Y153" i="44"/>
  <c r="Y154" i="44"/>
  <c r="Y155" i="44"/>
  <c r="Y17" i="44"/>
  <c r="J17" i="44"/>
  <c r="J18" i="44"/>
  <c r="J19" i="44"/>
  <c r="J20" i="44"/>
  <c r="J21" i="44"/>
  <c r="J22" i="44"/>
  <c r="J23" i="44"/>
  <c r="J24" i="44"/>
  <c r="J25" i="44"/>
  <c r="J26" i="44"/>
  <c r="J27" i="44"/>
  <c r="J28" i="44"/>
  <c r="J29" i="44"/>
  <c r="J30" i="44"/>
  <c r="J31" i="44"/>
  <c r="J32" i="44"/>
  <c r="J33" i="44"/>
  <c r="J34" i="44"/>
  <c r="J35" i="44"/>
  <c r="J36" i="44"/>
  <c r="J37" i="44"/>
  <c r="J38" i="44"/>
  <c r="J39" i="44"/>
  <c r="J40" i="44"/>
  <c r="J41" i="44"/>
  <c r="J42" i="44"/>
  <c r="J43" i="44"/>
  <c r="J44" i="44"/>
  <c r="J45" i="44"/>
  <c r="J46" i="44"/>
  <c r="J47" i="44"/>
  <c r="J48" i="44"/>
  <c r="J49" i="44"/>
  <c r="J50" i="44"/>
  <c r="J51" i="44"/>
  <c r="J52" i="44"/>
  <c r="J53" i="44"/>
  <c r="J54" i="44"/>
  <c r="J55" i="44"/>
  <c r="J56" i="44"/>
  <c r="J57" i="44"/>
  <c r="J58" i="44"/>
  <c r="J59" i="44"/>
  <c r="J60" i="44"/>
  <c r="J61" i="44"/>
  <c r="J62" i="44"/>
  <c r="J63" i="44"/>
  <c r="J64" i="44"/>
  <c r="J65" i="44"/>
  <c r="J66" i="44"/>
  <c r="J67" i="44"/>
  <c r="J68" i="44"/>
  <c r="J69" i="44"/>
  <c r="J70" i="44"/>
  <c r="J71" i="44"/>
  <c r="J72" i="44"/>
  <c r="J73" i="44"/>
  <c r="J74" i="44"/>
  <c r="J75" i="44"/>
  <c r="J76" i="44"/>
  <c r="J77" i="44"/>
  <c r="J78" i="44"/>
  <c r="J79" i="44"/>
  <c r="J80" i="44"/>
  <c r="J81" i="44"/>
  <c r="J82" i="44"/>
  <c r="J83" i="44"/>
  <c r="J84" i="44"/>
  <c r="J85" i="44"/>
  <c r="J86" i="44"/>
  <c r="J87" i="44"/>
  <c r="J88" i="44"/>
  <c r="J89" i="44"/>
  <c r="J90" i="44"/>
  <c r="J91" i="44"/>
  <c r="J92" i="44"/>
  <c r="J93" i="44"/>
  <c r="J94" i="44"/>
  <c r="J95" i="44"/>
  <c r="J96" i="44"/>
  <c r="J97" i="44"/>
  <c r="J98" i="44"/>
  <c r="J99" i="44"/>
  <c r="J100" i="44"/>
  <c r="J101" i="44"/>
  <c r="J102" i="44"/>
  <c r="J103" i="44"/>
  <c r="J104" i="44"/>
  <c r="J105" i="44"/>
  <c r="J106" i="44"/>
  <c r="J107" i="44"/>
  <c r="J108" i="44"/>
  <c r="J109" i="44"/>
  <c r="J110" i="44"/>
  <c r="J111" i="44"/>
  <c r="J112" i="44"/>
  <c r="J113" i="44"/>
  <c r="J114" i="44"/>
  <c r="J115" i="44"/>
  <c r="J116" i="44"/>
  <c r="J117" i="44"/>
  <c r="J118" i="44"/>
  <c r="J119" i="44"/>
  <c r="J120" i="44"/>
  <c r="J121" i="44"/>
  <c r="J122" i="44"/>
  <c r="J123" i="44"/>
  <c r="J124" i="44"/>
  <c r="J125" i="44"/>
  <c r="J126" i="44"/>
  <c r="J127" i="44"/>
  <c r="J128" i="44"/>
  <c r="J129" i="44"/>
  <c r="J130" i="44"/>
  <c r="J131" i="44"/>
  <c r="J132" i="44"/>
  <c r="J133" i="44"/>
  <c r="J134" i="44"/>
  <c r="J135" i="44"/>
  <c r="J136" i="44"/>
  <c r="J137" i="44"/>
  <c r="J138" i="44"/>
  <c r="J139" i="44"/>
  <c r="J140" i="44"/>
  <c r="J141" i="44"/>
  <c r="J142" i="44"/>
  <c r="J143" i="44"/>
  <c r="J144" i="44"/>
  <c r="J145" i="44"/>
  <c r="J146" i="44"/>
  <c r="J147" i="44"/>
  <c r="J148" i="44"/>
  <c r="J149" i="44"/>
  <c r="J150" i="44"/>
  <c r="J151" i="44"/>
  <c r="J152" i="44"/>
  <c r="J153" i="44"/>
  <c r="J154" i="44"/>
  <c r="J155" i="44"/>
  <c r="J156" i="44"/>
  <c r="J157" i="44"/>
  <c r="J158" i="44"/>
  <c r="J159" i="44"/>
  <c r="J160" i="44"/>
  <c r="J161" i="44"/>
  <c r="J162" i="44"/>
  <c r="J163" i="44"/>
  <c r="J164" i="44"/>
  <c r="J165" i="44"/>
  <c r="J166" i="44"/>
  <c r="J167" i="44"/>
  <c r="J168" i="44"/>
  <c r="J169" i="44"/>
  <c r="J170" i="44"/>
  <c r="J171" i="44"/>
  <c r="J172" i="44"/>
  <c r="J173" i="44"/>
  <c r="J174" i="44"/>
  <c r="J175" i="44"/>
  <c r="J176" i="44"/>
  <c r="J177" i="44"/>
  <c r="J178" i="44"/>
  <c r="J179" i="44"/>
  <c r="J180" i="44"/>
  <c r="J181" i="44"/>
  <c r="J182" i="44"/>
  <c r="J183" i="44"/>
  <c r="J184" i="44"/>
  <c r="J185" i="44"/>
  <c r="J186" i="44"/>
  <c r="J187" i="44"/>
  <c r="J188" i="44"/>
  <c r="J189" i="44"/>
  <c r="J190" i="44"/>
  <c r="J191" i="44"/>
  <c r="J192" i="44"/>
  <c r="J193" i="44"/>
  <c r="J194" i="44"/>
  <c r="J195" i="44"/>
  <c r="J196" i="44"/>
  <c r="J197" i="44"/>
  <c r="J198" i="44"/>
  <c r="J199" i="44"/>
  <c r="J200" i="44"/>
  <c r="J201" i="44"/>
  <c r="J202" i="44"/>
  <c r="J203" i="44"/>
  <c r="J204" i="44"/>
  <c r="J205" i="44"/>
  <c r="J206" i="44"/>
  <c r="J207" i="44"/>
  <c r="J208" i="44"/>
  <c r="J209" i="44"/>
  <c r="J210" i="44"/>
  <c r="J211" i="44"/>
  <c r="J212" i="44"/>
  <c r="J213" i="44"/>
  <c r="J214" i="44"/>
  <c r="J215" i="44"/>
  <c r="J216" i="44"/>
  <c r="J217" i="44"/>
  <c r="J218" i="44"/>
  <c r="J219" i="44"/>
  <c r="J220" i="44"/>
  <c r="J221" i="44"/>
  <c r="J222" i="44"/>
  <c r="J223" i="44"/>
  <c r="J224" i="44"/>
  <c r="J225" i="44"/>
  <c r="J226" i="44"/>
  <c r="J227" i="44"/>
  <c r="J228" i="44"/>
  <c r="J229" i="44"/>
  <c r="J230" i="44"/>
  <c r="J231" i="44"/>
  <c r="J232" i="44"/>
  <c r="J233" i="44"/>
  <c r="J234" i="44"/>
  <c r="J235" i="44"/>
  <c r="J236" i="44"/>
  <c r="J237" i="44"/>
  <c r="J238" i="44"/>
  <c r="J239" i="44"/>
  <c r="J240" i="44"/>
  <c r="J241" i="44"/>
  <c r="J242" i="44"/>
  <c r="J243" i="44"/>
  <c r="J244" i="44"/>
  <c r="J245" i="44"/>
  <c r="J246" i="44"/>
  <c r="J247" i="44"/>
  <c r="J248" i="44"/>
  <c r="J249" i="44"/>
  <c r="J250" i="44"/>
  <c r="J251" i="44"/>
  <c r="J252" i="44"/>
  <c r="J253" i="44"/>
  <c r="J254" i="44"/>
  <c r="J255" i="44"/>
  <c r="J256" i="44"/>
  <c r="J257" i="44"/>
  <c r="J258" i="44"/>
  <c r="J259" i="44"/>
  <c r="J260" i="44"/>
  <c r="J261" i="44"/>
  <c r="J262" i="44"/>
  <c r="J263" i="44"/>
  <c r="J264" i="44"/>
  <c r="J265" i="44"/>
  <c r="J266" i="44"/>
  <c r="J267" i="44"/>
  <c r="J268" i="44"/>
  <c r="J269" i="44"/>
  <c r="J270" i="44"/>
  <c r="J271" i="44"/>
  <c r="J272" i="44"/>
  <c r="J273" i="44"/>
  <c r="J274" i="44"/>
  <c r="J275" i="44"/>
  <c r="J276" i="44"/>
  <c r="J277" i="44"/>
  <c r="J278" i="44"/>
  <c r="J279" i="44"/>
  <c r="J280" i="44"/>
  <c r="J281" i="44"/>
  <c r="J282" i="44"/>
  <c r="J283" i="44"/>
  <c r="J284" i="44"/>
  <c r="J285" i="44"/>
  <c r="J286" i="44"/>
  <c r="J287" i="44"/>
  <c r="J288" i="44"/>
  <c r="J289" i="44"/>
  <c r="J290" i="44"/>
  <c r="J291" i="44"/>
  <c r="J292" i="44"/>
  <c r="J293" i="44"/>
  <c r="J294" i="44"/>
  <c r="J295" i="44"/>
  <c r="J296" i="44"/>
  <c r="J297" i="44"/>
  <c r="J298" i="44"/>
  <c r="J299" i="44"/>
  <c r="J300" i="44"/>
  <c r="J301" i="44"/>
  <c r="J302" i="44"/>
  <c r="J303" i="44"/>
  <c r="J304" i="44"/>
  <c r="J305" i="44"/>
  <c r="J306" i="44"/>
  <c r="J307" i="44"/>
  <c r="J308" i="44"/>
  <c r="J309" i="44"/>
  <c r="J310" i="44"/>
  <c r="J311" i="44"/>
  <c r="J312" i="44"/>
  <c r="J313" i="44"/>
  <c r="J314" i="44"/>
  <c r="J315" i="44"/>
  <c r="J316" i="44"/>
  <c r="J317" i="44"/>
  <c r="J318" i="44"/>
  <c r="J319" i="44"/>
  <c r="J320" i="44"/>
  <c r="J321" i="44"/>
  <c r="J322" i="44"/>
  <c r="J323" i="44"/>
  <c r="J324" i="44"/>
  <c r="J325" i="44"/>
  <c r="J326" i="44"/>
  <c r="J327" i="44"/>
  <c r="J328" i="44"/>
  <c r="J329" i="44"/>
  <c r="J330" i="44"/>
  <c r="J331" i="44"/>
  <c r="J332" i="44"/>
  <c r="J333" i="44"/>
  <c r="J334" i="44"/>
  <c r="J335" i="44"/>
  <c r="G18" i="44"/>
  <c r="G19" i="44"/>
  <c r="G20" i="44"/>
  <c r="G21" i="44"/>
  <c r="G22" i="44"/>
  <c r="G23" i="44"/>
  <c r="G24" i="44"/>
  <c r="G25" i="44"/>
  <c r="G26" i="44"/>
  <c r="G27" i="44"/>
  <c r="G28" i="44"/>
  <c r="G29" i="44"/>
  <c r="G30" i="44"/>
  <c r="G31" i="44"/>
  <c r="G32" i="44"/>
  <c r="G33" i="44"/>
  <c r="G34" i="44"/>
  <c r="G35" i="44"/>
  <c r="G36" i="44"/>
  <c r="G37" i="44"/>
  <c r="G38" i="44"/>
  <c r="G39" i="44"/>
  <c r="G40" i="44"/>
  <c r="G41" i="44"/>
  <c r="G42" i="44"/>
  <c r="G43" i="44"/>
  <c r="G44" i="44"/>
  <c r="G45" i="44"/>
  <c r="G46" i="44"/>
  <c r="G47" i="44"/>
  <c r="G48" i="44"/>
  <c r="G49" i="44"/>
  <c r="G50" i="44"/>
  <c r="G51" i="44"/>
  <c r="G52" i="44"/>
  <c r="G53" i="44"/>
  <c r="G54" i="44"/>
  <c r="G55" i="44"/>
  <c r="G56" i="44"/>
  <c r="G57" i="44"/>
  <c r="G58" i="44"/>
  <c r="G59" i="44"/>
  <c r="G60" i="44"/>
  <c r="G61" i="44"/>
  <c r="G62" i="44"/>
  <c r="G63" i="44"/>
  <c r="G64" i="44"/>
  <c r="G65" i="44"/>
  <c r="G66" i="44"/>
  <c r="G67" i="44"/>
  <c r="G68" i="44"/>
  <c r="G69" i="44"/>
  <c r="G70" i="44"/>
  <c r="G71" i="44"/>
  <c r="G72" i="44"/>
  <c r="G73" i="44"/>
  <c r="G74" i="44"/>
  <c r="G75" i="44"/>
  <c r="G76" i="44"/>
  <c r="G77" i="44"/>
  <c r="G78" i="44"/>
  <c r="G79" i="44"/>
  <c r="G80" i="44"/>
  <c r="G81" i="44"/>
  <c r="G82" i="44"/>
  <c r="G83" i="44"/>
  <c r="G84" i="44"/>
  <c r="G85" i="44"/>
  <c r="G86" i="44"/>
  <c r="G87" i="44"/>
  <c r="G88" i="44"/>
  <c r="G89" i="44"/>
  <c r="G90" i="44"/>
  <c r="G91" i="44"/>
  <c r="G92" i="44"/>
  <c r="G93" i="44"/>
  <c r="G94" i="44"/>
  <c r="G95" i="44"/>
  <c r="G96" i="44"/>
  <c r="G97" i="44"/>
  <c r="G98" i="44"/>
  <c r="G99" i="44"/>
  <c r="G100" i="44"/>
  <c r="G101" i="44"/>
  <c r="G102" i="44"/>
  <c r="G103" i="44"/>
  <c r="G104" i="44"/>
  <c r="G105" i="44"/>
  <c r="G106" i="44"/>
  <c r="G107" i="44"/>
  <c r="G108" i="44"/>
  <c r="G109" i="44"/>
  <c r="G110" i="44"/>
  <c r="G111" i="44"/>
  <c r="G112" i="44"/>
  <c r="G113" i="44"/>
  <c r="G114" i="44"/>
  <c r="G115" i="44"/>
  <c r="G116" i="44"/>
  <c r="G117" i="44"/>
  <c r="G118" i="44"/>
  <c r="G119" i="44"/>
  <c r="G120" i="44"/>
  <c r="G121" i="44"/>
  <c r="G122" i="44"/>
  <c r="G123" i="44"/>
  <c r="G124" i="44"/>
  <c r="G125" i="44"/>
  <c r="G126" i="44"/>
  <c r="G127" i="44"/>
  <c r="G128" i="44"/>
  <c r="G129" i="44"/>
  <c r="G130" i="44"/>
  <c r="G131" i="44"/>
  <c r="G132" i="44"/>
  <c r="G133" i="44"/>
  <c r="G134" i="44"/>
  <c r="G135" i="44"/>
  <c r="G136" i="44"/>
  <c r="G137" i="44"/>
  <c r="G138" i="44"/>
  <c r="G139" i="44"/>
  <c r="G140" i="44"/>
  <c r="G141" i="44"/>
  <c r="G142" i="44"/>
  <c r="G143" i="44"/>
  <c r="G144" i="44"/>
  <c r="G145" i="44"/>
  <c r="G146" i="44"/>
  <c r="G147" i="44"/>
  <c r="G148" i="44"/>
  <c r="G149" i="44"/>
  <c r="G150" i="44"/>
  <c r="G151" i="44"/>
  <c r="G152" i="44"/>
  <c r="G153" i="44"/>
  <c r="G154" i="44"/>
  <c r="G155" i="44"/>
  <c r="G156" i="44"/>
  <c r="G157" i="44"/>
  <c r="G158" i="44"/>
  <c r="G159" i="44"/>
  <c r="G160" i="44"/>
  <c r="G161" i="44"/>
  <c r="G162" i="44"/>
  <c r="G163" i="44"/>
  <c r="G164" i="44"/>
  <c r="G165" i="44"/>
  <c r="G166" i="44"/>
  <c r="G167" i="44"/>
  <c r="G168" i="44"/>
  <c r="G169" i="44"/>
  <c r="G170" i="44"/>
  <c r="G171" i="44"/>
  <c r="G172" i="44"/>
  <c r="G173" i="44"/>
  <c r="G174" i="44"/>
  <c r="G175" i="44"/>
  <c r="G176" i="44"/>
  <c r="G177" i="44"/>
  <c r="G178" i="44"/>
  <c r="G179" i="44"/>
  <c r="G180" i="44"/>
  <c r="G181" i="44"/>
  <c r="G182" i="44"/>
  <c r="G183" i="44"/>
  <c r="G184" i="44"/>
  <c r="G185" i="44"/>
  <c r="G186" i="44"/>
  <c r="G187" i="44"/>
  <c r="G188" i="44"/>
  <c r="G189" i="44"/>
  <c r="G190" i="44"/>
  <c r="G191" i="44"/>
  <c r="G192" i="44"/>
  <c r="G193" i="44"/>
  <c r="G194" i="44"/>
  <c r="G195" i="44"/>
  <c r="G196" i="44"/>
  <c r="G197" i="44"/>
  <c r="G198" i="44"/>
  <c r="G199" i="44"/>
  <c r="G200" i="44"/>
  <c r="G201" i="44"/>
  <c r="G202" i="44"/>
  <c r="G203" i="44"/>
  <c r="G204" i="44"/>
  <c r="G205" i="44"/>
  <c r="G206" i="44"/>
  <c r="G207" i="44"/>
  <c r="G208" i="44"/>
  <c r="G209" i="44"/>
  <c r="G210" i="44"/>
  <c r="G211" i="44"/>
  <c r="G212" i="44"/>
  <c r="G213" i="44"/>
  <c r="G214" i="44"/>
  <c r="G215" i="44"/>
  <c r="G216" i="44"/>
  <c r="G217" i="44"/>
  <c r="G218" i="44"/>
  <c r="G219" i="44"/>
  <c r="G220" i="44"/>
  <c r="G221" i="44"/>
  <c r="G222" i="44"/>
  <c r="G223" i="44"/>
  <c r="G224" i="44"/>
  <c r="G225" i="44"/>
  <c r="G226" i="44"/>
  <c r="G227" i="44"/>
  <c r="G228" i="44"/>
  <c r="G229" i="44"/>
  <c r="G230" i="44"/>
  <c r="G231" i="44"/>
  <c r="G232" i="44"/>
  <c r="G233" i="44"/>
  <c r="G234" i="44"/>
  <c r="G235" i="44"/>
  <c r="G236" i="44"/>
  <c r="G237" i="44"/>
  <c r="G238" i="44"/>
  <c r="G239" i="44"/>
  <c r="G240" i="44"/>
  <c r="G241" i="44"/>
  <c r="G242" i="44"/>
  <c r="G243" i="44"/>
  <c r="G244" i="44"/>
  <c r="G245" i="44"/>
  <c r="G246" i="44"/>
  <c r="G247" i="44"/>
  <c r="G248" i="44"/>
  <c r="G249" i="44"/>
  <c r="G250" i="44"/>
  <c r="G251" i="44"/>
  <c r="G252" i="44"/>
  <c r="G253" i="44"/>
  <c r="G254" i="44"/>
  <c r="G255" i="44"/>
  <c r="G256" i="44"/>
  <c r="G257" i="44"/>
  <c r="G258" i="44"/>
  <c r="G259" i="44"/>
  <c r="G260" i="44"/>
  <c r="G261" i="44"/>
  <c r="G262" i="44"/>
  <c r="G263" i="44"/>
  <c r="G264" i="44"/>
  <c r="G265" i="44"/>
  <c r="G266" i="44"/>
  <c r="G267" i="44"/>
  <c r="G268" i="44"/>
  <c r="G269" i="44"/>
  <c r="G270" i="44"/>
  <c r="G271" i="44"/>
  <c r="G272" i="44"/>
  <c r="G273" i="44"/>
  <c r="G274" i="44"/>
  <c r="G275" i="44"/>
  <c r="G276" i="44"/>
  <c r="G277" i="44"/>
  <c r="G278" i="44"/>
  <c r="G279" i="44"/>
  <c r="G280" i="44"/>
  <c r="G281" i="44"/>
  <c r="G282" i="44"/>
  <c r="G283" i="44"/>
  <c r="G284" i="44"/>
  <c r="G285" i="44"/>
  <c r="G286" i="44"/>
  <c r="G287" i="44"/>
  <c r="G288" i="44"/>
  <c r="G289" i="44"/>
  <c r="G290" i="44"/>
  <c r="G291" i="44"/>
  <c r="G292" i="44"/>
  <c r="G293" i="44"/>
  <c r="G294" i="44"/>
  <c r="G295" i="44"/>
  <c r="G296" i="44"/>
  <c r="G297" i="44"/>
  <c r="G298" i="44"/>
  <c r="G299" i="44"/>
  <c r="G300" i="44"/>
  <c r="G301" i="44"/>
  <c r="G302" i="44"/>
  <c r="G303" i="44"/>
  <c r="G304" i="44"/>
  <c r="G305" i="44"/>
  <c r="G306" i="44"/>
  <c r="G307" i="44"/>
  <c r="G308" i="44"/>
  <c r="G309" i="44"/>
  <c r="G310" i="44"/>
  <c r="G311" i="44"/>
  <c r="G312" i="44"/>
  <c r="G313" i="44"/>
  <c r="G314" i="44"/>
  <c r="G315" i="44"/>
  <c r="G316" i="44"/>
  <c r="G317" i="44"/>
  <c r="G318" i="44"/>
  <c r="G319" i="44"/>
  <c r="G320" i="44"/>
  <c r="G321" i="44"/>
  <c r="G322" i="44"/>
  <c r="G323" i="44"/>
  <c r="G324" i="44"/>
  <c r="G325" i="44"/>
  <c r="G326" i="44"/>
  <c r="G327" i="44"/>
  <c r="G328" i="44"/>
  <c r="G329" i="44"/>
  <c r="G330" i="44"/>
  <c r="G331" i="44"/>
  <c r="G332" i="44"/>
  <c r="G333" i="44"/>
  <c r="G334" i="44"/>
  <c r="G335" i="44"/>
  <c r="G17" i="44"/>
  <c r="V18" i="44"/>
  <c r="V19" i="44"/>
  <c r="V20" i="44"/>
  <c r="V21" i="44"/>
  <c r="V22" i="44"/>
  <c r="V23" i="44"/>
  <c r="V24" i="44"/>
  <c r="V25" i="44"/>
  <c r="V26" i="44"/>
  <c r="V27" i="44"/>
  <c r="V28" i="44"/>
  <c r="V29" i="44"/>
  <c r="V30" i="44"/>
  <c r="V31" i="44"/>
  <c r="V32" i="44"/>
  <c r="V33" i="44"/>
  <c r="V34" i="44"/>
  <c r="V35" i="44"/>
  <c r="V36" i="44"/>
  <c r="V37" i="44"/>
  <c r="V38" i="44"/>
  <c r="V39" i="44"/>
  <c r="V40" i="44"/>
  <c r="V41" i="44"/>
  <c r="V42" i="44"/>
  <c r="V43" i="44"/>
  <c r="V44" i="44"/>
  <c r="V45" i="44"/>
  <c r="V46" i="44"/>
  <c r="V47" i="44"/>
  <c r="V48" i="44"/>
  <c r="V49" i="44"/>
  <c r="V50" i="44"/>
  <c r="V51" i="44"/>
  <c r="V52" i="44"/>
  <c r="V53" i="44"/>
  <c r="V54" i="44"/>
  <c r="V55" i="44"/>
  <c r="V56" i="44"/>
  <c r="V57" i="44"/>
  <c r="V58" i="44"/>
  <c r="V59" i="44"/>
  <c r="V60" i="44"/>
  <c r="V61" i="44"/>
  <c r="V62" i="44"/>
  <c r="V63" i="44"/>
  <c r="V64" i="44"/>
  <c r="V65" i="44"/>
  <c r="V66" i="44"/>
  <c r="V67" i="44"/>
  <c r="V68" i="44"/>
  <c r="V69" i="44"/>
  <c r="V70" i="44"/>
  <c r="V71" i="44"/>
  <c r="V72" i="44"/>
  <c r="V73" i="44"/>
  <c r="V74" i="44"/>
  <c r="V75" i="44"/>
  <c r="V76" i="44"/>
  <c r="V77" i="44"/>
  <c r="V78" i="44"/>
  <c r="V79" i="44"/>
  <c r="V80" i="44"/>
  <c r="V81" i="44"/>
  <c r="V82" i="44"/>
  <c r="V83" i="44"/>
  <c r="V84" i="44"/>
  <c r="V85" i="44"/>
  <c r="V86" i="44"/>
  <c r="V87" i="44"/>
  <c r="V88" i="44"/>
  <c r="V89" i="44"/>
  <c r="V90" i="44"/>
  <c r="V91" i="44"/>
  <c r="V92" i="44"/>
  <c r="V93" i="44"/>
  <c r="V94" i="44"/>
  <c r="V95" i="44"/>
  <c r="V96" i="44"/>
  <c r="V97" i="44"/>
  <c r="V98" i="44"/>
  <c r="V99" i="44"/>
  <c r="V100" i="44"/>
  <c r="V101" i="44"/>
  <c r="V102" i="44"/>
  <c r="V103" i="44"/>
  <c r="V104" i="44"/>
  <c r="V105" i="44"/>
  <c r="V106" i="44"/>
  <c r="V107" i="44"/>
  <c r="V108" i="44"/>
  <c r="V109" i="44"/>
  <c r="V110" i="44"/>
  <c r="V111" i="44"/>
  <c r="V112" i="44"/>
  <c r="V113" i="44"/>
  <c r="V114" i="44"/>
  <c r="V115" i="44"/>
  <c r="V116" i="44"/>
  <c r="V117" i="44"/>
  <c r="V118" i="44"/>
  <c r="V119" i="44"/>
  <c r="V120" i="44"/>
  <c r="V121" i="44"/>
  <c r="V122" i="44"/>
  <c r="V123" i="44"/>
  <c r="V124" i="44"/>
  <c r="V125" i="44"/>
  <c r="V126" i="44"/>
  <c r="V127" i="44"/>
  <c r="V128" i="44"/>
  <c r="V129" i="44"/>
  <c r="V130" i="44"/>
  <c r="V131" i="44"/>
  <c r="V132" i="44"/>
  <c r="V133" i="44"/>
  <c r="V134" i="44"/>
  <c r="V135" i="44"/>
  <c r="V136" i="44"/>
  <c r="V137" i="44"/>
  <c r="V138" i="44"/>
  <c r="V139" i="44"/>
  <c r="V140" i="44"/>
  <c r="V141" i="44"/>
  <c r="V142" i="44"/>
  <c r="V143" i="44"/>
  <c r="V144" i="44"/>
  <c r="V145" i="44"/>
  <c r="V146" i="44"/>
  <c r="V147" i="44"/>
  <c r="V148" i="44"/>
  <c r="V149" i="44"/>
  <c r="V150" i="44"/>
  <c r="V151" i="44"/>
  <c r="V152" i="44"/>
  <c r="V153" i="44"/>
  <c r="V154" i="44"/>
  <c r="V155" i="44"/>
  <c r="V17" i="44"/>
  <c r="S18" i="44"/>
  <c r="S19" i="44"/>
  <c r="S20" i="44"/>
  <c r="S21" i="44"/>
  <c r="S22" i="44"/>
  <c r="S23" i="44"/>
  <c r="S24" i="44"/>
  <c r="S25" i="44"/>
  <c r="S26" i="44"/>
  <c r="S27" i="44"/>
  <c r="S28" i="44"/>
  <c r="S29" i="44"/>
  <c r="S30" i="44"/>
  <c r="S31" i="44"/>
  <c r="S32" i="44"/>
  <c r="S33" i="44"/>
  <c r="S34" i="44"/>
  <c r="S35" i="44"/>
  <c r="S36" i="44"/>
  <c r="S37" i="44"/>
  <c r="S38" i="44"/>
  <c r="S39" i="44"/>
  <c r="S40" i="44"/>
  <c r="S41" i="44"/>
  <c r="S42" i="44"/>
  <c r="S43" i="44"/>
  <c r="S44" i="44"/>
  <c r="S45" i="44"/>
  <c r="S46" i="44"/>
  <c r="S47" i="44"/>
  <c r="S48" i="44"/>
  <c r="S49" i="44"/>
  <c r="S50" i="44"/>
  <c r="S51" i="44"/>
  <c r="S52" i="44"/>
  <c r="S53" i="44"/>
  <c r="S54" i="44"/>
  <c r="S55" i="44"/>
  <c r="S56" i="44"/>
  <c r="S57" i="44"/>
  <c r="S58" i="44"/>
  <c r="S59" i="44"/>
  <c r="S60" i="44"/>
  <c r="S61" i="44"/>
  <c r="S62" i="44"/>
  <c r="S63" i="44"/>
  <c r="S64" i="44"/>
  <c r="S65" i="44"/>
  <c r="S66" i="44"/>
  <c r="S67" i="44"/>
  <c r="S68" i="44"/>
  <c r="S69" i="44"/>
  <c r="S70" i="44"/>
  <c r="S71" i="44"/>
  <c r="S72" i="44"/>
  <c r="S73" i="44"/>
  <c r="S74" i="44"/>
  <c r="S75" i="44"/>
  <c r="S76" i="44"/>
  <c r="S77" i="44"/>
  <c r="S78" i="44"/>
  <c r="S79" i="44"/>
  <c r="S80" i="44"/>
  <c r="S81" i="44"/>
  <c r="S82" i="44"/>
  <c r="S83" i="44"/>
  <c r="S84" i="44"/>
  <c r="S85" i="44"/>
  <c r="S86" i="44"/>
  <c r="S87" i="44"/>
  <c r="S88" i="44"/>
  <c r="S89" i="44"/>
  <c r="S90" i="44"/>
  <c r="S91" i="44"/>
  <c r="S92" i="44"/>
  <c r="S93" i="44"/>
  <c r="S94" i="44"/>
  <c r="S95" i="44"/>
  <c r="S96" i="44"/>
  <c r="S97" i="44"/>
  <c r="S98" i="44"/>
  <c r="S99" i="44"/>
  <c r="S100" i="44"/>
  <c r="S101" i="44"/>
  <c r="S102" i="44"/>
  <c r="S103" i="44"/>
  <c r="S104" i="44"/>
  <c r="S105" i="44"/>
  <c r="S106" i="44"/>
  <c r="S107" i="44"/>
  <c r="S108" i="44"/>
  <c r="S109" i="44"/>
  <c r="S110" i="44"/>
  <c r="S111" i="44"/>
  <c r="S112" i="44"/>
  <c r="S113" i="44"/>
  <c r="S114" i="44"/>
  <c r="S115" i="44"/>
  <c r="S116" i="44"/>
  <c r="S117" i="44"/>
  <c r="S118" i="44"/>
  <c r="S119" i="44"/>
  <c r="S120" i="44"/>
  <c r="S121" i="44"/>
  <c r="S122" i="44"/>
  <c r="S123" i="44"/>
  <c r="S124" i="44"/>
  <c r="S125" i="44"/>
  <c r="S126" i="44"/>
  <c r="S127" i="44"/>
  <c r="S128" i="44"/>
  <c r="S129" i="44"/>
  <c r="S130" i="44"/>
  <c r="S131" i="44"/>
  <c r="S132" i="44"/>
  <c r="S133" i="44"/>
  <c r="S134" i="44"/>
  <c r="S135" i="44"/>
  <c r="S136" i="44"/>
  <c r="S137" i="44"/>
  <c r="S138" i="44"/>
  <c r="S139" i="44"/>
  <c r="S140" i="44"/>
  <c r="S141" i="44"/>
  <c r="S142" i="44"/>
  <c r="S143" i="44"/>
  <c r="S144" i="44"/>
  <c r="S145" i="44"/>
  <c r="S146" i="44"/>
  <c r="S147" i="44"/>
  <c r="S148" i="44"/>
  <c r="S149" i="44"/>
  <c r="S150" i="44"/>
  <c r="S151" i="44"/>
  <c r="S152" i="44"/>
  <c r="S153" i="44"/>
  <c r="S154" i="44"/>
  <c r="S155" i="44"/>
  <c r="S17" i="44"/>
  <c r="D17" i="44"/>
  <c r="D18" i="44"/>
  <c r="CO53" i="29" l="1"/>
  <c r="W53" i="29"/>
  <c r="CO29" i="29"/>
  <c r="W29" i="29"/>
  <c r="S336" i="44"/>
  <c r="Y336" i="44"/>
  <c r="Y337" i="44" s="1"/>
  <c r="V336" i="44"/>
  <c r="Y347" i="44" l="1"/>
  <c r="S337" i="44"/>
  <c r="Y348" i="44"/>
  <c r="V337" i="44"/>
  <c r="T22" i="45"/>
  <c r="U22" i="45"/>
  <c r="V22" i="45"/>
  <c r="V21" i="45"/>
  <c r="U21" i="45"/>
  <c r="T17" i="45" l="1"/>
  <c r="U18" i="45"/>
  <c r="V18" i="45"/>
  <c r="T18" i="45"/>
  <c r="V17" i="45"/>
  <c r="U17" i="45"/>
  <c r="T24" i="45"/>
  <c r="U24" i="45"/>
  <c r="V24" i="45"/>
  <c r="V23" i="45"/>
  <c r="U23" i="45"/>
  <c r="T23" i="45"/>
  <c r="T21" i="45"/>
  <c r="V20" i="45"/>
  <c r="U20" i="45"/>
  <c r="T20" i="45"/>
  <c r="V19" i="45"/>
  <c r="U19" i="45"/>
  <c r="T19" i="45"/>
  <c r="T14" i="45"/>
  <c r="U14" i="45"/>
  <c r="V14" i="45"/>
  <c r="V13" i="45"/>
  <c r="U13" i="45"/>
  <c r="T13" i="45"/>
  <c r="T12" i="45"/>
  <c r="U12" i="45"/>
  <c r="V12" i="45"/>
  <c r="V11" i="45"/>
  <c r="U11" i="45"/>
  <c r="T11" i="45"/>
  <c r="T10" i="45"/>
  <c r="U10" i="45"/>
  <c r="V10" i="45"/>
  <c r="V9" i="45"/>
  <c r="U9" i="45"/>
  <c r="T9" i="45"/>
  <c r="T8" i="45"/>
  <c r="U8" i="45"/>
  <c r="V8" i="45"/>
  <c r="AG19" i="45" l="1"/>
  <c r="AH19" i="45"/>
  <c r="AF19" i="45"/>
  <c r="AH20" i="45"/>
  <c r="AF20" i="45"/>
  <c r="AG20" i="45"/>
  <c r="V7" i="45"/>
  <c r="U7" i="45"/>
  <c r="T7" i="45"/>
  <c r="E24" i="45" l="1"/>
  <c r="F24" i="45"/>
  <c r="G24" i="45"/>
  <c r="G23" i="45"/>
  <c r="F23" i="45"/>
  <c r="E23" i="45"/>
  <c r="E22" i="45"/>
  <c r="F22" i="45"/>
  <c r="G22" i="45"/>
  <c r="G21" i="45"/>
  <c r="F21" i="45"/>
  <c r="G20" i="45"/>
  <c r="F20" i="45"/>
  <c r="E20" i="45"/>
  <c r="G19" i="45"/>
  <c r="F19" i="45"/>
  <c r="E19" i="45"/>
  <c r="G18" i="45"/>
  <c r="F18" i="45"/>
  <c r="E18" i="45"/>
  <c r="G17" i="45"/>
  <c r="F17" i="45"/>
  <c r="E17" i="45"/>
  <c r="E14" i="45"/>
  <c r="F14" i="45"/>
  <c r="G14" i="45"/>
  <c r="G13" i="45"/>
  <c r="F13" i="45"/>
  <c r="E13" i="45"/>
  <c r="E12" i="45"/>
  <c r="F12" i="45"/>
  <c r="G12" i="45"/>
  <c r="G11" i="45"/>
  <c r="F11" i="45"/>
  <c r="E11" i="45"/>
  <c r="E10" i="45"/>
  <c r="F10" i="45"/>
  <c r="G10" i="45"/>
  <c r="G9" i="45"/>
  <c r="F9" i="45"/>
  <c r="E9" i="45"/>
  <c r="E8" i="45"/>
  <c r="F8" i="45"/>
  <c r="G8" i="45"/>
  <c r="G7" i="45"/>
  <c r="F7" i="45"/>
  <c r="E7" i="45"/>
  <c r="Q19" i="45" l="1"/>
  <c r="S19" i="45"/>
  <c r="R19" i="45"/>
  <c r="R20" i="45"/>
  <c r="S20" i="45"/>
  <c r="Q20" i="45"/>
  <c r="E21" i="45"/>
  <c r="A355" i="44" l="1"/>
  <c r="A356" i="44"/>
  <c r="A354" i="44"/>
  <c r="D335" i="44" l="1"/>
  <c r="D334" i="44"/>
  <c r="D333" i="44"/>
  <c r="D332" i="44"/>
  <c r="D331" i="44"/>
  <c r="D330" i="44"/>
  <c r="D329" i="44"/>
  <c r="D328" i="44"/>
  <c r="D327" i="44"/>
  <c r="D326" i="44"/>
  <c r="D325" i="44"/>
  <c r="D324" i="44"/>
  <c r="D323" i="44"/>
  <c r="D322" i="44"/>
  <c r="D321" i="44"/>
  <c r="D320" i="44"/>
  <c r="D319" i="44"/>
  <c r="D318" i="44"/>
  <c r="D317" i="44"/>
  <c r="D316" i="44"/>
  <c r="D315" i="44"/>
  <c r="D314" i="44"/>
  <c r="D313" i="44"/>
  <c r="D312" i="44"/>
  <c r="D311" i="44"/>
  <c r="D310" i="44"/>
  <c r="D309" i="44"/>
  <c r="D308" i="44"/>
  <c r="D307" i="44"/>
  <c r="D306" i="44"/>
  <c r="D305" i="44"/>
  <c r="D304" i="44"/>
  <c r="D303" i="44"/>
  <c r="D302" i="44"/>
  <c r="D301" i="44"/>
  <c r="D300" i="44"/>
  <c r="D299" i="44"/>
  <c r="D298" i="44"/>
  <c r="D297" i="44"/>
  <c r="D296" i="44"/>
  <c r="D295" i="44"/>
  <c r="D294" i="44"/>
  <c r="D293" i="44"/>
  <c r="D292" i="44"/>
  <c r="D291" i="44"/>
  <c r="D290" i="44"/>
  <c r="D289" i="44"/>
  <c r="D288" i="44"/>
  <c r="D287" i="44"/>
  <c r="D286" i="44"/>
  <c r="D285" i="44"/>
  <c r="D284" i="44"/>
  <c r="D283" i="44"/>
  <c r="D282" i="44"/>
  <c r="D281" i="44"/>
  <c r="D280" i="44"/>
  <c r="D279" i="44"/>
  <c r="D278" i="44"/>
  <c r="D277" i="44"/>
  <c r="D276" i="44"/>
  <c r="D275" i="44"/>
  <c r="D274" i="44"/>
  <c r="D273" i="44"/>
  <c r="D272" i="44"/>
  <c r="D271" i="44"/>
  <c r="D270" i="44"/>
  <c r="D269" i="44"/>
  <c r="D268" i="44"/>
  <c r="D267" i="44"/>
  <c r="D266" i="44"/>
  <c r="D265" i="44"/>
  <c r="D264" i="44"/>
  <c r="D263" i="44"/>
  <c r="D262" i="44"/>
  <c r="D261" i="44"/>
  <c r="D260" i="44"/>
  <c r="D259" i="44"/>
  <c r="D258" i="44"/>
  <c r="D257" i="44"/>
  <c r="D256" i="44"/>
  <c r="D255" i="44"/>
  <c r="D254" i="44"/>
  <c r="D253" i="44"/>
  <c r="D252" i="44"/>
  <c r="D251" i="44"/>
  <c r="D250" i="44"/>
  <c r="D249" i="44"/>
  <c r="D248" i="44"/>
  <c r="D247" i="44"/>
  <c r="D246" i="44"/>
  <c r="D245" i="44"/>
  <c r="D244" i="44"/>
  <c r="D243" i="44"/>
  <c r="D242" i="44"/>
  <c r="D241" i="44"/>
  <c r="D240" i="44"/>
  <c r="D239" i="44"/>
  <c r="D238" i="44"/>
  <c r="D237" i="44"/>
  <c r="D236" i="44"/>
  <c r="D235" i="44"/>
  <c r="D234" i="44"/>
  <c r="D233" i="44"/>
  <c r="D232" i="44"/>
  <c r="D231" i="44"/>
  <c r="D230" i="44"/>
  <c r="D229" i="44"/>
  <c r="D228" i="44"/>
  <c r="D227" i="44"/>
  <c r="D226" i="44"/>
  <c r="D225" i="44"/>
  <c r="D224" i="44"/>
  <c r="D223" i="44"/>
  <c r="D222" i="44"/>
  <c r="D221" i="44"/>
  <c r="D220" i="44"/>
  <c r="D219" i="44"/>
  <c r="D218" i="44"/>
  <c r="D217" i="44"/>
  <c r="D216" i="44"/>
  <c r="D215" i="44"/>
  <c r="D214" i="44"/>
  <c r="D213" i="44"/>
  <c r="D212" i="44"/>
  <c r="D211" i="44"/>
  <c r="D210" i="44"/>
  <c r="D209" i="44"/>
  <c r="D208" i="44"/>
  <c r="D207" i="44"/>
  <c r="D206" i="44"/>
  <c r="D205" i="44"/>
  <c r="D204" i="44"/>
  <c r="D203" i="44"/>
  <c r="D202" i="44"/>
  <c r="D201" i="44"/>
  <c r="D200" i="44"/>
  <c r="D199" i="44"/>
  <c r="D198" i="44"/>
  <c r="D197" i="44"/>
  <c r="D196" i="44"/>
  <c r="D195" i="44"/>
  <c r="D194" i="44"/>
  <c r="D193" i="44"/>
  <c r="D192" i="44"/>
  <c r="D191" i="44"/>
  <c r="D190" i="44"/>
  <c r="D189" i="44"/>
  <c r="D188" i="44"/>
  <c r="D187" i="44"/>
  <c r="D186" i="44"/>
  <c r="D185" i="44"/>
  <c r="D184" i="44"/>
  <c r="D183" i="44"/>
  <c r="D182" i="44"/>
  <c r="D181" i="44"/>
  <c r="D180" i="44"/>
  <c r="D179" i="44"/>
  <c r="D178" i="44"/>
  <c r="D177" i="44"/>
  <c r="D176" i="44"/>
  <c r="D175" i="44"/>
  <c r="D174" i="44"/>
  <c r="D173" i="44"/>
  <c r="D172" i="44"/>
  <c r="D171" i="44"/>
  <c r="D170" i="44"/>
  <c r="D169" i="44"/>
  <c r="D168" i="44"/>
  <c r="D167" i="44"/>
  <c r="D166" i="44"/>
  <c r="D165" i="44"/>
  <c r="D164" i="44"/>
  <c r="D163" i="44"/>
  <c r="D162" i="44"/>
  <c r="D161" i="44"/>
  <c r="D160" i="44"/>
  <c r="D159" i="44"/>
  <c r="D158" i="44"/>
  <c r="D157" i="44"/>
  <c r="D156" i="44"/>
  <c r="D155" i="44"/>
  <c r="D154" i="44"/>
  <c r="D153" i="44"/>
  <c r="D152" i="44"/>
  <c r="D151" i="44"/>
  <c r="D150" i="44"/>
  <c r="D149" i="44"/>
  <c r="D148" i="44"/>
  <c r="D147" i="44"/>
  <c r="D146" i="44"/>
  <c r="D145" i="44"/>
  <c r="D144" i="44"/>
  <c r="D143" i="44"/>
  <c r="D142" i="44"/>
  <c r="D141" i="44"/>
  <c r="D140" i="44"/>
  <c r="D139" i="44"/>
  <c r="D138" i="44"/>
  <c r="D137" i="44"/>
  <c r="D136" i="44"/>
  <c r="D135" i="44"/>
  <c r="D134" i="44"/>
  <c r="D133" i="44"/>
  <c r="D132" i="44"/>
  <c r="D131" i="44"/>
  <c r="D130" i="44"/>
  <c r="D129" i="44"/>
  <c r="D128" i="44"/>
  <c r="D127" i="44"/>
  <c r="D126" i="44"/>
  <c r="D125" i="44"/>
  <c r="D124" i="44"/>
  <c r="D123" i="44"/>
  <c r="D122" i="44"/>
  <c r="D121" i="44"/>
  <c r="D120" i="44"/>
  <c r="D119" i="44"/>
  <c r="D118" i="44"/>
  <c r="D117" i="44"/>
  <c r="D116" i="44"/>
  <c r="D115" i="44"/>
  <c r="D114" i="44"/>
  <c r="D113" i="44"/>
  <c r="D112" i="44"/>
  <c r="D111" i="44"/>
  <c r="D110" i="44"/>
  <c r="D109" i="44"/>
  <c r="D108" i="44"/>
  <c r="D107" i="44"/>
  <c r="D106" i="44"/>
  <c r="D105" i="44"/>
  <c r="D104" i="44"/>
  <c r="D103" i="44"/>
  <c r="D102" i="44"/>
  <c r="D101" i="44"/>
  <c r="D100" i="44"/>
  <c r="D99" i="44"/>
  <c r="D98" i="44"/>
  <c r="D97" i="44"/>
  <c r="D96" i="44"/>
  <c r="D95" i="44"/>
  <c r="D94" i="44"/>
  <c r="D93" i="44"/>
  <c r="D92" i="44"/>
  <c r="D91" i="44"/>
  <c r="D90" i="44"/>
  <c r="D89" i="44"/>
  <c r="D88" i="44"/>
  <c r="D87" i="44"/>
  <c r="D86" i="44"/>
  <c r="D85" i="44"/>
  <c r="D84" i="44"/>
  <c r="D83" i="44"/>
  <c r="D82" i="44"/>
  <c r="D81" i="44"/>
  <c r="D80" i="44"/>
  <c r="D79" i="44"/>
  <c r="D78" i="44"/>
  <c r="D77" i="44"/>
  <c r="D76" i="44"/>
  <c r="D75" i="44"/>
  <c r="D74" i="44"/>
  <c r="D73" i="44"/>
  <c r="D72" i="44"/>
  <c r="D71" i="44"/>
  <c r="D70" i="44"/>
  <c r="D69" i="44"/>
  <c r="D68" i="44"/>
  <c r="D67" i="44"/>
  <c r="D66" i="44"/>
  <c r="D65" i="44"/>
  <c r="D64" i="44"/>
  <c r="D63" i="44"/>
  <c r="D62" i="44"/>
  <c r="D61" i="44"/>
  <c r="D60" i="44"/>
  <c r="D59" i="44"/>
  <c r="D58" i="44"/>
  <c r="D57" i="44"/>
  <c r="D56" i="44"/>
  <c r="D55" i="44"/>
  <c r="D54" i="44"/>
  <c r="D53" i="44"/>
  <c r="D52" i="44"/>
  <c r="D51" i="44"/>
  <c r="D50" i="44"/>
  <c r="D49" i="44"/>
  <c r="D48" i="44"/>
  <c r="D47" i="44"/>
  <c r="D46" i="44"/>
  <c r="D45" i="44"/>
  <c r="D44" i="44"/>
  <c r="D43" i="44"/>
  <c r="D42" i="44"/>
  <c r="D41" i="44"/>
  <c r="D40" i="44"/>
  <c r="D39" i="44"/>
  <c r="D38" i="44"/>
  <c r="D37" i="44"/>
  <c r="D36" i="44"/>
  <c r="D35" i="44"/>
  <c r="D34" i="44"/>
  <c r="D33" i="44"/>
  <c r="D32" i="44"/>
  <c r="D31" i="44"/>
  <c r="D30" i="44"/>
  <c r="D29" i="44"/>
  <c r="D28" i="44"/>
  <c r="D27" i="44"/>
  <c r="D26" i="44"/>
  <c r="D25" i="44"/>
  <c r="D24" i="44"/>
  <c r="D23" i="44"/>
  <c r="D22" i="44"/>
  <c r="D21" i="44"/>
  <c r="D20" i="44"/>
  <c r="D19" i="44"/>
  <c r="G336" i="44" l="1"/>
  <c r="G337" i="44" s="1"/>
  <c r="J336" i="44"/>
  <c r="J337" i="44" s="1"/>
  <c r="D336" i="44"/>
  <c r="D337" i="44" s="1"/>
  <c r="J347" i="44" l="1"/>
  <c r="J348" i="44"/>
  <c r="AD94" i="40" l="1"/>
  <c r="C94" i="40"/>
  <c r="AD93" i="40"/>
  <c r="C93" i="40"/>
  <c r="AD92" i="40"/>
  <c r="AD91" i="40"/>
  <c r="C91" i="40"/>
  <c r="AD90" i="40"/>
  <c r="C90" i="40"/>
  <c r="AD85" i="40"/>
  <c r="C85" i="40"/>
  <c r="AD84" i="40"/>
  <c r="C84" i="40"/>
  <c r="AD83" i="40"/>
  <c r="AD79" i="40"/>
  <c r="C79" i="40"/>
  <c r="AD78" i="40"/>
  <c r="AD77" i="40"/>
  <c r="C77" i="40"/>
  <c r="AD76" i="40"/>
  <c r="C76" i="40"/>
  <c r="AD72" i="40"/>
  <c r="C72" i="40"/>
  <c r="AD71" i="40"/>
  <c r="C71" i="40"/>
  <c r="AD70" i="40"/>
  <c r="AD69" i="40"/>
  <c r="C69" i="40"/>
  <c r="AD68" i="40"/>
  <c r="C68" i="40"/>
  <c r="AD63" i="40"/>
  <c r="C63" i="40"/>
  <c r="AD62" i="40"/>
  <c r="C62" i="40"/>
  <c r="AD61" i="40"/>
  <c r="AD57" i="40"/>
  <c r="C57" i="40"/>
  <c r="AD56" i="40"/>
  <c r="C56" i="40"/>
  <c r="AD55" i="40"/>
  <c r="AD54" i="40"/>
  <c r="C54" i="40"/>
  <c r="AD50" i="40"/>
  <c r="C50" i="40"/>
  <c r="AD49" i="40"/>
  <c r="AD45" i="40"/>
  <c r="C45" i="40"/>
  <c r="AD44" i="40"/>
  <c r="AD40" i="40"/>
  <c r="C40" i="40"/>
  <c r="AD39" i="40"/>
  <c r="AD38" i="40"/>
  <c r="C38" i="40"/>
  <c r="AD37" i="40"/>
  <c r="C37" i="40"/>
  <c r="AD33" i="40"/>
  <c r="AD29" i="40"/>
  <c r="C29" i="40"/>
  <c r="AD28" i="40"/>
  <c r="AD27" i="40"/>
  <c r="C27" i="40"/>
  <c r="AD23" i="40"/>
  <c r="AD22" i="40"/>
  <c r="C22" i="40"/>
  <c r="AD21" i="40"/>
  <c r="C21" i="40"/>
  <c r="AD17" i="40"/>
  <c r="AD16" i="40"/>
  <c r="C16" i="40"/>
  <c r="AD15" i="40"/>
  <c r="C15" i="40"/>
  <c r="AD11" i="40"/>
  <c r="C11" i="40"/>
  <c r="AD10" i="40"/>
  <c r="AD6" i="40"/>
  <c r="AD5" i="40"/>
  <c r="C5" i="40"/>
  <c r="AD96" i="43"/>
  <c r="C96" i="43"/>
  <c r="AD95" i="43"/>
  <c r="C95" i="43"/>
  <c r="AD94" i="43"/>
  <c r="AD93" i="43"/>
  <c r="C93" i="43"/>
  <c r="AD92" i="43"/>
  <c r="C92" i="43"/>
  <c r="AD87" i="43"/>
  <c r="C87" i="43"/>
  <c r="AD86" i="43"/>
  <c r="C86" i="43"/>
  <c r="AD85" i="43"/>
  <c r="AD80" i="43"/>
  <c r="C80" i="43"/>
  <c r="AD79" i="43"/>
  <c r="AD78" i="43"/>
  <c r="C78" i="43"/>
  <c r="AD77" i="43"/>
  <c r="C77" i="43"/>
  <c r="AD73" i="43"/>
  <c r="C73" i="43"/>
  <c r="AD72" i="43"/>
  <c r="C72" i="43"/>
  <c r="AD71" i="43"/>
  <c r="AD70" i="43"/>
  <c r="C70" i="43"/>
  <c r="AD69" i="43"/>
  <c r="C69" i="43"/>
  <c r="AD64" i="43"/>
  <c r="C64" i="43"/>
  <c r="AD63" i="43"/>
  <c r="C63" i="43"/>
  <c r="AD62" i="43"/>
  <c r="AD58" i="43"/>
  <c r="C58" i="43"/>
  <c r="AD57" i="43"/>
  <c r="C57" i="43"/>
  <c r="AD56" i="43"/>
  <c r="AD55" i="43"/>
  <c r="C55" i="43"/>
  <c r="AD51" i="43"/>
  <c r="C51" i="43"/>
  <c r="AD50" i="43"/>
  <c r="C50" i="43"/>
  <c r="AD49" i="43"/>
  <c r="AD45" i="43"/>
  <c r="C45" i="43"/>
  <c r="AD44" i="43"/>
  <c r="AD40" i="43"/>
  <c r="C40" i="43"/>
  <c r="AD39" i="43"/>
  <c r="AD38" i="43"/>
  <c r="C38" i="43"/>
  <c r="AD37" i="43"/>
  <c r="C37" i="43"/>
  <c r="AD33" i="43"/>
  <c r="AD29" i="43"/>
  <c r="C29" i="43"/>
  <c r="AD28" i="43"/>
  <c r="AD27" i="43"/>
  <c r="C27" i="43"/>
  <c r="AD23" i="43"/>
  <c r="AD22" i="43"/>
  <c r="C22" i="43"/>
  <c r="AD21" i="43"/>
  <c r="C21" i="43"/>
  <c r="AD17" i="43"/>
  <c r="AD16" i="43"/>
  <c r="C16" i="43"/>
  <c r="AD15" i="43"/>
  <c r="C15" i="43"/>
  <c r="AD11" i="43"/>
  <c r="C11" i="43"/>
  <c r="AD10" i="43"/>
  <c r="AD6" i="43"/>
  <c r="AD5" i="43"/>
  <c r="C5" i="43"/>
  <c r="F55" i="42"/>
  <c r="E55" i="42"/>
  <c r="D55" i="42"/>
  <c r="C103" i="39" l="1"/>
  <c r="C98" i="39"/>
  <c r="C93" i="39"/>
  <c r="C92" i="39"/>
  <c r="C88" i="39"/>
  <c r="C85" i="39"/>
  <c r="C84" i="39"/>
  <c r="C80" i="39"/>
  <c r="C79" i="39"/>
  <c r="C78" i="39"/>
  <c r="C74" i="39"/>
  <c r="C73" i="39"/>
  <c r="C69" i="39"/>
  <c r="C66" i="39"/>
  <c r="C62" i="39"/>
  <c r="C61" i="39"/>
  <c r="C60" i="39"/>
  <c r="C55" i="39"/>
  <c r="C54" i="39"/>
  <c r="C52" i="39"/>
  <c r="C48" i="39"/>
  <c r="C47" i="39"/>
  <c r="C46" i="39"/>
  <c r="C40" i="39"/>
  <c r="C39" i="39"/>
  <c r="C38" i="39"/>
  <c r="C37" i="39"/>
  <c r="C36" i="39"/>
  <c r="C35" i="39"/>
  <c r="C34" i="39"/>
  <c r="C32" i="39"/>
  <c r="C31" i="39"/>
  <c r="C27" i="39"/>
  <c r="C26" i="39"/>
  <c r="C25" i="39"/>
  <c r="C24" i="39"/>
  <c r="C23" i="39"/>
  <c r="C22" i="39"/>
  <c r="C21" i="39"/>
  <c r="C19" i="39"/>
  <c r="C18" i="39"/>
  <c r="AD13" i="39"/>
  <c r="C13" i="39"/>
  <c r="AD12" i="39"/>
  <c r="C8" i="39"/>
  <c r="C7" i="39"/>
  <c r="AD6" i="39"/>
  <c r="AD5" i="39"/>
  <c r="C5" i="39"/>
  <c r="C24" i="32" l="1"/>
  <c r="C7" i="32" l="1"/>
  <c r="C118" i="32" l="1"/>
  <c r="C108" i="32"/>
  <c r="C67" i="32" l="1"/>
  <c r="C38" i="32" l="1"/>
  <c r="C113" i="32" l="1"/>
  <c r="C107" i="32"/>
  <c r="C105" i="32"/>
  <c r="C104" i="32"/>
  <c r="C100" i="32"/>
  <c r="C99" i="32"/>
  <c r="C98" i="32"/>
  <c r="C86" i="32"/>
  <c r="C72" i="32"/>
  <c r="C68" i="32"/>
  <c r="C61" i="32"/>
  <c r="C49" i="32"/>
  <c r="C50" i="32"/>
  <c r="C48" i="32"/>
  <c r="C36" i="32"/>
  <c r="C37" i="32"/>
  <c r="C39" i="32"/>
  <c r="C40" i="32"/>
  <c r="C41" i="32"/>
  <c r="C42" i="32"/>
  <c r="C35" i="32"/>
  <c r="C22" i="32"/>
  <c r="C23" i="32"/>
  <c r="C25" i="32"/>
  <c r="C26" i="32"/>
  <c r="C27" i="32"/>
  <c r="C28" i="32"/>
  <c r="C21" i="32"/>
  <c r="C8" i="32"/>
  <c r="K54" i="25" l="1"/>
  <c r="K52" i="25" l="1"/>
  <c r="K55" i="25" l="1"/>
  <c r="K53" i="25"/>
  <c r="CZ41" i="29"/>
  <c r="AB38" i="29"/>
  <c r="AB41" i="29"/>
  <c r="DQ55" i="29"/>
  <c r="DN31" i="29"/>
  <c r="AN35" i="29"/>
  <c r="AH40" i="29"/>
  <c r="DI38" i="29"/>
  <c r="CZ69" i="29"/>
  <c r="AI44" i="29"/>
  <c r="BA44" i="29"/>
  <c r="AZ59" i="29"/>
  <c r="AV31" i="29"/>
  <c r="AC57" i="29"/>
  <c r="AH66" i="29"/>
  <c r="AY55" i="29"/>
  <c r="CT46" i="29"/>
  <c r="DI44" i="29"/>
  <c r="AK64" i="29"/>
  <c r="AG64" i="29"/>
  <c r="AU33" i="29"/>
  <c r="BB59" i="29"/>
  <c r="DV44" i="29"/>
  <c r="DL62" i="29"/>
  <c r="DA68" i="29"/>
  <c r="DK59" i="29"/>
  <c r="AJ41" i="29"/>
  <c r="AW68" i="29"/>
  <c r="AI65" i="29"/>
  <c r="AU69" i="29"/>
  <c r="BD67" i="29"/>
  <c r="AG55" i="29"/>
  <c r="CV43" i="29"/>
  <c r="CX44" i="29"/>
  <c r="AH55" i="29"/>
  <c r="AR61" i="29"/>
  <c r="DO59" i="29"/>
  <c r="D46" i="14"/>
  <c r="DS62" i="29"/>
  <c r="CW45" i="29"/>
  <c r="AR38" i="29"/>
  <c r="W46" i="14"/>
  <c r="AQ57" i="29"/>
  <c r="DV67" i="29"/>
  <c r="DN39" i="29"/>
  <c r="DQ69" i="29"/>
  <c r="BC33" i="29"/>
  <c r="AR35" i="29"/>
  <c r="AQ58" i="29"/>
  <c r="AU42" i="29"/>
  <c r="CV42" i="29"/>
  <c r="CV58" i="29"/>
  <c r="DD40" i="29"/>
  <c r="AH44" i="29"/>
  <c r="DI42" i="29"/>
  <c r="DV70" i="29"/>
  <c r="DK34" i="29"/>
  <c r="AL45" i="29"/>
  <c r="AA62" i="39"/>
  <c r="DT43" i="29"/>
  <c r="BC35" i="29"/>
  <c r="DV63" i="29"/>
  <c r="AU70" i="29"/>
  <c r="BD31" i="29"/>
  <c r="DH46" i="29"/>
  <c r="DF61" i="29"/>
  <c r="BC61" i="29"/>
  <c r="AM69" i="29"/>
  <c r="BC64" i="29"/>
  <c r="DK69" i="29"/>
  <c r="DV58" i="29"/>
  <c r="AB65" i="29"/>
  <c r="AT67" i="29"/>
  <c r="BA69" i="29"/>
  <c r="AH62" i="29"/>
  <c r="BB61" i="29"/>
  <c r="DT33" i="29"/>
  <c r="DG70" i="29"/>
  <c r="CW65" i="29"/>
  <c r="AY32" i="29"/>
  <c r="AZ65" i="29"/>
  <c r="DA44" i="29"/>
  <c r="BB45" i="29"/>
  <c r="DP45" i="29"/>
  <c r="AM45" i="29"/>
  <c r="AH64" i="29"/>
  <c r="AY37" i="29"/>
  <c r="DJ59" i="29"/>
  <c r="AY44" i="29"/>
  <c r="BA64" i="29"/>
  <c r="AQ61" i="29"/>
  <c r="CY31" i="29"/>
  <c r="DF43" i="29"/>
  <c r="CW42" i="29"/>
  <c r="AC44" i="29"/>
  <c r="BB32" i="29"/>
  <c r="DC43" i="29"/>
  <c r="AJ38" i="29"/>
  <c r="AJ43" i="29"/>
  <c r="AW61" i="29"/>
  <c r="AZ64" i="29"/>
  <c r="DS64" i="29"/>
  <c r="AB44" i="29"/>
  <c r="CW44" i="29"/>
  <c r="BA31" i="29"/>
  <c r="DO34" i="29"/>
  <c r="DD55" i="29"/>
  <c r="AP66" i="29"/>
  <c r="DN46" i="29"/>
  <c r="AO40" i="29"/>
  <c r="AH37" i="29"/>
  <c r="CZ31" i="29"/>
  <c r="DP31" i="29"/>
  <c r="DL35" i="29"/>
  <c r="DA33" i="29"/>
  <c r="AZ58" i="29"/>
  <c r="DA34" i="29"/>
  <c r="BD44" i="29"/>
  <c r="AL40" i="29"/>
  <c r="DV32" i="29"/>
  <c r="N20" i="47"/>
  <c r="AY59" i="29"/>
  <c r="DD37" i="29"/>
  <c r="DI37" i="29"/>
  <c r="DV34" i="29"/>
  <c r="N93" i="39"/>
  <c r="AX62" i="29"/>
  <c r="AS67" i="29"/>
  <c r="DC69" i="29"/>
  <c r="DI67" i="29"/>
  <c r="DJ66" i="29"/>
  <c r="BC59" i="29"/>
  <c r="CV39" i="29"/>
  <c r="BD68" i="29"/>
  <c r="DJ37" i="29"/>
  <c r="DI39" i="29"/>
  <c r="DL69" i="29"/>
  <c r="AR66" i="29"/>
  <c r="DM35" i="29"/>
  <c r="AC46" i="29"/>
  <c r="CZ44" i="29"/>
  <c r="DE69" i="29"/>
  <c r="DJ42" i="29"/>
  <c r="AC69" i="29"/>
  <c r="DG58" i="29"/>
  <c r="DH61" i="29"/>
  <c r="AV42" i="29"/>
  <c r="AK43" i="29"/>
  <c r="CU56" i="29"/>
  <c r="AN43" i="29"/>
  <c r="DQ64" i="29"/>
  <c r="DM69" i="29"/>
  <c r="DR38" i="29"/>
  <c r="BC67" i="29"/>
  <c r="DU59" i="29"/>
  <c r="AL67" i="29"/>
  <c r="DJ40" i="29"/>
  <c r="DO35" i="29"/>
  <c r="AQ59" i="29"/>
  <c r="AZ67" i="29"/>
  <c r="AF62" i="29"/>
  <c r="AL61" i="29"/>
  <c r="DF55" i="29"/>
  <c r="DR58" i="29"/>
  <c r="DU41" i="29"/>
  <c r="DA38" i="29"/>
  <c r="DB31" i="29"/>
  <c r="DG44" i="29"/>
  <c r="AC31" i="29"/>
  <c r="DM59" i="29"/>
  <c r="DQ45" i="29"/>
  <c r="AX58" i="29"/>
  <c r="DA57" i="29"/>
  <c r="AL56" i="29"/>
  <c r="DQ35" i="29"/>
  <c r="DQ42" i="29"/>
  <c r="AP68" i="29"/>
  <c r="DE62" i="29"/>
  <c r="DE68" i="29"/>
  <c r="DR41" i="29"/>
  <c r="DD62" i="29"/>
  <c r="DI66" i="29"/>
  <c r="AW35" i="29"/>
  <c r="V8" i="32"/>
  <c r="AJ32" i="29"/>
  <c r="N46" i="14"/>
  <c r="DD69" i="29"/>
  <c r="DQ68" i="29"/>
  <c r="CU57" i="29"/>
  <c r="AO31" i="29"/>
  <c r="DP35" i="29"/>
  <c r="CV46" i="29"/>
  <c r="AL46" i="29"/>
  <c r="AQ37" i="29"/>
  <c r="AQ70" i="29"/>
  <c r="DV38" i="29"/>
  <c r="AA103" i="39"/>
  <c r="DV55" i="29"/>
  <c r="AX42" i="29"/>
  <c r="CU41" i="29"/>
  <c r="AR68" i="29"/>
  <c r="DP46" i="29"/>
  <c r="BD61" i="29"/>
  <c r="AY67" i="29"/>
  <c r="DT62" i="29"/>
  <c r="DC40" i="29"/>
  <c r="AR59" i="29"/>
  <c r="DU69" i="29"/>
  <c r="BD63" i="29"/>
  <c r="DA40" i="29"/>
  <c r="BC32" i="29"/>
  <c r="AR64" i="29"/>
  <c r="CT35" i="29"/>
  <c r="AU39" i="29"/>
  <c r="AK34" i="29"/>
  <c r="CT63" i="29"/>
  <c r="BB67" i="29"/>
  <c r="AI34" i="29"/>
  <c r="CX34" i="29"/>
  <c r="AF61" i="29"/>
  <c r="AK59" i="29"/>
  <c r="AQ34" i="29"/>
  <c r="DO43" i="29"/>
  <c r="DQ70" i="29"/>
  <c r="AY65" i="29"/>
  <c r="DL34" i="29"/>
  <c r="DB42" i="29"/>
  <c r="DR40" i="29"/>
  <c r="AJ56" i="29"/>
  <c r="DG31" i="29"/>
  <c r="AW70" i="29"/>
  <c r="AC43" i="29"/>
  <c r="BB57" i="29"/>
  <c r="AB32" i="29"/>
  <c r="AG68" i="29"/>
  <c r="BA68" i="29"/>
  <c r="AZ45" i="29"/>
  <c r="AN61" i="29"/>
  <c r="CV34" i="29"/>
  <c r="AQ45" i="29"/>
  <c r="AQ63" i="29"/>
  <c r="AF41" i="29"/>
  <c r="N61" i="39"/>
  <c r="N230" i="27"/>
  <c r="AE61" i="29"/>
  <c r="CZ64" i="29"/>
  <c r="AZ43" i="29"/>
  <c r="DG57" i="29"/>
  <c r="AH46" i="29"/>
  <c r="DE38" i="29"/>
  <c r="CY70" i="29"/>
  <c r="CX68" i="29"/>
  <c r="CY63" i="29"/>
  <c r="DU46" i="29"/>
  <c r="DQ62" i="29"/>
  <c r="AX56" i="29"/>
  <c r="CT42" i="29"/>
  <c r="AX69" i="29"/>
  <c r="AH35" i="29"/>
  <c r="DJ57" i="29"/>
  <c r="AM65" i="29"/>
  <c r="AV32" i="29"/>
  <c r="DR69" i="29"/>
  <c r="DE58" i="29"/>
  <c r="AX43" i="29"/>
  <c r="AJ45" i="29"/>
  <c r="AX61" i="29"/>
  <c r="V24" i="39"/>
  <c r="T36" i="39"/>
  <c r="DI55" i="29"/>
  <c r="CV59" i="29"/>
  <c r="BB60" i="29"/>
  <c r="AD47" i="14"/>
  <c r="DG68" i="29"/>
  <c r="DD68" i="29"/>
  <c r="V47" i="14"/>
  <c r="AJ40" i="29"/>
  <c r="AF35" i="29"/>
  <c r="AH41" i="29"/>
  <c r="BD43" i="29"/>
  <c r="AL64" i="29"/>
  <c r="AN67" i="29"/>
  <c r="AX64" i="29"/>
  <c r="BB46" i="29"/>
  <c r="DI58" i="29"/>
  <c r="BA59" i="29"/>
  <c r="DC57" i="29"/>
  <c r="AH34" i="29"/>
  <c r="AY58" i="29"/>
  <c r="DG45" i="29"/>
  <c r="DK38" i="29"/>
  <c r="AN34" i="29"/>
  <c r="AN62" i="29"/>
  <c r="BD40" i="29"/>
  <c r="DF38" i="29"/>
  <c r="DB41" i="29"/>
  <c r="BA65" i="29"/>
  <c r="CU70" i="29"/>
  <c r="AD31" i="29"/>
  <c r="CT41" i="29"/>
  <c r="DN33" i="29"/>
  <c r="DT45" i="29"/>
  <c r="CX35" i="29"/>
  <c r="DP32" i="29"/>
  <c r="DI59" i="29"/>
  <c r="DB40" i="29"/>
  <c r="AV41" i="29"/>
  <c r="AD59" i="29"/>
  <c r="DO55" i="29"/>
  <c r="CW41" i="29"/>
  <c r="AE41" i="29"/>
  <c r="DE55" i="29"/>
  <c r="AB56" i="29"/>
  <c r="DH43" i="29"/>
  <c r="CW61" i="29"/>
  <c r="AB31" i="29"/>
  <c r="AW37" i="29"/>
  <c r="DD31" i="29"/>
  <c r="DS37" i="29"/>
  <c r="DU39" i="29"/>
  <c r="N24" i="39"/>
  <c r="DK62" i="29"/>
  <c r="AM31" i="29"/>
  <c r="AE42" i="29"/>
  <c r="AE67" i="29"/>
  <c r="CV70" i="29"/>
  <c r="AK41" i="29"/>
  <c r="AD45" i="29"/>
  <c r="CV63" i="29"/>
  <c r="DD34" i="29"/>
  <c r="AX70" i="29"/>
  <c r="AD34" i="29"/>
  <c r="DO67" i="29"/>
  <c r="DM31" i="29"/>
  <c r="AF58" i="29"/>
  <c r="DA35" i="29"/>
  <c r="DS45" i="29"/>
  <c r="DC58" i="29"/>
  <c r="AG31" i="29"/>
  <c r="AZ38" i="29"/>
  <c r="AP42" i="29"/>
  <c r="AC56" i="29"/>
  <c r="DR59" i="29"/>
  <c r="DC62" i="29"/>
  <c r="AW38" i="29"/>
  <c r="DO64" i="29"/>
  <c r="AP45" i="29"/>
  <c r="CW35" i="29"/>
  <c r="AM55" i="29"/>
  <c r="AC42" i="29"/>
  <c r="AL62" i="29"/>
  <c r="DS40" i="29"/>
  <c r="DP55" i="29"/>
  <c r="DG43" i="29"/>
  <c r="DH70" i="29"/>
  <c r="AB64" i="29"/>
  <c r="AH42" i="29"/>
  <c r="AY69" i="29"/>
  <c r="AF66" i="29"/>
  <c r="AL58" i="29"/>
  <c r="AG67" i="29"/>
  <c r="CX61" i="29"/>
  <c r="AL34" i="29"/>
  <c r="CV38" i="29"/>
  <c r="DJ38" i="29"/>
  <c r="AH69" i="29"/>
  <c r="CT56" i="29"/>
  <c r="AE66" i="29"/>
  <c r="DQ67" i="29"/>
  <c r="AP43" i="29"/>
  <c r="W233" i="27"/>
  <c r="DH58" i="29"/>
  <c r="CX41" i="29"/>
  <c r="DC33" i="29"/>
  <c r="BD35" i="29"/>
  <c r="AH43" i="29"/>
  <c r="AE20" i="47"/>
  <c r="AC35" i="29"/>
  <c r="AF46" i="29"/>
  <c r="AP40" i="29"/>
  <c r="DL67" i="29"/>
  <c r="CV37" i="29"/>
  <c r="AH45" i="29"/>
  <c r="AC45" i="29"/>
  <c r="AX45" i="29"/>
  <c r="AB67" i="29"/>
  <c r="DV42" i="29"/>
  <c r="AI58" i="29"/>
  <c r="BD56" i="29"/>
  <c r="AU63" i="29"/>
  <c r="DC44" i="29"/>
  <c r="AD61" i="29"/>
  <c r="CX59" i="29"/>
  <c r="DQ61" i="29"/>
  <c r="N232" i="27"/>
  <c r="Y20" i="47"/>
  <c r="AU67" i="29"/>
  <c r="DU33" i="29"/>
  <c r="DJ61" i="29"/>
  <c r="BD58" i="29"/>
  <c r="AK62" i="29"/>
  <c r="N14" i="39"/>
  <c r="AW69" i="29"/>
  <c r="DQ38" i="29"/>
  <c r="BB69" i="29"/>
  <c r="DO62" i="29"/>
  <c r="DD46" i="29"/>
  <c r="DU61" i="29"/>
  <c r="AW46" i="29"/>
  <c r="DU56" i="29"/>
  <c r="DS55" i="29"/>
  <c r="AS58" i="29"/>
  <c r="DV69" i="29"/>
  <c r="DJ35" i="29"/>
  <c r="DM67" i="29"/>
  <c r="AU35" i="29"/>
  <c r="DM46" i="29"/>
  <c r="H46" i="14"/>
  <c r="AG69" i="29"/>
  <c r="DN42" i="29"/>
  <c r="DD45" i="29"/>
  <c r="AU57" i="29"/>
  <c r="CT64" i="29"/>
  <c r="AB68" i="29"/>
  <c r="CZ55" i="29"/>
  <c r="DA64" i="29"/>
  <c r="CZ37" i="29"/>
  <c r="DQ65" i="29"/>
  <c r="D47" i="14"/>
  <c r="DV35" i="29"/>
  <c r="DO69" i="29"/>
  <c r="DN32" i="29"/>
  <c r="DE44" i="29"/>
  <c r="DR67" i="29"/>
  <c r="V46" i="14"/>
  <c r="AA55" i="39"/>
  <c r="AU31" i="29"/>
  <c r="DT69" i="29"/>
  <c r="CZ45" i="29"/>
  <c r="DO44" i="29"/>
  <c r="AV37" i="29"/>
  <c r="BA55" i="29"/>
  <c r="AW56" i="29"/>
  <c r="CZ43" i="29"/>
  <c r="DU32" i="29"/>
  <c r="CX57" i="29"/>
  <c r="AG70" i="29"/>
  <c r="DB35" i="29"/>
  <c r="AI57" i="29"/>
  <c r="DE34" i="29"/>
  <c r="AC33" i="29"/>
  <c r="CT70" i="29"/>
  <c r="F47" i="14"/>
  <c r="AM44" i="29"/>
  <c r="N47" i="14"/>
  <c r="DT61" i="29"/>
  <c r="AU34" i="29"/>
  <c r="AK66" i="29"/>
  <c r="CX55" i="29"/>
  <c r="DH42" i="29"/>
  <c r="DP33" i="29"/>
  <c r="DA42" i="29"/>
  <c r="DB46" i="29"/>
  <c r="CU43" i="29"/>
  <c r="DF45" i="29"/>
  <c r="CU35" i="29"/>
  <c r="CY69" i="29"/>
  <c r="DM38" i="29"/>
  <c r="DL58" i="29"/>
  <c r="DK35" i="29"/>
  <c r="AN38" i="29"/>
  <c r="DA70" i="29"/>
  <c r="AR31" i="29"/>
  <c r="DD38" i="29"/>
  <c r="AM42" i="29"/>
  <c r="AC67" i="29"/>
  <c r="X47" i="14"/>
  <c r="BB55" i="29"/>
  <c r="AY61" i="29"/>
  <c r="AF65" i="29"/>
  <c r="DT60" i="29"/>
  <c r="AM62" i="29"/>
  <c r="DQ41" i="29"/>
  <c r="CY57" i="29"/>
  <c r="DR42" i="29"/>
  <c r="DN35" i="29"/>
  <c r="DE59" i="29"/>
  <c r="AK46" i="29"/>
  <c r="AD55" i="29"/>
  <c r="AY45" i="29"/>
  <c r="AO43" i="29"/>
  <c r="DF37" i="29"/>
  <c r="V150" i="27"/>
  <c r="DE65" i="29"/>
  <c r="CT45" i="29"/>
  <c r="BC40" i="29"/>
  <c r="AW67" i="29"/>
  <c r="DS38" i="29"/>
  <c r="DI31" i="29"/>
  <c r="DH38" i="29"/>
  <c r="DC45" i="29"/>
  <c r="AQ69" i="29"/>
  <c r="DT38" i="29"/>
  <c r="AK45" i="29"/>
  <c r="AI64" i="29"/>
  <c r="DU57" i="29"/>
  <c r="BA38" i="29"/>
  <c r="DH68" i="29"/>
  <c r="DQ44" i="29"/>
  <c r="AD67" i="29"/>
  <c r="AT43" i="29"/>
  <c r="AO69" i="29"/>
  <c r="AQ39" i="29"/>
  <c r="AN64" i="29"/>
  <c r="DU42" i="29"/>
  <c r="AP67" i="29"/>
  <c r="CV68" i="29"/>
  <c r="AG61" i="29"/>
  <c r="AL32" i="29"/>
  <c r="W20" i="47"/>
  <c r="AS34" i="29"/>
  <c r="AJ44" i="29"/>
  <c r="AI59" i="29"/>
  <c r="DE64" i="29"/>
  <c r="AI31" i="29"/>
  <c r="AE45" i="29"/>
  <c r="CW31" i="29"/>
  <c r="AZ68" i="29"/>
  <c r="AO70" i="29"/>
  <c r="DB38" i="29"/>
  <c r="CZ38" i="29"/>
  <c r="DA37" i="29"/>
  <c r="DT59" i="29"/>
  <c r="AX40" i="29"/>
  <c r="BC39" i="29"/>
  <c r="AZ41" i="29"/>
  <c r="AR57" i="29"/>
  <c r="AF38" i="29"/>
  <c r="AO42" i="29"/>
  <c r="DR55" i="29"/>
  <c r="DM70" i="29"/>
  <c r="CW69" i="29"/>
  <c r="AD70" i="29"/>
  <c r="S36" i="39"/>
  <c r="CV31" i="29"/>
  <c r="DO56" i="29"/>
  <c r="AD35" i="29"/>
  <c r="AC40" i="29"/>
  <c r="CU31" i="29"/>
  <c r="DQ31" i="29"/>
  <c r="N62" i="39"/>
  <c r="DP69" i="29"/>
  <c r="DL43" i="29"/>
  <c r="AY42" i="29"/>
  <c r="DD32" i="29"/>
  <c r="AR45" i="29"/>
  <c r="CY62" i="29"/>
  <c r="AW34" i="29"/>
  <c r="AJ31" i="29"/>
  <c r="H47" i="14"/>
  <c r="DI46" i="29"/>
  <c r="AW58" i="29"/>
  <c r="DN37" i="29"/>
  <c r="DJ62" i="29"/>
  <c r="AN58" i="29"/>
  <c r="DT56" i="29"/>
  <c r="AL31" i="29"/>
  <c r="DJ44" i="29"/>
  <c r="DE45" i="29"/>
  <c r="DL38" i="29"/>
  <c r="DE46" i="29"/>
  <c r="BD33" i="29"/>
  <c r="DQ34" i="29"/>
  <c r="AR56" i="29"/>
  <c r="AN42" i="29"/>
  <c r="AH38" i="29"/>
  <c r="AH59" i="29"/>
  <c r="AP44" i="29"/>
  <c r="BB33" i="29"/>
  <c r="DM55" i="29"/>
  <c r="DQ59" i="29"/>
  <c r="DB44" i="29"/>
  <c r="CU33" i="29"/>
  <c r="AC68" i="29"/>
  <c r="CZ40" i="29"/>
  <c r="DS69" i="29"/>
  <c r="BB36" i="29"/>
  <c r="DV64" i="29"/>
  <c r="CU42" i="29"/>
  <c r="DF68" i="29"/>
  <c r="AL33" i="29"/>
  <c r="DO68" i="29"/>
  <c r="DP58" i="29"/>
  <c r="AQ67" i="29"/>
  <c r="AS43" i="29"/>
  <c r="DE43" i="29"/>
  <c r="AY68" i="29"/>
  <c r="AC65" i="29"/>
  <c r="AG57" i="29"/>
  <c r="AD65" i="29"/>
  <c r="DR43" i="29"/>
  <c r="AV38" i="29"/>
  <c r="DV33" i="29"/>
  <c r="CZ65" i="29"/>
  <c r="CU58" i="29"/>
  <c r="AG65" i="29"/>
  <c r="AX57" i="29"/>
  <c r="DO46" i="29"/>
  <c r="AC55" i="29"/>
  <c r="BB70" i="29"/>
  <c r="DM61" i="29"/>
  <c r="DF42" i="29"/>
  <c r="AE58" i="29"/>
  <c r="DA46" i="29"/>
  <c r="AT45" i="29"/>
  <c r="AR34" i="29"/>
  <c r="AR32" i="29"/>
  <c r="AO32" i="29"/>
  <c r="AL68" i="29"/>
  <c r="CT55" i="29"/>
  <c r="AZ35" i="29"/>
  <c r="AL43" i="29"/>
  <c r="AI62" i="29"/>
  <c r="BB40" i="29"/>
  <c r="CV40" i="29"/>
  <c r="DC46" i="29"/>
  <c r="DP59" i="29"/>
  <c r="DU37" i="29"/>
  <c r="DV62" i="29"/>
  <c r="AQ68" i="29"/>
  <c r="AP55" i="29"/>
  <c r="DV61" i="29"/>
  <c r="DP57" i="29"/>
  <c r="AB63" i="29"/>
  <c r="AZ42" i="29"/>
  <c r="BC38" i="29"/>
  <c r="AM46" i="29"/>
  <c r="AN44" i="29"/>
  <c r="AM70" i="29"/>
  <c r="DO61" i="29"/>
  <c r="DB33" i="29"/>
  <c r="AU37" i="29"/>
  <c r="DQ56" i="29"/>
  <c r="DL59" i="29"/>
  <c r="DC70" i="29"/>
  <c r="AN55" i="29"/>
  <c r="DT68" i="29"/>
  <c r="BD59" i="29"/>
  <c r="DC59" i="29"/>
  <c r="AX32" i="29"/>
  <c r="CT40" i="29"/>
  <c r="AO33" i="29"/>
  <c r="AE31" i="29"/>
  <c r="CW59" i="29"/>
  <c r="BA42" i="29"/>
  <c r="DC31" i="29"/>
  <c r="N55" i="39"/>
  <c r="DT55" i="29"/>
  <c r="AQ55" i="29"/>
  <c r="AW31" i="29"/>
  <c r="DQ43" i="29"/>
  <c r="AA24" i="39"/>
  <c r="CW37" i="29"/>
  <c r="AF43" i="29"/>
  <c r="DU65" i="29"/>
  <c r="DJ43" i="29"/>
  <c r="DJ69" i="29"/>
  <c r="AY41" i="29"/>
  <c r="CZ59" i="29"/>
  <c r="CV61" i="29"/>
  <c r="CZ42" i="29"/>
  <c r="DM37" i="29"/>
  <c r="DF59" i="29"/>
  <c r="DR35" i="29"/>
  <c r="AW45" i="29"/>
  <c r="AI38" i="29"/>
  <c r="DA56" i="29"/>
  <c r="AI67" i="29"/>
  <c r="DV59" i="29"/>
  <c r="AX46" i="29"/>
  <c r="AK57" i="29"/>
  <c r="F46" i="14"/>
  <c r="CT31" i="29"/>
  <c r="N38" i="39"/>
  <c r="AX35" i="29"/>
  <c r="AI55" i="29"/>
  <c r="BA67" i="29"/>
  <c r="CY65" i="29"/>
  <c r="AF33" i="29"/>
  <c r="DM56" i="29"/>
  <c r="BB43" i="29"/>
  <c r="CU37" i="29"/>
  <c r="DJ45" i="29"/>
  <c r="DH31" i="29"/>
  <c r="N48" i="39"/>
  <c r="AI43" i="29"/>
  <c r="DJ34" i="29"/>
  <c r="DA45" i="29"/>
  <c r="AF57" i="29"/>
  <c r="DH69" i="29"/>
  <c r="AL69" i="29"/>
  <c r="DU70" i="29"/>
  <c r="AE62" i="29"/>
  <c r="CX46" i="29"/>
  <c r="AA25" i="39"/>
  <c r="AR55" i="29"/>
  <c r="DN40" i="29"/>
  <c r="V224" i="27"/>
  <c r="AJ34" i="29"/>
  <c r="AI70" i="29"/>
  <c r="AD39" i="29"/>
  <c r="AB43" i="29"/>
  <c r="CV44" i="29"/>
  <c r="DO70" i="29"/>
  <c r="BB56" i="29"/>
  <c r="DF62" i="29"/>
  <c r="AY56" i="29"/>
  <c r="AK69" i="29"/>
  <c r="N37" i="39"/>
  <c r="AN69" i="29"/>
  <c r="AM66" i="29"/>
  <c r="AU45" i="29"/>
  <c r="AU46" i="29"/>
  <c r="AM43" i="29"/>
  <c r="BA62" i="29"/>
  <c r="DS42" i="29"/>
  <c r="DD58" i="29"/>
  <c r="DR64" i="29"/>
  <c r="X46" i="14"/>
  <c r="AP61" i="29"/>
  <c r="AT58" i="29"/>
  <c r="AN70" i="29"/>
  <c r="N103" i="39"/>
  <c r="AW64" i="29"/>
  <c r="DM32" i="29"/>
  <c r="DM58" i="29"/>
  <c r="CX31" i="29"/>
  <c r="DI62" i="29"/>
  <c r="DC38" i="29"/>
  <c r="DU35" i="29"/>
  <c r="DS65" i="29"/>
  <c r="AE59" i="29"/>
  <c r="DG61" i="29"/>
  <c r="DG46" i="29"/>
  <c r="DR62" i="29"/>
  <c r="AB58" i="29"/>
  <c r="V71" i="45"/>
  <c r="AJ46" i="29"/>
  <c r="BC34" i="29"/>
  <c r="AH65" i="29"/>
  <c r="DG56" i="29"/>
  <c r="BC68" i="29"/>
  <c r="AQ33" i="29"/>
  <c r="AH58" i="29"/>
  <c r="AC61" i="29"/>
  <c r="AP31" i="29"/>
  <c r="DH62" i="29"/>
  <c r="AI37" i="29"/>
  <c r="DE70" i="29"/>
  <c r="DF69" i="29"/>
  <c r="U37" i="39"/>
  <c r="DD56" i="29"/>
  <c r="CU45" i="29"/>
  <c r="AD58" i="29"/>
  <c r="DA58" i="29"/>
  <c r="CX33" i="29"/>
  <c r="AJ57" i="29"/>
  <c r="AL57" i="29"/>
  <c r="DU44" i="29"/>
  <c r="AR43" i="29"/>
  <c r="DH45" i="29"/>
  <c r="DO40" i="29"/>
  <c r="BA37" i="29"/>
  <c r="AD63" i="29"/>
  <c r="AV35" i="29"/>
  <c r="AE39" i="29"/>
  <c r="BC66" i="29"/>
  <c r="CY64" i="29"/>
  <c r="DU67" i="29"/>
  <c r="V36" i="39"/>
  <c r="AL55" i="29"/>
  <c r="DN38" i="29"/>
  <c r="DU64" i="29"/>
  <c r="DF46" i="29"/>
  <c r="BA61" i="29"/>
  <c r="AY70" i="29"/>
  <c r="DV46" i="29"/>
  <c r="AD68" i="29"/>
  <c r="CW46" i="29"/>
  <c r="DC68" i="29"/>
  <c r="AT62" i="29"/>
  <c r="DU34" i="29"/>
  <c r="AQ46" i="29"/>
  <c r="DT36" i="29"/>
  <c r="AF55" i="29"/>
  <c r="BB31" i="29"/>
  <c r="DG69" i="29"/>
  <c r="DO58" i="29"/>
  <c r="DB43" i="29"/>
  <c r="DA31" i="29"/>
  <c r="CT34" i="29"/>
  <c r="DT40" i="29"/>
  <c r="AR46" i="29"/>
  <c r="DQ37" i="29"/>
  <c r="BC37" i="29"/>
  <c r="CZ61" i="29"/>
  <c r="BD37" i="29"/>
  <c r="AW40" i="29"/>
  <c r="AP70" i="29"/>
  <c r="AP58" i="29"/>
  <c r="AO62" i="29"/>
  <c r="AZ31" i="29"/>
  <c r="DT37" i="29"/>
  <c r="CX58" i="29"/>
  <c r="AB35" i="29"/>
  <c r="AE70" i="29"/>
  <c r="DS31" i="29"/>
  <c r="DV57" i="29"/>
  <c r="AQ43" i="29"/>
  <c r="AJ35" i="29"/>
  <c r="AK67" i="29"/>
  <c r="AC66" i="29"/>
  <c r="DS59" i="29"/>
  <c r="AI68" i="29"/>
  <c r="AZ69" i="29"/>
  <c r="AK33" i="29"/>
  <c r="AF42" i="29"/>
  <c r="AN37" i="29"/>
  <c r="AK40" i="29"/>
  <c r="AV34" i="29"/>
  <c r="CU38" i="29"/>
  <c r="AB47" i="14"/>
  <c r="CX64" i="29"/>
  <c r="DJ58" i="29"/>
  <c r="DV56" i="29"/>
  <c r="DI63" i="29"/>
  <c r="AU56" i="29"/>
  <c r="DT44" i="29"/>
  <c r="CX69" i="29"/>
  <c r="DI61" i="29"/>
  <c r="CU34" i="29"/>
  <c r="AG63" i="29"/>
  <c r="AU55" i="29"/>
  <c r="BC45" i="29"/>
  <c r="CU40" i="29"/>
  <c r="AC34" i="29"/>
  <c r="AH61" i="29"/>
  <c r="AD41" i="29"/>
  <c r="AH31" i="29"/>
  <c r="DU62" i="29"/>
  <c r="CZ35" i="29"/>
  <c r="DJ68" i="29"/>
  <c r="CV64" i="29"/>
  <c r="AF59" i="29"/>
  <c r="BC69" i="29"/>
  <c r="BA40" i="29"/>
  <c r="AO38" i="29"/>
  <c r="DO37" i="29"/>
  <c r="AR44" i="29"/>
  <c r="BA58" i="29"/>
  <c r="AU62" i="29"/>
  <c r="AS59" i="29"/>
  <c r="AY40" i="29"/>
  <c r="DP70" i="29"/>
  <c r="DF65" i="29"/>
  <c r="AI32" i="29"/>
  <c r="DM45" i="29"/>
  <c r="CT32" i="29"/>
  <c r="AO37" i="29"/>
  <c r="AE68" i="29"/>
  <c r="AM59" i="29"/>
  <c r="DC64" i="29"/>
  <c r="AQ38" i="29"/>
  <c r="DS34" i="29"/>
  <c r="DI43" i="29"/>
  <c r="DM62" i="29"/>
  <c r="AZ55" i="29"/>
  <c r="AV36" i="29"/>
  <c r="BD46" i="29"/>
  <c r="CZ68" i="29"/>
  <c r="AO61" i="29"/>
  <c r="DC55" i="29"/>
  <c r="U36" i="39"/>
  <c r="AO68" i="29"/>
  <c r="DR31" i="29"/>
  <c r="G47" i="14"/>
  <c r="AD69" i="29"/>
  <c r="CZ70" i="29"/>
  <c r="AJ42" i="29"/>
  <c r="DN45" i="29"/>
  <c r="DT46" i="29"/>
  <c r="V37" i="39"/>
  <c r="AK70" i="29"/>
  <c r="AG58" i="29"/>
  <c r="AN45" i="29"/>
  <c r="DE35" i="29"/>
  <c r="AR42" i="29"/>
  <c r="DQ40" i="29"/>
  <c r="DI70" i="29"/>
  <c r="AW43" i="29"/>
  <c r="AC70" i="29"/>
  <c r="DF31" i="29"/>
  <c r="DG37" i="29"/>
  <c r="AB66" i="29"/>
  <c r="DD44" i="29"/>
  <c r="F71" i="45"/>
  <c r="AK42" i="29"/>
  <c r="BD66" i="29"/>
  <c r="DH64" i="29"/>
  <c r="DK43" i="29"/>
  <c r="DD70" i="29"/>
  <c r="AU38" i="29"/>
  <c r="DS41" i="29"/>
  <c r="DJ64" i="29"/>
  <c r="AO46" i="29"/>
  <c r="CY55" i="29"/>
  <c r="AK58" i="29"/>
  <c r="AE34" i="29"/>
  <c r="DB32" i="29"/>
  <c r="BA34" i="29"/>
  <c r="AD42" i="29"/>
  <c r="AW42" i="29"/>
  <c r="BB62" i="29"/>
  <c r="DO31" i="29"/>
  <c r="AV45" i="29"/>
  <c r="AM34" i="29"/>
  <c r="AF68" i="29"/>
  <c r="DJ55" i="29"/>
  <c r="CW55" i="29"/>
  <c r="AN46" i="29"/>
  <c r="AC41" i="29"/>
  <c r="CU65" i="29"/>
  <c r="AK68" i="29"/>
  <c r="AD46" i="29"/>
  <c r="DH37" i="29"/>
  <c r="DS35" i="29"/>
  <c r="AI45" i="29"/>
  <c r="DF64" i="29"/>
  <c r="AM40" i="29"/>
  <c r="AX33" i="29"/>
  <c r="AF40" i="29"/>
  <c r="DN43" i="29"/>
  <c r="AY46" i="29"/>
  <c r="AC37" i="29"/>
  <c r="DN41" i="29"/>
  <c r="H150" i="27"/>
  <c r="CV62" i="29"/>
  <c r="AZ34" i="29"/>
  <c r="AL70" i="29"/>
  <c r="BD62" i="29"/>
  <c r="AS62" i="29"/>
  <c r="W47" i="14"/>
  <c r="DJ32" i="29"/>
  <c r="AJ59" i="29"/>
  <c r="AZ40" i="29"/>
  <c r="AL44" i="29"/>
  <c r="DO38" i="29"/>
  <c r="DS61" i="29"/>
  <c r="AO45" i="29"/>
  <c r="DG40" i="29"/>
  <c r="BD42" i="29"/>
  <c r="AL66" i="29"/>
  <c r="AP69" i="29"/>
  <c r="AJ62" i="29"/>
  <c r="CY61" i="29"/>
  <c r="U20" i="47"/>
  <c r="AB39" i="29"/>
  <c r="AD40" i="29"/>
  <c r="BC42" i="29"/>
  <c r="AL37" i="29"/>
  <c r="DP37" i="29"/>
  <c r="CT61" i="29"/>
  <c r="BC57" i="29"/>
  <c r="DU40" i="29"/>
  <c r="S37" i="39"/>
  <c r="CX65" i="29"/>
  <c r="DU68" i="29"/>
  <c r="BB44" i="29"/>
  <c r="BB35" i="29"/>
  <c r="CW40" i="29"/>
  <c r="AY31" i="29"/>
  <c r="CW70" i="29"/>
  <c r="AA14" i="39"/>
  <c r="DG38" i="29"/>
  <c r="AD64" i="29"/>
  <c r="AB45" i="29"/>
  <c r="DR34" i="29"/>
  <c r="DV45" i="29"/>
  <c r="AU32" i="29"/>
  <c r="AX37" i="29"/>
  <c r="AE40" i="29"/>
  <c r="DC41" i="29"/>
  <c r="DU38" i="29"/>
  <c r="CZ34" i="29"/>
  <c r="DM63" i="29"/>
  <c r="DT34" i="29"/>
  <c r="CX62" i="29"/>
  <c r="DF70" i="29"/>
  <c r="AB55" i="29"/>
  <c r="U71" i="45"/>
  <c r="AA38" i="39"/>
  <c r="AO44" i="29"/>
  <c r="CY59" i="29"/>
  <c r="AB61" i="29"/>
  <c r="AG56" i="29"/>
  <c r="AB62" i="29"/>
  <c r="AF31" i="29"/>
  <c r="AY62" i="29"/>
  <c r="DT67" i="29"/>
  <c r="AP46" i="29"/>
  <c r="AU58" i="29"/>
  <c r="CW62" i="29"/>
  <c r="CT39" i="29"/>
  <c r="DR65" i="29"/>
  <c r="DP40" i="29"/>
  <c r="CW64" i="29"/>
  <c r="W224" i="27"/>
  <c r="AP64" i="29"/>
  <c r="AD43" i="29"/>
  <c r="DP67" i="29"/>
  <c r="AM38" i="29"/>
  <c r="CX70" i="29"/>
  <c r="AH68" i="29"/>
  <c r="AY34" i="29"/>
  <c r="DG33" i="29"/>
  <c r="AR62" i="29"/>
  <c r="AK35" i="29"/>
  <c r="AU43" i="29"/>
  <c r="DV43" i="29"/>
  <c r="CU46" i="29"/>
  <c r="DV40" i="29"/>
  <c r="AR33" i="29"/>
  <c r="CX45" i="29"/>
  <c r="AG66" i="29"/>
  <c r="DR44" i="29"/>
  <c r="BA70" i="29"/>
  <c r="AD66" i="29"/>
  <c r="CT62" i="29"/>
  <c r="CV55" i="29"/>
  <c r="DP34" i="29"/>
  <c r="AO64" i="29"/>
  <c r="CU64" i="29"/>
  <c r="AD62" i="29"/>
  <c r="N47" i="39"/>
  <c r="AC62" i="29"/>
  <c r="DS58" i="29"/>
  <c r="DC35" i="29"/>
  <c r="DM34" i="29"/>
  <c r="AE43" i="29"/>
  <c r="DJ56" i="29"/>
  <c r="AO57" i="29"/>
  <c r="BB64" i="29"/>
  <c r="BD69" i="29"/>
  <c r="AP34" i="29"/>
  <c r="AD38" i="29"/>
  <c r="DG34" i="29"/>
  <c r="BD45" i="29"/>
  <c r="AO67" i="29"/>
  <c r="AX31" i="29"/>
  <c r="AN59" i="29"/>
  <c r="DA32" i="29"/>
  <c r="CX43" i="29"/>
  <c r="AS45" i="29"/>
  <c r="AQ35" i="29"/>
  <c r="DP56" i="29"/>
  <c r="DM39" i="29"/>
  <c r="CT44" i="29"/>
  <c r="CU59" i="29"/>
  <c r="DD33" i="29"/>
  <c r="AJ33" i="29"/>
  <c r="AS38" i="29"/>
  <c r="BC63" i="29"/>
  <c r="AL42" i="29"/>
  <c r="DC34" i="29"/>
  <c r="DR45" i="29"/>
  <c r="AI33" i="29"/>
  <c r="BC58" i="29"/>
  <c r="CU32" i="29"/>
  <c r="AM35" i="29"/>
  <c r="X21" i="47"/>
  <c r="DI34" i="29"/>
  <c r="AK55" i="29"/>
  <c r="DI33" i="29"/>
  <c r="BC43" i="29"/>
  <c r="BC62" i="29"/>
  <c r="N25" i="39"/>
  <c r="BD55" i="29"/>
  <c r="DD43" i="29"/>
  <c r="AR40" i="29"/>
  <c r="AC38" i="29"/>
  <c r="BC41" i="29"/>
  <c r="DT35" i="29"/>
  <c r="AN40" i="29"/>
  <c r="AI56" i="29"/>
  <c r="DI69" i="29"/>
  <c r="AT35" i="29"/>
  <c r="AB40" i="29"/>
  <c r="AQ31" i="29"/>
  <c r="DS43" i="29"/>
  <c r="DE41" i="29"/>
  <c r="DV37" i="29"/>
  <c r="AP38" i="29"/>
  <c r="AR37" i="29"/>
  <c r="DT32" i="29"/>
  <c r="AA47" i="39"/>
  <c r="AG59" i="29"/>
  <c r="AI46" i="29"/>
  <c r="AQ44" i="29"/>
  <c r="AA61" i="39"/>
  <c r="DG42" i="29"/>
  <c r="DO45" i="29"/>
  <c r="AW55" i="29"/>
  <c r="DU63" i="29"/>
  <c r="AH70" i="29"/>
  <c r="AW59" i="29"/>
  <c r="DI57" i="29"/>
  <c r="CU62" i="29"/>
  <c r="DB45" i="29"/>
  <c r="BA45" i="29"/>
  <c r="BB68" i="29"/>
  <c r="AX55" i="29"/>
  <c r="DH55" i="29"/>
  <c r="AK38" i="29"/>
  <c r="CV35" i="29"/>
  <c r="AL38" i="29"/>
  <c r="AI41" i="29"/>
  <c r="AO34" i="29"/>
  <c r="AE46" i="29"/>
  <c r="BD70" i="29"/>
  <c r="DN34" i="29"/>
  <c r="BA43" i="29"/>
  <c r="AQ42" i="29"/>
  <c r="AM58" i="29"/>
  <c r="T47" i="14"/>
  <c r="AF45" i="29"/>
  <c r="BB58" i="29"/>
  <c r="AQ66" i="29"/>
  <c r="DF35" i="29"/>
  <c r="CZ46" i="29"/>
  <c r="CY68" i="29"/>
  <c r="CV69" i="29"/>
  <c r="CW43" i="29"/>
  <c r="AT69" i="29"/>
  <c r="AC59" i="29"/>
  <c r="DM42" i="29"/>
  <c r="DA69" i="29"/>
  <c r="CW68" i="29"/>
  <c r="CW58" i="29"/>
  <c r="AT34" i="29"/>
  <c r="AR67" i="29"/>
  <c r="CT58" i="29"/>
  <c r="AT38" i="29"/>
  <c r="AX38" i="29"/>
  <c r="AA48" i="39"/>
  <c r="AF64" i="29"/>
  <c r="DA61" i="29"/>
  <c r="CX37" i="29"/>
  <c r="DE40" i="29"/>
  <c r="BA41" i="29"/>
  <c r="DH44" i="29"/>
  <c r="DM57" i="29"/>
  <c r="AO66" i="29"/>
  <c r="CY58" i="29"/>
  <c r="AI69" i="29"/>
  <c r="AV39" i="29"/>
  <c r="N231" i="27"/>
  <c r="DE42" i="29"/>
  <c r="AE63" i="29"/>
  <c r="BC65" i="29"/>
  <c r="AJ58" i="29"/>
  <c r="AB70" i="29"/>
  <c r="BC56" i="29"/>
  <c r="DT31" i="29"/>
  <c r="CX40" i="29"/>
  <c r="DG64" i="29"/>
  <c r="DK45" i="29"/>
  <c r="AK65" i="29"/>
  <c r="T46" i="14"/>
  <c r="Y21" i="47"/>
  <c r="BB37" i="29"/>
  <c r="AR70" i="29"/>
  <c r="AQ62" i="29"/>
  <c r="DO32" i="29"/>
  <c r="DI35" i="29"/>
  <c r="AY35" i="29"/>
  <c r="AH67" i="29"/>
  <c r="DA59" i="29"/>
  <c r="AD44" i="29"/>
  <c r="AE35" i="29"/>
  <c r="AF70" i="29"/>
  <c r="G46" i="14"/>
  <c r="AI40" i="29"/>
  <c r="AE37" i="29"/>
  <c r="AU59" i="29"/>
  <c r="DP61" i="29"/>
  <c r="DR68" i="29"/>
  <c r="DU58" i="29"/>
  <c r="CX42" i="29"/>
  <c r="BC70" i="29"/>
  <c r="CW34" i="29"/>
  <c r="AE44" i="29"/>
  <c r="DA65" i="29"/>
  <c r="AN66" i="29"/>
  <c r="DS68" i="29"/>
  <c r="CW38" i="29"/>
  <c r="AE55" i="29"/>
  <c r="DD61" i="29"/>
  <c r="DH40" i="29"/>
  <c r="DN36" i="29"/>
  <c r="AB37" i="29"/>
  <c r="DG62" i="29"/>
  <c r="DS44" i="29"/>
  <c r="AN68" i="29"/>
  <c r="AM41" i="29"/>
  <c r="CT69" i="29"/>
  <c r="DA41" i="29"/>
  <c r="CU44" i="29"/>
  <c r="DK67" i="29"/>
  <c r="AF69" i="29"/>
  <c r="DM43" i="29"/>
  <c r="DU45" i="29"/>
  <c r="BA35" i="29"/>
  <c r="AW32" i="29"/>
  <c r="BB38" i="29"/>
  <c r="DJ67" i="29"/>
  <c r="BD57" i="29"/>
  <c r="AK31" i="29"/>
  <c r="DQ58" i="29"/>
  <c r="DP42" i="29"/>
  <c r="CW63" i="29"/>
  <c r="DU43" i="29"/>
  <c r="AV33" i="29"/>
  <c r="CU61" i="29"/>
  <c r="AF67" i="29"/>
  <c r="DI68" i="29"/>
  <c r="CT65" i="29"/>
  <c r="AG62" i="29"/>
  <c r="CT38" i="29"/>
  <c r="AV40" i="29"/>
  <c r="DV68" i="29"/>
  <c r="AC58" i="29"/>
  <c r="CT43" i="29"/>
  <c r="T37" i="39"/>
  <c r="DD42" i="29"/>
  <c r="AO55" i="29"/>
  <c r="DM33" i="29"/>
  <c r="AO56" i="29"/>
  <c r="DQ46" i="29"/>
  <c r="BD38" i="29"/>
  <c r="DQ32" i="29"/>
  <c r="AZ62" i="29"/>
  <c r="CT59" i="29"/>
  <c r="DF44" i="29"/>
  <c r="CU55" i="29"/>
  <c r="BD34" i="29"/>
  <c r="AA93" i="39"/>
  <c r="AA37" i="39"/>
  <c r="DV39" i="29"/>
  <c r="BD39" i="29"/>
  <c r="AK44" i="29"/>
  <c r="DF58" i="29"/>
  <c r="AR69" i="29"/>
  <c r="DA62" i="29"/>
  <c r="DS67" i="29"/>
  <c r="DA43" i="29"/>
  <c r="DJ46" i="29"/>
  <c r="CV65" i="29"/>
  <c r="AB42" i="29"/>
  <c r="CX38" i="29"/>
  <c r="DK58" i="29"/>
  <c r="CY56" i="29"/>
  <c r="DV31" i="29"/>
  <c r="CZ62" i="29"/>
  <c r="AC64" i="29"/>
  <c r="AB34" i="29"/>
  <c r="DT70" i="29"/>
  <c r="DL45" i="29"/>
  <c r="AI42" i="29"/>
  <c r="V233" i="27"/>
  <c r="AE38" i="29"/>
  <c r="BA46" i="29"/>
  <c r="AM68" i="29"/>
  <c r="DT64" i="29"/>
  <c r="DT57" i="29"/>
  <c r="CT68" i="29"/>
  <c r="AY64" i="29"/>
  <c r="CU69" i="29"/>
  <c r="CV41" i="29"/>
  <c r="U8" i="32"/>
  <c r="DS46" i="29"/>
  <c r="AI35" i="29"/>
  <c r="DJ33" i="29"/>
  <c r="AD46" i="14"/>
  <c r="DP64" i="29"/>
  <c r="AB69" i="29"/>
  <c r="AM67" i="29"/>
  <c r="AE65" i="29"/>
  <c r="DP62" i="29"/>
  <c r="DP43" i="29"/>
  <c r="DB34" i="29"/>
  <c r="AU61" i="29"/>
  <c r="AB46" i="29"/>
  <c r="AV46" i="29"/>
  <c r="DJ31" i="29"/>
  <c r="AR58" i="29"/>
  <c r="CW39" i="29"/>
  <c r="DG55" i="29"/>
  <c r="AE69" i="29"/>
  <c r="AB59" i="29"/>
  <c r="AF37" i="29"/>
  <c r="BC44" i="29"/>
  <c r="DJ70" i="29"/>
  <c r="DH34" i="29"/>
  <c r="DO42" i="29"/>
  <c r="AZ44" i="29"/>
  <c r="U24" i="39"/>
  <c r="AX67" i="29"/>
  <c r="AP62" i="29"/>
  <c r="BD64" i="29"/>
  <c r="AC32" i="29"/>
  <c r="AO58" i="29"/>
  <c r="AS69" i="29"/>
  <c r="AS35" i="29"/>
  <c r="AV43" i="29"/>
  <c r="AY43" i="29"/>
  <c r="BC46" i="29"/>
  <c r="DI45" i="29"/>
  <c r="BB34" i="29"/>
  <c r="DS70" i="29"/>
  <c r="AD37" i="29"/>
  <c r="AI66" i="29"/>
  <c r="DC65" i="29"/>
  <c r="DV66" i="29"/>
  <c r="X20" i="47"/>
  <c r="AT59" i="29"/>
  <c r="AI61" i="29"/>
  <c r="CU68" i="29"/>
  <c r="AX59" i="29"/>
  <c r="DC42" i="29"/>
  <c r="AW62" i="29"/>
  <c r="DA55" i="29"/>
  <c r="AW44" i="29"/>
  <c r="AF34" i="29"/>
  <c r="AX34" i="29"/>
  <c r="AP37" i="29"/>
  <c r="DD57" i="29"/>
  <c r="DE31" i="29"/>
  <c r="BD32" i="29"/>
  <c r="CZ58" i="29"/>
  <c r="DD64" i="29"/>
  <c r="DG32" i="29"/>
  <c r="DF34" i="29"/>
  <c r="AN31" i="29"/>
  <c r="AE64" i="29"/>
  <c r="DP38" i="29"/>
  <c r="CT37" i="29"/>
  <c r="AM64" i="29"/>
  <c r="DF40" i="29"/>
  <c r="CV45" i="29"/>
  <c r="AY38" i="29"/>
  <c r="AF44" i="29"/>
  <c r="DT58" i="29"/>
  <c r="E71" i="45"/>
  <c r="E72" i="45" l="1"/>
  <c r="G71" i="45"/>
  <c r="G72" i="45" s="1"/>
  <c r="I70" i="45" s="1"/>
  <c r="Z20" i="47"/>
  <c r="AE46" i="14"/>
  <c r="W8" i="32"/>
  <c r="AB37" i="39"/>
  <c r="Z21" i="47"/>
  <c r="U72" i="45"/>
  <c r="W71" i="45"/>
  <c r="F72" i="45"/>
  <c r="W36" i="39"/>
  <c r="AC47" i="14"/>
  <c r="W37" i="39"/>
  <c r="V72" i="45"/>
  <c r="X224" i="27"/>
  <c r="O47" i="14"/>
  <c r="AF20" i="47"/>
  <c r="AE47" i="14"/>
  <c r="O46" i="14"/>
  <c r="I71" i="45"/>
  <c r="K56" i="25"/>
  <c r="Z22" i="47" l="1"/>
  <c r="W72" i="45"/>
  <c r="Y70" i="45" s="1"/>
  <c r="B31" i="28"/>
  <c r="B30" i="28"/>
  <c r="Y71" i="45" l="1"/>
  <c r="K20" i="47"/>
  <c r="K22" i="47" s="1"/>
  <c r="I69" i="45"/>
  <c r="AB20" i="47"/>
  <c r="AB22" i="47" s="1"/>
  <c r="Y69" i="45"/>
  <c r="Y72" i="45" l="1"/>
  <c r="Z69" i="45" s="1"/>
  <c r="I72" i="45"/>
  <c r="J69" i="45" s="1"/>
  <c r="AD54" i="32"/>
  <c r="AD13" i="32"/>
  <c r="AD12" i="32"/>
  <c r="AD6" i="32"/>
  <c r="AD5" i="32"/>
  <c r="C94" i="32"/>
  <c r="J70" i="45" l="1"/>
  <c r="J71" i="45"/>
  <c r="J72" i="45"/>
  <c r="Z72" i="45"/>
  <c r="Z71" i="45"/>
  <c r="Z70" i="45"/>
  <c r="C91" i="32"/>
  <c r="C90" i="32"/>
  <c r="C85" i="32"/>
  <c r="C84" i="32"/>
  <c r="C80" i="32"/>
  <c r="C79" i="32"/>
  <c r="C75" i="32"/>
  <c r="C66" i="32"/>
  <c r="C60" i="32"/>
  <c r="C58" i="32"/>
  <c r="C33" i="32"/>
  <c r="C32" i="32"/>
  <c r="C19" i="32"/>
  <c r="C18" i="32"/>
  <c r="C13" i="32"/>
  <c r="C5" i="32"/>
  <c r="E30" i="25" l="1"/>
  <c r="G30" i="25"/>
  <c r="F30" i="25"/>
  <c r="G29" i="25"/>
  <c r="F29" i="25"/>
  <c r="E29" i="25"/>
  <c r="W24" i="39" l="1"/>
  <c r="X233" i="27"/>
  <c r="A48" i="14" l="1"/>
  <c r="A47" i="14"/>
  <c r="A46" i="14"/>
  <c r="X26" i="14"/>
  <c r="W26" i="14"/>
  <c r="X124" i="27"/>
  <c r="W124" i="27"/>
  <c r="V124" i="27"/>
  <c r="X123" i="27"/>
  <c r="W123" i="27"/>
  <c r="V123" i="27"/>
  <c r="X117" i="27"/>
  <c r="W117" i="27"/>
  <c r="V117" i="27"/>
  <c r="X116" i="27"/>
  <c r="W116" i="27"/>
  <c r="V116" i="27"/>
  <c r="X110" i="27"/>
  <c r="W110" i="27"/>
  <c r="V110" i="27"/>
  <c r="X109" i="27"/>
  <c r="W109" i="27"/>
  <c r="V109" i="27"/>
  <c r="X103" i="27"/>
  <c r="W103" i="27"/>
  <c r="V103" i="27"/>
  <c r="X102" i="27"/>
  <c r="W102" i="27"/>
  <c r="V102" i="27"/>
  <c r="X95" i="27"/>
  <c r="W95" i="27"/>
  <c r="V95" i="27"/>
  <c r="X88" i="27"/>
  <c r="W88" i="27"/>
  <c r="V88" i="27"/>
  <c r="X82" i="27"/>
  <c r="W82" i="27"/>
  <c r="V82" i="27"/>
  <c r="X81" i="27"/>
  <c r="W81" i="27"/>
  <c r="V81" i="27"/>
  <c r="X75" i="27"/>
  <c r="W75" i="27"/>
  <c r="V75" i="27"/>
  <c r="X74" i="27"/>
  <c r="W74" i="27"/>
  <c r="V74" i="27"/>
  <c r="X68" i="27"/>
  <c r="W68" i="27"/>
  <c r="V68" i="27"/>
  <c r="X67" i="27"/>
  <c r="W67" i="27"/>
  <c r="V67" i="27"/>
  <c r="X61" i="27"/>
  <c r="W61" i="27"/>
  <c r="V61" i="27"/>
  <c r="X60" i="27"/>
  <c r="W60" i="27"/>
  <c r="V60" i="27"/>
  <c r="X54" i="27"/>
  <c r="W54" i="27"/>
  <c r="V54" i="27"/>
  <c r="X53" i="27"/>
  <c r="W53" i="27"/>
  <c r="V53" i="27"/>
  <c r="X47" i="27"/>
  <c r="W47" i="27"/>
  <c r="V47" i="27"/>
  <c r="X46" i="27"/>
  <c r="W46" i="27"/>
  <c r="V46" i="27"/>
  <c r="X40" i="27"/>
  <c r="W40" i="27"/>
  <c r="V40" i="27"/>
  <c r="X39" i="27"/>
  <c r="W39" i="27"/>
  <c r="V39" i="27"/>
  <c r="X33" i="27"/>
  <c r="W33" i="27"/>
  <c r="V33" i="27"/>
  <c r="X32" i="27"/>
  <c r="W32" i="27"/>
  <c r="V32" i="27"/>
  <c r="X26" i="27"/>
  <c r="W26" i="27"/>
  <c r="V26" i="27"/>
  <c r="X25" i="27"/>
  <c r="W25" i="27"/>
  <c r="V25" i="27"/>
  <c r="X19" i="27"/>
  <c r="W19" i="27"/>
  <c r="V19" i="27"/>
  <c r="X18" i="27"/>
  <c r="W18" i="27"/>
  <c r="V18" i="27"/>
  <c r="X12" i="27"/>
  <c r="W12" i="27"/>
  <c r="V12" i="27"/>
  <c r="X11" i="27"/>
  <c r="W11" i="27"/>
  <c r="V11" i="27"/>
  <c r="J124" i="27"/>
  <c r="I124" i="27"/>
  <c r="H124" i="27"/>
  <c r="J123" i="27"/>
  <c r="I123" i="27"/>
  <c r="H123" i="27"/>
  <c r="J117" i="27"/>
  <c r="I117" i="27"/>
  <c r="H117" i="27"/>
  <c r="J116" i="27"/>
  <c r="I116" i="27"/>
  <c r="H116" i="27"/>
  <c r="J110" i="27"/>
  <c r="I110" i="27"/>
  <c r="H110" i="27"/>
  <c r="J109" i="27"/>
  <c r="I109" i="27"/>
  <c r="H109" i="27"/>
  <c r="J103" i="27"/>
  <c r="I103" i="27"/>
  <c r="H103" i="27"/>
  <c r="J102" i="27"/>
  <c r="I102" i="27"/>
  <c r="H102" i="27"/>
  <c r="J95" i="27"/>
  <c r="I95" i="27"/>
  <c r="H95" i="27"/>
  <c r="J88" i="27"/>
  <c r="I88" i="27"/>
  <c r="H88" i="27"/>
  <c r="J82" i="27"/>
  <c r="I82" i="27"/>
  <c r="H82" i="27"/>
  <c r="J81" i="27"/>
  <c r="I81" i="27"/>
  <c r="H81" i="27"/>
  <c r="J75" i="27"/>
  <c r="I75" i="27"/>
  <c r="H75" i="27"/>
  <c r="J74" i="27"/>
  <c r="I74" i="27"/>
  <c r="H74" i="27"/>
  <c r="J68" i="27"/>
  <c r="I68" i="27"/>
  <c r="H68" i="27"/>
  <c r="J67" i="27"/>
  <c r="I67" i="27"/>
  <c r="H67" i="27"/>
  <c r="J61" i="27"/>
  <c r="I61" i="27"/>
  <c r="H61" i="27"/>
  <c r="J60" i="27"/>
  <c r="I60" i="27"/>
  <c r="H60" i="27"/>
  <c r="J54" i="27"/>
  <c r="I54" i="27"/>
  <c r="H54" i="27"/>
  <c r="J53" i="27"/>
  <c r="I53" i="27"/>
  <c r="H53" i="27"/>
  <c r="J47" i="27"/>
  <c r="I47" i="27"/>
  <c r="H47" i="27"/>
  <c r="J46" i="27"/>
  <c r="I46" i="27"/>
  <c r="H46" i="27"/>
  <c r="J40" i="27"/>
  <c r="I40" i="27"/>
  <c r="H40" i="27"/>
  <c r="J39" i="27"/>
  <c r="I39" i="27"/>
  <c r="H39" i="27"/>
  <c r="J33" i="27"/>
  <c r="I33" i="27"/>
  <c r="H33" i="27"/>
  <c r="J32" i="27"/>
  <c r="I32" i="27"/>
  <c r="H32" i="27"/>
  <c r="J26" i="27"/>
  <c r="I26" i="27"/>
  <c r="H26" i="27"/>
  <c r="J25" i="27"/>
  <c r="I25" i="27"/>
  <c r="H25" i="27"/>
  <c r="J19" i="27"/>
  <c r="I19" i="27"/>
  <c r="H19" i="27"/>
  <c r="J18" i="27"/>
  <c r="I18" i="27"/>
  <c r="H18" i="27"/>
  <c r="Y224" i="27"/>
  <c r="Y26" i="14" l="1"/>
  <c r="Z26" i="14" s="1"/>
  <c r="I46" i="14" l="1"/>
  <c r="I47" i="14"/>
  <c r="H11" i="27" l="1"/>
  <c r="I11" i="27"/>
  <c r="J11" i="27"/>
  <c r="H12" i="27"/>
  <c r="I12" i="27"/>
  <c r="J12" i="27"/>
  <c r="U122" i="27"/>
  <c r="U124" i="27" s="1"/>
  <c r="T122" i="27"/>
  <c r="T124" i="27" s="1"/>
  <c r="S122" i="27"/>
  <c r="S121" i="27"/>
  <c r="U120" i="27"/>
  <c r="U123" i="27" s="1"/>
  <c r="T120" i="27"/>
  <c r="T123" i="27" s="1"/>
  <c r="S120" i="27"/>
  <c r="S119" i="27"/>
  <c r="U117" i="27"/>
  <c r="T117" i="27"/>
  <c r="S117" i="27"/>
  <c r="U116" i="27"/>
  <c r="T116" i="27"/>
  <c r="S116" i="27"/>
  <c r="U110" i="27"/>
  <c r="T110" i="27"/>
  <c r="S110" i="27"/>
  <c r="U109" i="27"/>
  <c r="T109" i="27"/>
  <c r="S109" i="27"/>
  <c r="U103" i="27"/>
  <c r="T103" i="27"/>
  <c r="S103" i="27"/>
  <c r="U102" i="27"/>
  <c r="T102" i="27"/>
  <c r="S102" i="27"/>
  <c r="T95" i="27"/>
  <c r="U92" i="27"/>
  <c r="S92" i="27"/>
  <c r="U91" i="27"/>
  <c r="S91" i="27"/>
  <c r="U88" i="27"/>
  <c r="T88" i="27"/>
  <c r="S88" i="27"/>
  <c r="S82" i="27"/>
  <c r="S81" i="27"/>
  <c r="T80" i="27"/>
  <c r="U80" i="27" s="1"/>
  <c r="T79" i="27"/>
  <c r="U79" i="27" s="1"/>
  <c r="T78" i="27"/>
  <c r="U78" i="27" s="1"/>
  <c r="T77" i="27"/>
  <c r="U75" i="27"/>
  <c r="U74" i="27"/>
  <c r="T73" i="27"/>
  <c r="S73" i="27"/>
  <c r="T72" i="27"/>
  <c r="S72" i="27"/>
  <c r="T71" i="27"/>
  <c r="S71" i="27"/>
  <c r="T70" i="27"/>
  <c r="S70" i="27"/>
  <c r="U66" i="27"/>
  <c r="T66" i="27"/>
  <c r="S66" i="27"/>
  <c r="U65" i="27"/>
  <c r="T65" i="27"/>
  <c r="S65" i="27"/>
  <c r="U64" i="27"/>
  <c r="T64" i="27"/>
  <c r="S64" i="27"/>
  <c r="U63" i="27"/>
  <c r="T63" i="27"/>
  <c r="S63" i="27"/>
  <c r="U59" i="27"/>
  <c r="T59" i="27"/>
  <c r="S59" i="27"/>
  <c r="U58" i="27"/>
  <c r="T58" i="27"/>
  <c r="S58" i="27"/>
  <c r="U57" i="27"/>
  <c r="T57" i="27"/>
  <c r="S57" i="27"/>
  <c r="U56" i="27"/>
  <c r="T56" i="27"/>
  <c r="S56" i="27"/>
  <c r="U54" i="27"/>
  <c r="U53" i="27"/>
  <c r="T52" i="27"/>
  <c r="S52" i="27"/>
  <c r="T51" i="27"/>
  <c r="S51" i="27"/>
  <c r="T50" i="27"/>
  <c r="S50" i="27"/>
  <c r="T49" i="27"/>
  <c r="S49" i="27"/>
  <c r="U47" i="27"/>
  <c r="U46" i="27"/>
  <c r="T45" i="27"/>
  <c r="S45" i="27"/>
  <c r="T44" i="27"/>
  <c r="S44" i="27"/>
  <c r="T43" i="27"/>
  <c r="S43" i="27"/>
  <c r="T42" i="27"/>
  <c r="S42" i="27"/>
  <c r="U40" i="27"/>
  <c r="S40" i="27"/>
  <c r="U39" i="27"/>
  <c r="S39" i="27"/>
  <c r="U33" i="27"/>
  <c r="U32" i="27"/>
  <c r="S31" i="27"/>
  <c r="S30" i="27"/>
  <c r="S29" i="27"/>
  <c r="S28" i="27"/>
  <c r="U26" i="27"/>
  <c r="U25" i="27"/>
  <c r="T24" i="27"/>
  <c r="S24" i="27"/>
  <c r="T23" i="27"/>
  <c r="S23" i="27"/>
  <c r="T22" i="27"/>
  <c r="S22" i="27"/>
  <c r="T21" i="27"/>
  <c r="S21" i="27"/>
  <c r="U19" i="27"/>
  <c r="U18" i="27"/>
  <c r="T17" i="27"/>
  <c r="S17" i="27"/>
  <c r="T16" i="27"/>
  <c r="S16" i="27"/>
  <c r="T15" i="27"/>
  <c r="S15" i="27"/>
  <c r="T14" i="27"/>
  <c r="S14" i="27"/>
  <c r="U10" i="27"/>
  <c r="U9" i="27"/>
  <c r="U8" i="27"/>
  <c r="U7" i="27"/>
  <c r="G122" i="27"/>
  <c r="G124" i="27" s="1"/>
  <c r="F122" i="27"/>
  <c r="F124" i="27" s="1"/>
  <c r="E122" i="27"/>
  <c r="E124" i="27" s="1"/>
  <c r="E121" i="27"/>
  <c r="G120" i="27"/>
  <c r="G123" i="27" s="1"/>
  <c r="F120" i="27"/>
  <c r="F123" i="27" s="1"/>
  <c r="E120" i="27"/>
  <c r="E123" i="27" s="1"/>
  <c r="E119" i="27"/>
  <c r="G117" i="27"/>
  <c r="F117" i="27"/>
  <c r="E117" i="27"/>
  <c r="G116" i="27"/>
  <c r="F116" i="27"/>
  <c r="E116" i="27"/>
  <c r="G110" i="27"/>
  <c r="F110" i="27"/>
  <c r="E110" i="27"/>
  <c r="G109" i="27"/>
  <c r="F109" i="27"/>
  <c r="E109" i="27"/>
  <c r="G103" i="27"/>
  <c r="F103" i="27"/>
  <c r="E103" i="27"/>
  <c r="G102" i="27"/>
  <c r="F102" i="27"/>
  <c r="E102" i="27"/>
  <c r="G95" i="27"/>
  <c r="F95" i="27"/>
  <c r="E95" i="27"/>
  <c r="G88" i="27"/>
  <c r="F88" i="27"/>
  <c r="E88" i="27"/>
  <c r="E82" i="27"/>
  <c r="E81" i="27"/>
  <c r="F80" i="27"/>
  <c r="G80" i="27" s="1"/>
  <c r="F79" i="27"/>
  <c r="F78" i="27"/>
  <c r="G78" i="27" s="1"/>
  <c r="F77" i="27"/>
  <c r="G75" i="27"/>
  <c r="G74" i="27"/>
  <c r="F73" i="27"/>
  <c r="E73" i="27"/>
  <c r="F72" i="27"/>
  <c r="E72" i="27"/>
  <c r="F71" i="27"/>
  <c r="E71" i="27"/>
  <c r="F70" i="27"/>
  <c r="E70" i="27"/>
  <c r="G66" i="27"/>
  <c r="F66" i="27"/>
  <c r="E66" i="27"/>
  <c r="G65" i="27"/>
  <c r="G68" i="27" s="1"/>
  <c r="F65" i="27"/>
  <c r="E65" i="27"/>
  <c r="G64" i="27"/>
  <c r="F64" i="27"/>
  <c r="E64" i="27"/>
  <c r="G63" i="27"/>
  <c r="F63" i="27"/>
  <c r="E63" i="27"/>
  <c r="E67" i="27" s="1"/>
  <c r="G61" i="27"/>
  <c r="G60" i="27"/>
  <c r="F59" i="27"/>
  <c r="E59" i="27"/>
  <c r="F58" i="27"/>
  <c r="E58" i="27"/>
  <c r="F57" i="27"/>
  <c r="E57" i="27"/>
  <c r="F56" i="27"/>
  <c r="E56" i="27"/>
  <c r="G54" i="27"/>
  <c r="G53" i="27"/>
  <c r="F52" i="27"/>
  <c r="E52" i="27"/>
  <c r="F51" i="27"/>
  <c r="E51" i="27"/>
  <c r="F50" i="27"/>
  <c r="E50" i="27"/>
  <c r="F49" i="27"/>
  <c r="E49" i="27"/>
  <c r="G47" i="27"/>
  <c r="G46" i="27"/>
  <c r="F45" i="27"/>
  <c r="E45" i="27"/>
  <c r="F44" i="27"/>
  <c r="E44" i="27"/>
  <c r="F43" i="27"/>
  <c r="E43" i="27"/>
  <c r="F42" i="27"/>
  <c r="E42" i="27"/>
  <c r="G40" i="27"/>
  <c r="E40" i="27"/>
  <c r="G39" i="27"/>
  <c r="E39" i="27"/>
  <c r="G33" i="27"/>
  <c r="G32" i="27"/>
  <c r="E31" i="27"/>
  <c r="E30" i="27"/>
  <c r="E29" i="27"/>
  <c r="E28" i="27"/>
  <c r="G26" i="27"/>
  <c r="G25" i="27"/>
  <c r="F24" i="27"/>
  <c r="E24" i="27"/>
  <c r="F23" i="27"/>
  <c r="E23" i="27"/>
  <c r="F22" i="27"/>
  <c r="E22" i="27"/>
  <c r="F21" i="27"/>
  <c r="E21" i="27"/>
  <c r="G19" i="27"/>
  <c r="G18" i="27"/>
  <c r="F17" i="27"/>
  <c r="E17" i="27"/>
  <c r="F16" i="27"/>
  <c r="E16" i="27"/>
  <c r="F15" i="27"/>
  <c r="E15" i="27"/>
  <c r="F14" i="27"/>
  <c r="E14" i="27"/>
  <c r="G12" i="27"/>
  <c r="G11" i="27"/>
  <c r="F10" i="27"/>
  <c r="E10" i="27"/>
  <c r="S10" i="27" s="1"/>
  <c r="F9" i="27"/>
  <c r="T9" i="27" s="1"/>
  <c r="E9" i="27"/>
  <c r="S9" i="27" s="1"/>
  <c r="F8" i="27"/>
  <c r="T8" i="27" s="1"/>
  <c r="E8" i="27"/>
  <c r="S8" i="27" s="1"/>
  <c r="F7" i="27"/>
  <c r="T7" i="27" s="1"/>
  <c r="E7" i="27"/>
  <c r="S7" i="27" s="1"/>
  <c r="X150" i="27" l="1"/>
  <c r="J150" i="27"/>
  <c r="Y46" i="14"/>
  <c r="Y47" i="14"/>
  <c r="T74" i="27"/>
  <c r="T75" i="27"/>
  <c r="F82" i="27"/>
  <c r="S123" i="27"/>
  <c r="S124" i="27"/>
  <c r="F75" i="27"/>
  <c r="S12" i="27"/>
  <c r="E26" i="27"/>
  <c r="E33" i="27"/>
  <c r="E46" i="27"/>
  <c r="E47" i="27"/>
  <c r="E60" i="27"/>
  <c r="E61" i="27"/>
  <c r="F81" i="27"/>
  <c r="S33" i="27"/>
  <c r="U61" i="27"/>
  <c r="S67" i="27"/>
  <c r="U68" i="27"/>
  <c r="T11" i="27"/>
  <c r="T81" i="27"/>
  <c r="F74" i="27"/>
  <c r="F25" i="27"/>
  <c r="T67" i="27"/>
  <c r="S54" i="27"/>
  <c r="T53" i="27"/>
  <c r="U60" i="27"/>
  <c r="S61" i="27"/>
  <c r="S68" i="27"/>
  <c r="E54" i="27"/>
  <c r="E74" i="27"/>
  <c r="E75" i="27"/>
  <c r="S25" i="27"/>
  <c r="S26" i="27"/>
  <c r="F67" i="27"/>
  <c r="U11" i="27"/>
  <c r="E68" i="27"/>
  <c r="S46" i="27"/>
  <c r="S47" i="27"/>
  <c r="E18" i="27"/>
  <c r="E19" i="27"/>
  <c r="F46" i="27"/>
  <c r="F47" i="27"/>
  <c r="F54" i="27"/>
  <c r="T25" i="27"/>
  <c r="S74" i="27"/>
  <c r="S75" i="27"/>
  <c r="S95" i="27"/>
  <c r="F12" i="27"/>
  <c r="E32" i="27"/>
  <c r="T60" i="27"/>
  <c r="U95" i="27"/>
  <c r="G67" i="27"/>
  <c r="S11" i="27"/>
  <c r="T61" i="27"/>
  <c r="F18" i="27"/>
  <c r="F19" i="27"/>
  <c r="F26" i="27"/>
  <c r="E53" i="27"/>
  <c r="F60" i="27"/>
  <c r="F61" i="27"/>
  <c r="F68" i="27"/>
  <c r="S18" i="27"/>
  <c r="S19" i="27"/>
  <c r="T46" i="27"/>
  <c r="T47" i="27"/>
  <c r="T54" i="27"/>
  <c r="S60" i="27"/>
  <c r="T68" i="27"/>
  <c r="U12" i="27"/>
  <c r="U67" i="27"/>
  <c r="U82" i="27"/>
  <c r="E11" i="27"/>
  <c r="F11" i="27"/>
  <c r="E12" i="27"/>
  <c r="E25" i="27"/>
  <c r="F53" i="27"/>
  <c r="T10" i="27"/>
  <c r="T12" i="27" s="1"/>
  <c r="T18" i="27"/>
  <c r="T19" i="27"/>
  <c r="T26" i="27"/>
  <c r="S32" i="27"/>
  <c r="S53" i="27"/>
  <c r="T82" i="27"/>
  <c r="U77" i="27"/>
  <c r="U81" i="27" s="1"/>
  <c r="G77" i="27"/>
  <c r="G81" i="27" s="1"/>
  <c r="G79" i="27"/>
  <c r="G82" i="27" s="1"/>
  <c r="Q82" i="21" l="1"/>
  <c r="P82" i="21"/>
  <c r="O82" i="21"/>
  <c r="Q81" i="21"/>
  <c r="P81" i="21"/>
  <c r="O81" i="21"/>
  <c r="Q75" i="21"/>
  <c r="P75" i="21"/>
  <c r="O75" i="21"/>
  <c r="Q74" i="21"/>
  <c r="P74" i="21"/>
  <c r="O74" i="21"/>
  <c r="Q124" i="21"/>
  <c r="P124" i="21"/>
  <c r="O124" i="21"/>
  <c r="Q123" i="21"/>
  <c r="P123" i="21"/>
  <c r="O123" i="21"/>
  <c r="Q68" i="21"/>
  <c r="P68" i="21"/>
  <c r="O68" i="21"/>
  <c r="Q67" i="21"/>
  <c r="P67" i="21"/>
  <c r="O67" i="21"/>
  <c r="Q61" i="21"/>
  <c r="P61" i="21"/>
  <c r="O61" i="21"/>
  <c r="Q60" i="21"/>
  <c r="Q62" i="21" s="1"/>
  <c r="P60" i="21"/>
  <c r="P62" i="21" s="1"/>
  <c r="O60" i="21"/>
  <c r="Q54" i="21"/>
  <c r="P54" i="21"/>
  <c r="O54" i="21"/>
  <c r="Q53" i="21"/>
  <c r="P53" i="21"/>
  <c r="O53" i="21"/>
  <c r="Q47" i="21"/>
  <c r="P47" i="21"/>
  <c r="O47" i="21"/>
  <c r="Q46" i="21"/>
  <c r="P46" i="21"/>
  <c r="O46" i="21"/>
  <c r="Q40" i="21"/>
  <c r="P40" i="21"/>
  <c r="O40" i="21"/>
  <c r="Q39" i="21"/>
  <c r="P39" i="21"/>
  <c r="O39" i="21"/>
  <c r="Q33" i="21"/>
  <c r="P33" i="21"/>
  <c r="O33" i="21"/>
  <c r="Q32" i="21"/>
  <c r="P32" i="21"/>
  <c r="O32" i="21"/>
  <c r="Q26" i="21"/>
  <c r="P26" i="21"/>
  <c r="O26" i="21"/>
  <c r="Q25" i="21"/>
  <c r="P25" i="21"/>
  <c r="O25" i="21"/>
  <c r="Q19" i="21"/>
  <c r="P19" i="21"/>
  <c r="O19" i="21"/>
  <c r="Q18" i="21"/>
  <c r="P18" i="21"/>
  <c r="O18" i="21"/>
  <c r="P12" i="21"/>
  <c r="Q12" i="21"/>
  <c r="O12" i="21"/>
  <c r="O11" i="21"/>
  <c r="P11" i="21"/>
  <c r="Q11" i="21"/>
  <c r="O76" i="21" l="1"/>
  <c r="Q83" i="21"/>
  <c r="Q20" i="21"/>
  <c r="O20" i="21"/>
  <c r="Q27" i="21"/>
  <c r="O34" i="21"/>
  <c r="P27" i="21"/>
  <c r="P55" i="21"/>
  <c r="P76" i="21"/>
  <c r="P125" i="21"/>
  <c r="P83" i="21"/>
  <c r="Q55" i="21"/>
  <c r="O48" i="21"/>
  <c r="O41" i="21"/>
  <c r="O27" i="21"/>
  <c r="O55" i="21"/>
  <c r="O62" i="21"/>
  <c r="O69" i="21"/>
  <c r="P20" i="21"/>
  <c r="P34" i="21"/>
  <c r="P41" i="21"/>
  <c r="P69" i="21"/>
  <c r="O83" i="21"/>
  <c r="O125" i="21"/>
  <c r="R88" i="21"/>
  <c r="O88" i="21"/>
  <c r="O90" i="21" s="1"/>
  <c r="T95" i="21"/>
  <c r="Q95" i="21"/>
  <c r="Q97" i="21" s="1"/>
  <c r="R109" i="21"/>
  <c r="O109" i="21"/>
  <c r="T110" i="21"/>
  <c r="Q110" i="21"/>
  <c r="R116" i="21"/>
  <c r="O116" i="21"/>
  <c r="T117" i="21"/>
  <c r="Q117" i="21"/>
  <c r="R102" i="21"/>
  <c r="O102" i="21"/>
  <c r="T103" i="21"/>
  <c r="Q103" i="21"/>
  <c r="Q34" i="21"/>
  <c r="S88" i="21"/>
  <c r="P88" i="21"/>
  <c r="P90" i="21" s="1"/>
  <c r="S109" i="21"/>
  <c r="P109" i="21"/>
  <c r="S116" i="21"/>
  <c r="P116" i="21"/>
  <c r="S102" i="21"/>
  <c r="P102" i="21"/>
  <c r="P48" i="21"/>
  <c r="T88" i="21"/>
  <c r="Q88" i="21"/>
  <c r="Q90" i="21" s="1"/>
  <c r="R95" i="21"/>
  <c r="O95" i="21"/>
  <c r="O97" i="21" s="1"/>
  <c r="T109" i="21"/>
  <c r="Q109" i="21"/>
  <c r="R110" i="21"/>
  <c r="O110" i="21"/>
  <c r="T116" i="21"/>
  <c r="Q116" i="21"/>
  <c r="R117" i="21"/>
  <c r="O117" i="21"/>
  <c r="T102" i="21"/>
  <c r="Q102" i="21"/>
  <c r="Q104" i="21" s="1"/>
  <c r="R103" i="21"/>
  <c r="O103" i="21"/>
  <c r="Q41" i="21"/>
  <c r="Q48" i="21"/>
  <c r="Q69" i="21"/>
  <c r="Q76" i="21"/>
  <c r="S95" i="21"/>
  <c r="P95" i="21"/>
  <c r="P97" i="21" s="1"/>
  <c r="S110" i="21"/>
  <c r="P110" i="21"/>
  <c r="S117" i="21"/>
  <c r="P117" i="21"/>
  <c r="S103" i="21"/>
  <c r="P103" i="21"/>
  <c r="Q125" i="21"/>
  <c r="P13" i="21"/>
  <c r="K47" i="52"/>
  <c r="T104" i="21" l="1"/>
  <c r="L47" i="52"/>
  <c r="R97" i="21"/>
  <c r="T90" i="21"/>
  <c r="T97" i="21"/>
  <c r="T118" i="21"/>
  <c r="S90" i="21"/>
  <c r="R90" i="21"/>
  <c r="S97" i="21"/>
  <c r="P118" i="21"/>
  <c r="S111" i="21"/>
  <c r="S104" i="21"/>
  <c r="P111" i="21"/>
  <c r="T111" i="21"/>
  <c r="P104" i="21"/>
  <c r="Q111" i="21"/>
  <c r="S118" i="21"/>
  <c r="O104" i="21"/>
  <c r="O118" i="21"/>
  <c r="O111" i="21"/>
  <c r="R104" i="21"/>
  <c r="R118" i="21"/>
  <c r="R111" i="21"/>
  <c r="Q118" i="21"/>
  <c r="O13" i="21"/>
  <c r="Q13" i="21"/>
  <c r="W91" i="21" l="1"/>
  <c r="W92" i="21"/>
  <c r="W95" i="21" s="1"/>
  <c r="U92" i="21"/>
  <c r="U91" i="21"/>
  <c r="W7" i="21"/>
  <c r="W8" i="21"/>
  <c r="W11" i="21" s="1"/>
  <c r="W9" i="21"/>
  <c r="W10" i="21"/>
  <c r="W12" i="21" s="1"/>
  <c r="AI91" i="21" l="1"/>
  <c r="AJ91" i="21"/>
  <c r="AH91" i="21"/>
  <c r="U95" i="21"/>
  <c r="AH92" i="21"/>
  <c r="AH95" i="21" s="1"/>
  <c r="AI92" i="21"/>
  <c r="AI95" i="21" s="1"/>
  <c r="AJ92" i="21"/>
  <c r="AJ95" i="21" s="1"/>
  <c r="BY43" i="29"/>
  <c r="CB225" i="29" l="1"/>
  <c r="AJ97" i="21"/>
  <c r="AI97" i="21"/>
  <c r="AH97" i="21"/>
  <c r="S33" i="14"/>
  <c r="S29" i="14"/>
  <c r="S28" i="14"/>
  <c r="S27" i="14"/>
  <c r="S26" i="14"/>
  <c r="B34" i="14"/>
  <c r="B33" i="14"/>
  <c r="B32" i="14"/>
  <c r="B30" i="14"/>
  <c r="B29" i="14"/>
  <c r="B28" i="14"/>
  <c r="B27" i="14"/>
  <c r="B26" i="14"/>
  <c r="F10" i="21" l="1"/>
  <c r="E10" i="21"/>
  <c r="F9" i="21"/>
  <c r="E9" i="21"/>
  <c r="E8" i="21"/>
  <c r="F8" i="21"/>
  <c r="F7" i="21"/>
  <c r="E7" i="21"/>
  <c r="E11" i="21" l="1"/>
  <c r="E12" i="21"/>
  <c r="V8" i="21"/>
  <c r="V11" i="21" s="1"/>
  <c r="F11" i="21"/>
  <c r="V10" i="21"/>
  <c r="V12" i="21" s="1"/>
  <c r="F12" i="21"/>
  <c r="U10" i="21"/>
  <c r="U8" i="21"/>
  <c r="U7" i="21"/>
  <c r="U9" i="21"/>
  <c r="V7" i="21"/>
  <c r="V9" i="21"/>
  <c r="U11" i="21" l="1"/>
  <c r="U12" i="21"/>
  <c r="P29" i="29" l="1"/>
  <c r="P53" i="29" l="1"/>
  <c r="W57" i="21"/>
  <c r="W60" i="21" s="1"/>
  <c r="W58" i="21"/>
  <c r="W59" i="21"/>
  <c r="W61" i="21" s="1"/>
  <c r="W56" i="21"/>
  <c r="V57" i="21"/>
  <c r="V60" i="21" s="1"/>
  <c r="V58" i="21"/>
  <c r="V59" i="21"/>
  <c r="V61" i="21" s="1"/>
  <c r="V56" i="21"/>
  <c r="U57" i="21"/>
  <c r="U58" i="21"/>
  <c r="U59" i="21"/>
  <c r="U56" i="21"/>
  <c r="AI56" i="21" l="1"/>
  <c r="AH56" i="21"/>
  <c r="AJ56" i="21"/>
  <c r="U61" i="21"/>
  <c r="AJ59" i="21"/>
  <c r="AJ61" i="21" s="1"/>
  <c r="AH59" i="21"/>
  <c r="AH61" i="21" s="1"/>
  <c r="AI59" i="21"/>
  <c r="AI61" i="21" s="1"/>
  <c r="AH58" i="21"/>
  <c r="AI58" i="21"/>
  <c r="AJ58" i="21"/>
  <c r="U60" i="21"/>
  <c r="AH57" i="21"/>
  <c r="AH60" i="21" s="1"/>
  <c r="AJ57" i="21"/>
  <c r="AJ60" i="21" s="1"/>
  <c r="AI57" i="21"/>
  <c r="AI60" i="21" s="1"/>
  <c r="AI62" i="21" l="1"/>
  <c r="AJ62" i="21"/>
  <c r="AH62" i="21"/>
  <c r="F57" i="21" l="1"/>
  <c r="F60" i="21" s="1"/>
  <c r="F58" i="21"/>
  <c r="F59" i="21"/>
  <c r="F61" i="21" s="1"/>
  <c r="F56" i="21"/>
  <c r="E57" i="21"/>
  <c r="E58" i="21"/>
  <c r="E59" i="21"/>
  <c r="E56" i="21"/>
  <c r="E60" i="21" l="1"/>
  <c r="R57" i="21"/>
  <c r="R60" i="21" s="1"/>
  <c r="T57" i="21"/>
  <c r="T60" i="21" s="1"/>
  <c r="S57" i="21"/>
  <c r="S60" i="21" s="1"/>
  <c r="R56" i="21"/>
  <c r="T56" i="21"/>
  <c r="S56" i="21"/>
  <c r="E61" i="21"/>
  <c r="S59" i="21"/>
  <c r="S61" i="21" s="1"/>
  <c r="T59" i="21"/>
  <c r="T61" i="21" s="1"/>
  <c r="R59" i="21"/>
  <c r="R61" i="21" s="1"/>
  <c r="S58" i="21"/>
  <c r="T58" i="21"/>
  <c r="R58" i="21"/>
  <c r="S62" i="21" l="1"/>
  <c r="R62" i="21"/>
  <c r="T62" i="21"/>
  <c r="CJ53" i="29" l="1"/>
  <c r="CL53" i="29" l="1"/>
  <c r="T53" i="29"/>
  <c r="R29" i="29"/>
  <c r="CJ29" i="29"/>
  <c r="CL29" i="29"/>
  <c r="T29" i="29"/>
  <c r="BV29" i="29"/>
  <c r="D29" i="29"/>
  <c r="CG29" i="29"/>
  <c r="O29" i="29"/>
  <c r="CF29" i="29"/>
  <c r="N29" i="29"/>
  <c r="Q29" i="29"/>
  <c r="CI29" i="29"/>
  <c r="CE29" i="29"/>
  <c r="M29" i="29"/>
  <c r="BZ29" i="29"/>
  <c r="H29" i="29"/>
  <c r="Q53" i="29"/>
  <c r="CI53" i="29"/>
  <c r="N53" i="29"/>
  <c r="CF53" i="29"/>
  <c r="H53" i="29"/>
  <c r="BZ53" i="29"/>
  <c r="CG53" i="29"/>
  <c r="O53" i="29"/>
  <c r="D53" i="29"/>
  <c r="BV53" i="29"/>
  <c r="R53" i="29"/>
  <c r="M53" i="29"/>
  <c r="CE53" i="29"/>
  <c r="BE67" i="29" l="1"/>
  <c r="BF67" i="29"/>
  <c r="BG67" i="29"/>
  <c r="Q10" i="46"/>
  <c r="Q15" i="46"/>
  <c r="S15" i="46"/>
  <c r="Q9" i="46"/>
  <c r="Q8" i="46"/>
  <c r="S7" i="46"/>
  <c r="S12" i="46"/>
  <c r="R7" i="46"/>
  <c r="S9" i="46"/>
  <c r="R12" i="46"/>
  <c r="Q14" i="46"/>
  <c r="S10" i="46"/>
  <c r="R8" i="46"/>
  <c r="R9" i="46"/>
  <c r="R10" i="46"/>
  <c r="S14" i="46"/>
  <c r="Q7" i="46"/>
  <c r="S8" i="46"/>
  <c r="R14" i="46"/>
  <c r="R15" i="46"/>
  <c r="Q12" i="46"/>
  <c r="R37" i="21"/>
  <c r="S37" i="21"/>
  <c r="R38" i="21"/>
  <c r="R40" i="21" s="1"/>
  <c r="S38" i="21"/>
  <c r="T38" i="21"/>
  <c r="R35" i="21"/>
  <c r="S36" i="21"/>
  <c r="S35" i="21"/>
  <c r="T35" i="21"/>
  <c r="R36" i="21"/>
  <c r="T37" i="21"/>
  <c r="T36" i="21"/>
  <c r="Q13" i="45"/>
  <c r="S14" i="45"/>
  <c r="Q18" i="45"/>
  <c r="R9" i="45"/>
  <c r="Q7" i="45"/>
  <c r="Q11" i="45"/>
  <c r="Q17" i="45"/>
  <c r="S8" i="45"/>
  <c r="S12" i="45"/>
  <c r="Q24" i="45"/>
  <c r="Q14" i="45"/>
  <c r="Q9" i="45"/>
  <c r="R7" i="45"/>
  <c r="Q22" i="45"/>
  <c r="R8" i="45"/>
  <c r="R23" i="45"/>
  <c r="R13" i="45"/>
  <c r="S24" i="45"/>
  <c r="S18" i="45"/>
  <c r="S9" i="45"/>
  <c r="Q10" i="45"/>
  <c r="S22" i="45"/>
  <c r="S23" i="45"/>
  <c r="S13" i="45"/>
  <c r="R24" i="45"/>
  <c r="R14" i="45"/>
  <c r="R18" i="45"/>
  <c r="S10" i="45"/>
  <c r="S7" i="45"/>
  <c r="R11" i="45"/>
  <c r="R22" i="45"/>
  <c r="Q8" i="45"/>
  <c r="R12" i="45"/>
  <c r="Q23" i="45"/>
  <c r="S17" i="45"/>
  <c r="R17" i="45"/>
  <c r="Q12" i="45"/>
  <c r="R10" i="45"/>
  <c r="S11" i="45"/>
  <c r="Q21" i="45"/>
  <c r="S21" i="45"/>
  <c r="R21" i="45"/>
  <c r="T9" i="21"/>
  <c r="R8" i="21"/>
  <c r="R11" i="21" s="1"/>
  <c r="R7" i="21"/>
  <c r="S9" i="21"/>
  <c r="S10" i="21"/>
  <c r="S12" i="21" s="1"/>
  <c r="S7" i="21"/>
  <c r="T8" i="21"/>
  <c r="T11" i="21" s="1"/>
  <c r="R9" i="21"/>
  <c r="R10" i="21"/>
  <c r="T7" i="21"/>
  <c r="S8" i="21"/>
  <c r="S11" i="21" s="1"/>
  <c r="T10" i="21"/>
  <c r="T12" i="21" s="1"/>
  <c r="AG15" i="46"/>
  <c r="AH7" i="46"/>
  <c r="AH12" i="46"/>
  <c r="AF10" i="46"/>
  <c r="AG10" i="46"/>
  <c r="AH15" i="46"/>
  <c r="AF9" i="46"/>
  <c r="AG7" i="46"/>
  <c r="AG8" i="46"/>
  <c r="AF15" i="46"/>
  <c r="AF12" i="46"/>
  <c r="AG9" i="46"/>
  <c r="AF7" i="46"/>
  <c r="AH14" i="46"/>
  <c r="AG12" i="46"/>
  <c r="AH8" i="46"/>
  <c r="AH9" i="46"/>
  <c r="AH10" i="46"/>
  <c r="AF8" i="46"/>
  <c r="AF14" i="46"/>
  <c r="AG14" i="46"/>
  <c r="AJ35" i="21"/>
  <c r="AJ38" i="21"/>
  <c r="AJ40" i="21" s="1"/>
  <c r="AJ37" i="21"/>
  <c r="AH37" i="21"/>
  <c r="AI35" i="21"/>
  <c r="AI36" i="21"/>
  <c r="AI39" i="21" s="1"/>
  <c r="AI38" i="21"/>
  <c r="AI40" i="21" s="1"/>
  <c r="AH36" i="21"/>
  <c r="AH39" i="21" s="1"/>
  <c r="AJ36" i="21"/>
  <c r="AJ39" i="21" s="1"/>
  <c r="AI37" i="21"/>
  <c r="AH35" i="21"/>
  <c r="AH38" i="21"/>
  <c r="AH40" i="21" s="1"/>
  <c r="AF22" i="45"/>
  <c r="AG22" i="45"/>
  <c r="AH22" i="45"/>
  <c r="AF21" i="45"/>
  <c r="AG17" i="45"/>
  <c r="AG10" i="45"/>
  <c r="AG23" i="45"/>
  <c r="AG18" i="45"/>
  <c r="AF11" i="45"/>
  <c r="AH24" i="45"/>
  <c r="AH9" i="45"/>
  <c r="AF13" i="45"/>
  <c r="AH8" i="45"/>
  <c r="AG12" i="45"/>
  <c r="AH17" i="45"/>
  <c r="AG14" i="45"/>
  <c r="AH11" i="45"/>
  <c r="AF9" i="45"/>
  <c r="AG13" i="45"/>
  <c r="AH12" i="45"/>
  <c r="AH21" i="45"/>
  <c r="AF17" i="45"/>
  <c r="AF14" i="45"/>
  <c r="AF23" i="45"/>
  <c r="AH18" i="45"/>
  <c r="AG24" i="45"/>
  <c r="AG9" i="45"/>
  <c r="AG8" i="45"/>
  <c r="AF12" i="45"/>
  <c r="AF24" i="45"/>
  <c r="AH13" i="45"/>
  <c r="AF8" i="45"/>
  <c r="AH10" i="45"/>
  <c r="AF18" i="45"/>
  <c r="AG21" i="45"/>
  <c r="AF10" i="45"/>
  <c r="AH14" i="45"/>
  <c r="AH23" i="45"/>
  <c r="AG11" i="45"/>
  <c r="AG7" i="45"/>
  <c r="AH7" i="45"/>
  <c r="AF7" i="45"/>
  <c r="AJ7" i="21"/>
  <c r="AJ8" i="21"/>
  <c r="AJ11" i="21" s="1"/>
  <c r="AI10" i="21"/>
  <c r="AI12" i="21" s="1"/>
  <c r="AJ9" i="21"/>
  <c r="AH7" i="21"/>
  <c r="AH8" i="21"/>
  <c r="AH11" i="21" s="1"/>
  <c r="AJ10" i="21"/>
  <c r="AJ12" i="21" s="1"/>
  <c r="AH9" i="21"/>
  <c r="AI7" i="21"/>
  <c r="AI8" i="21"/>
  <c r="AI11" i="21" s="1"/>
  <c r="AH10" i="21"/>
  <c r="AH12" i="21" s="1"/>
  <c r="AI9" i="21"/>
  <c r="Y349" i="44"/>
  <c r="J349" i="44"/>
  <c r="S40" i="21"/>
  <c r="T39" i="21"/>
  <c r="T40" i="21"/>
  <c r="R39" i="21"/>
  <c r="S39" i="21"/>
  <c r="R12" i="21"/>
  <c r="D31" i="29"/>
  <c r="N35" i="50"/>
  <c r="AC35" i="50"/>
  <c r="AD35" i="50" l="1"/>
  <c r="O35" i="50"/>
  <c r="E129" i="29"/>
  <c r="AH41" i="21"/>
  <c r="AI41" i="21"/>
  <c r="AI13" i="21"/>
  <c r="AH13" i="21"/>
  <c r="AJ13" i="21"/>
  <c r="AJ41" i="21"/>
  <c r="T41" i="21"/>
  <c r="T13" i="21"/>
  <c r="R41" i="21"/>
  <c r="S13" i="21"/>
  <c r="R13" i="21"/>
  <c r="S41" i="21"/>
  <c r="J350" i="44"/>
  <c r="Y350" i="44"/>
  <c r="W27" i="14" l="1"/>
  <c r="X27" i="14"/>
  <c r="W28" i="14"/>
  <c r="X28" i="14"/>
  <c r="W29" i="14"/>
  <c r="X29" i="14"/>
  <c r="T27" i="14"/>
  <c r="U27" i="14" s="1"/>
  <c r="T28" i="14"/>
  <c r="U28" i="14" s="1"/>
  <c r="F27" i="14"/>
  <c r="G27" i="14"/>
  <c r="F28" i="14"/>
  <c r="G28" i="14"/>
  <c r="C28" i="14"/>
  <c r="C27" i="14"/>
  <c r="W34" i="14"/>
  <c r="X34" i="14"/>
  <c r="T34" i="14"/>
  <c r="U34" i="14" s="1"/>
  <c r="W31" i="14"/>
  <c r="X31" i="14"/>
  <c r="T31" i="14"/>
  <c r="U31" i="14" s="1"/>
  <c r="T26" i="14"/>
  <c r="F26" i="14"/>
  <c r="G26" i="14"/>
  <c r="C26" i="14"/>
  <c r="U26" i="14" l="1"/>
  <c r="D27" i="14"/>
  <c r="D28" i="14"/>
  <c r="D26" i="14"/>
  <c r="Y29" i="14"/>
  <c r="Z29" i="14" s="1"/>
  <c r="Y27" i="14"/>
  <c r="H27" i="14"/>
  <c r="Z27" i="14" l="1"/>
  <c r="I27" i="14"/>
  <c r="X33" i="14"/>
  <c r="X35" i="14" s="1"/>
  <c r="W33" i="14"/>
  <c r="W35" i="14" s="1"/>
  <c r="T33" i="14"/>
  <c r="U33" i="14" s="1"/>
  <c r="T29" i="14"/>
  <c r="G33" i="14"/>
  <c r="G32" i="14"/>
  <c r="G30" i="14"/>
  <c r="G34" i="14"/>
  <c r="G29" i="14"/>
  <c r="F33" i="14"/>
  <c r="F32" i="14"/>
  <c r="F30" i="14"/>
  <c r="F34" i="14"/>
  <c r="F29" i="14"/>
  <c r="C33" i="14"/>
  <c r="C32" i="14"/>
  <c r="C30" i="14"/>
  <c r="C34" i="14"/>
  <c r="C29" i="14"/>
  <c r="U29" i="14" l="1"/>
  <c r="T35" i="14"/>
  <c r="C35" i="14"/>
  <c r="F35" i="14"/>
  <c r="D30" i="14"/>
  <c r="G35" i="14"/>
  <c r="D29" i="14"/>
  <c r="D33" i="14"/>
  <c r="D34" i="14"/>
  <c r="D32" i="14"/>
  <c r="Y33" i="14"/>
  <c r="Z33" i="14" s="1"/>
  <c r="Y34" i="14"/>
  <c r="Z34" i="14" s="1"/>
  <c r="Y28" i="14"/>
  <c r="Y31" i="14"/>
  <c r="Z31" i="14" s="1"/>
  <c r="H30" i="14"/>
  <c r="H29" i="14"/>
  <c r="H26" i="14"/>
  <c r="H32" i="14"/>
  <c r="H28" i="14"/>
  <c r="H33" i="14"/>
  <c r="H34" i="14"/>
  <c r="U35" i="14" l="1"/>
  <c r="V29" i="14" s="1"/>
  <c r="Z28" i="14"/>
  <c r="Y35" i="14"/>
  <c r="D35" i="14"/>
  <c r="E33" i="14" s="1"/>
  <c r="I33" i="14"/>
  <c r="H35" i="14"/>
  <c r="I26" i="14"/>
  <c r="I28" i="14"/>
  <c r="I29" i="14"/>
  <c r="I32" i="14"/>
  <c r="I30" i="14"/>
  <c r="I34" i="14"/>
  <c r="Z35" i="14" l="1"/>
  <c r="E34" i="14"/>
  <c r="E30" i="14"/>
  <c r="E32" i="14"/>
  <c r="V34" i="14"/>
  <c r="V28" i="14"/>
  <c r="V31" i="14"/>
  <c r="V27" i="14"/>
  <c r="V26" i="14"/>
  <c r="V33" i="14"/>
  <c r="I35" i="14"/>
  <c r="J27" i="14" s="1"/>
  <c r="E27" i="14"/>
  <c r="E26" i="14"/>
  <c r="E28" i="14"/>
  <c r="E29" i="14"/>
  <c r="J30" i="14" l="1"/>
  <c r="K30" i="14" s="1"/>
  <c r="J29" i="14"/>
  <c r="AA26" i="14"/>
  <c r="AA29" i="14"/>
  <c r="AB29" i="14" s="1"/>
  <c r="AA27" i="14"/>
  <c r="AB27" i="14" s="1"/>
  <c r="AA34" i="14"/>
  <c r="AB34" i="14" s="1"/>
  <c r="AA31" i="14"/>
  <c r="AB31" i="14" s="1"/>
  <c r="AA33" i="14"/>
  <c r="AB33" i="14" s="1"/>
  <c r="K29" i="14"/>
  <c r="J33" i="14"/>
  <c r="K33" i="14" s="1"/>
  <c r="K27" i="14"/>
  <c r="J26" i="14"/>
  <c r="K26" i="14" s="1"/>
  <c r="J28" i="14"/>
  <c r="K28" i="14" s="1"/>
  <c r="AA28" i="14"/>
  <c r="AB28" i="14" s="1"/>
  <c r="V35" i="14"/>
  <c r="J32" i="14"/>
  <c r="K32" i="14" s="1"/>
  <c r="J34" i="14"/>
  <c r="K34" i="14" s="1"/>
  <c r="E35" i="14"/>
  <c r="V80" i="21"/>
  <c r="V79" i="21"/>
  <c r="V78" i="21"/>
  <c r="V77" i="21"/>
  <c r="V73" i="21"/>
  <c r="V75" i="21" s="1"/>
  <c r="U73" i="21"/>
  <c r="V72" i="21"/>
  <c r="U72" i="21"/>
  <c r="V71" i="21"/>
  <c r="V74" i="21" s="1"/>
  <c r="U71" i="21"/>
  <c r="V70" i="21"/>
  <c r="U70" i="21"/>
  <c r="W122" i="21"/>
  <c r="W124" i="21" s="1"/>
  <c r="V122" i="21"/>
  <c r="V124" i="21" s="1"/>
  <c r="U122" i="21"/>
  <c r="U121" i="21"/>
  <c r="W120" i="21"/>
  <c r="W123" i="21" s="1"/>
  <c r="V120" i="21"/>
  <c r="V123" i="21" s="1"/>
  <c r="U120" i="21"/>
  <c r="U119" i="21"/>
  <c r="W66" i="21"/>
  <c r="W68" i="21" s="1"/>
  <c r="V66" i="21"/>
  <c r="V68" i="21" s="1"/>
  <c r="U66" i="21"/>
  <c r="W65" i="21"/>
  <c r="V65" i="21"/>
  <c r="U65" i="21"/>
  <c r="W64" i="21"/>
  <c r="W67" i="21" s="1"/>
  <c r="V64" i="21"/>
  <c r="V67" i="21" s="1"/>
  <c r="U64" i="21"/>
  <c r="W63" i="21"/>
  <c r="V63" i="21"/>
  <c r="U63" i="21"/>
  <c r="V52" i="21"/>
  <c r="V54" i="21" s="1"/>
  <c r="U52" i="21"/>
  <c r="V51" i="21"/>
  <c r="U51" i="21"/>
  <c r="V50" i="21"/>
  <c r="V53" i="21" s="1"/>
  <c r="U50" i="21"/>
  <c r="V49" i="21"/>
  <c r="U49" i="21"/>
  <c r="V45" i="21"/>
  <c r="V47" i="21" s="1"/>
  <c r="U45" i="21"/>
  <c r="V44" i="21"/>
  <c r="U44" i="21"/>
  <c r="V43" i="21"/>
  <c r="V46" i="21" s="1"/>
  <c r="U43" i="21"/>
  <c r="V42" i="21"/>
  <c r="U42" i="21"/>
  <c r="U31" i="21"/>
  <c r="U30" i="21"/>
  <c r="U29" i="21"/>
  <c r="U28" i="21"/>
  <c r="V17" i="21"/>
  <c r="V19" i="21" s="1"/>
  <c r="U17" i="21"/>
  <c r="V16" i="21"/>
  <c r="U16" i="21"/>
  <c r="V15" i="21"/>
  <c r="V18" i="21" s="1"/>
  <c r="U15" i="21"/>
  <c r="V14" i="21"/>
  <c r="U14" i="21"/>
  <c r="V24" i="21"/>
  <c r="V26" i="21" s="1"/>
  <c r="U24" i="21"/>
  <c r="V23" i="21"/>
  <c r="U23" i="21"/>
  <c r="V22" i="21"/>
  <c r="V25" i="21" s="1"/>
  <c r="U22" i="21"/>
  <c r="V21" i="21"/>
  <c r="U21" i="21"/>
  <c r="U19" i="21" l="1"/>
  <c r="AJ17" i="21"/>
  <c r="AJ19" i="21" s="1"/>
  <c r="AH17" i="21"/>
  <c r="AH19" i="21" s="1"/>
  <c r="AI17" i="21"/>
  <c r="AI19" i="21" s="1"/>
  <c r="U46" i="21"/>
  <c r="AJ43" i="21"/>
  <c r="AJ46" i="21" s="1"/>
  <c r="AH43" i="21"/>
  <c r="AH46" i="21" s="1"/>
  <c r="AI43" i="21"/>
  <c r="AI46" i="21" s="1"/>
  <c r="U53" i="21"/>
  <c r="AH50" i="21"/>
  <c r="AH53" i="21" s="1"/>
  <c r="AJ50" i="21"/>
  <c r="AJ53" i="21" s="1"/>
  <c r="AI50" i="21"/>
  <c r="AI53" i="21" s="1"/>
  <c r="U75" i="21"/>
  <c r="AI73" i="21"/>
  <c r="AI75" i="21" s="1"/>
  <c r="AJ73" i="21"/>
  <c r="AJ75" i="21" s="1"/>
  <c r="AH73" i="21"/>
  <c r="AH75" i="21" s="1"/>
  <c r="AJ44" i="21"/>
  <c r="AH44" i="21"/>
  <c r="AI44" i="21"/>
  <c r="AJ70" i="21"/>
  <c r="AI70" i="21"/>
  <c r="AH70" i="21"/>
  <c r="AH77" i="21"/>
  <c r="AI77" i="21"/>
  <c r="AJ77" i="21"/>
  <c r="AI21" i="21"/>
  <c r="AH21" i="21"/>
  <c r="AJ21" i="21"/>
  <c r="U123" i="21"/>
  <c r="AI120" i="21"/>
  <c r="AI123" i="21" s="1"/>
  <c r="AJ120" i="21"/>
  <c r="AJ123" i="21" s="1"/>
  <c r="AH120" i="21"/>
  <c r="AH123" i="21" s="1"/>
  <c r="AI78" i="21"/>
  <c r="AI81" i="21" s="1"/>
  <c r="AH78" i="21"/>
  <c r="AH81" i="21" s="1"/>
  <c r="AJ78" i="21"/>
  <c r="AJ81" i="21" s="1"/>
  <c r="U26" i="21"/>
  <c r="AH24" i="21"/>
  <c r="AH26" i="21" s="1"/>
  <c r="AI24" i="21"/>
  <c r="AI26" i="21" s="1"/>
  <c r="AJ24" i="21"/>
  <c r="AJ26" i="21" s="1"/>
  <c r="U67" i="21"/>
  <c r="AH64" i="21"/>
  <c r="AH67" i="21" s="1"/>
  <c r="AJ64" i="21"/>
  <c r="AJ67" i="21" s="1"/>
  <c r="AI64" i="21"/>
  <c r="AI67" i="21" s="1"/>
  <c r="AI14" i="21"/>
  <c r="AH14" i="21"/>
  <c r="AJ14" i="21"/>
  <c r="U25" i="21"/>
  <c r="AJ22" i="21"/>
  <c r="AJ25" i="21" s="1"/>
  <c r="AH22" i="21"/>
  <c r="AH25" i="21" s="1"/>
  <c r="AI22" i="21"/>
  <c r="AI25" i="21" s="1"/>
  <c r="U47" i="21"/>
  <c r="AH45" i="21"/>
  <c r="AH47" i="21" s="1"/>
  <c r="AI45" i="21"/>
  <c r="AI47" i="21" s="1"/>
  <c r="AJ45" i="21"/>
  <c r="AJ47" i="21" s="1"/>
  <c r="AJ65" i="21"/>
  <c r="AI65" i="21"/>
  <c r="AH65" i="21"/>
  <c r="U74" i="21"/>
  <c r="AI71" i="21"/>
  <c r="AI74" i="21" s="1"/>
  <c r="AJ71" i="21"/>
  <c r="AJ74" i="21" s="1"/>
  <c r="AH71" i="21"/>
  <c r="AH74" i="21" s="1"/>
  <c r="AH79" i="21"/>
  <c r="AJ79" i="21"/>
  <c r="AI79" i="21"/>
  <c r="AH80" i="21"/>
  <c r="AH82" i="21" s="1"/>
  <c r="AI80" i="21"/>
  <c r="AI82" i="21" s="1"/>
  <c r="AJ80" i="21"/>
  <c r="AJ82" i="21" s="1"/>
  <c r="AJ28" i="21"/>
  <c r="AI28" i="21"/>
  <c r="AH28" i="21"/>
  <c r="AJ30" i="21"/>
  <c r="AH30" i="21"/>
  <c r="AI30" i="21"/>
  <c r="U54" i="21"/>
  <c r="AI52" i="21"/>
  <c r="AI54" i="21" s="1"/>
  <c r="AJ52" i="21"/>
  <c r="AJ54" i="21" s="1"/>
  <c r="AH52" i="21"/>
  <c r="AH54" i="21" s="1"/>
  <c r="U33" i="21"/>
  <c r="AI31" i="21"/>
  <c r="AI33" i="21" s="1"/>
  <c r="AJ31" i="21"/>
  <c r="AJ33" i="21" s="1"/>
  <c r="AH31" i="21"/>
  <c r="AH33" i="21" s="1"/>
  <c r="AI23" i="21"/>
  <c r="AJ23" i="21"/>
  <c r="AH23" i="21"/>
  <c r="AH16" i="21"/>
  <c r="AI16" i="21"/>
  <c r="AJ16" i="21"/>
  <c r="AH42" i="21"/>
  <c r="AJ42" i="21"/>
  <c r="AI42" i="21"/>
  <c r="AI49" i="21"/>
  <c r="AH49" i="21"/>
  <c r="AJ49" i="21"/>
  <c r="AJ63" i="21"/>
  <c r="AH63" i="21"/>
  <c r="AI63" i="21"/>
  <c r="AH72" i="21"/>
  <c r="AI72" i="21"/>
  <c r="AJ72" i="21"/>
  <c r="AH51" i="21"/>
  <c r="AJ51" i="21"/>
  <c r="AI51" i="21"/>
  <c r="U32" i="21"/>
  <c r="AJ29" i="21"/>
  <c r="AJ32" i="21" s="1"/>
  <c r="AH29" i="21"/>
  <c r="AH32" i="21" s="1"/>
  <c r="AI29" i="21"/>
  <c r="AI32" i="21" s="1"/>
  <c r="U18" i="21"/>
  <c r="AH15" i="21"/>
  <c r="AH18" i="21" s="1"/>
  <c r="AI15" i="21"/>
  <c r="AI18" i="21" s="1"/>
  <c r="AJ15" i="21"/>
  <c r="AJ18" i="21" s="1"/>
  <c r="U68" i="21"/>
  <c r="AH66" i="21"/>
  <c r="AH68" i="21" s="1"/>
  <c r="AI66" i="21"/>
  <c r="AI68" i="21" s="1"/>
  <c r="AJ66" i="21"/>
  <c r="AJ68" i="21" s="1"/>
  <c r="U124" i="21"/>
  <c r="AJ122" i="21"/>
  <c r="AJ124" i="21" s="1"/>
  <c r="AH122" i="21"/>
  <c r="AH124" i="21" s="1"/>
  <c r="AI122" i="21"/>
  <c r="AI124" i="21" s="1"/>
  <c r="W80" i="21"/>
  <c r="W82" i="21" s="1"/>
  <c r="V82" i="21"/>
  <c r="W78" i="21"/>
  <c r="W81" i="21" s="1"/>
  <c r="V81" i="21"/>
  <c r="J48" i="14"/>
  <c r="K48" i="14" s="1"/>
  <c r="Z47" i="14"/>
  <c r="AA47" i="14" s="1"/>
  <c r="J46" i="14"/>
  <c r="K46" i="14" s="1"/>
  <c r="J47" i="14"/>
  <c r="K47" i="14" s="1"/>
  <c r="Z48" i="14"/>
  <c r="AA48" i="14" s="1"/>
  <c r="AB26" i="14"/>
  <c r="AA35" i="14"/>
  <c r="W79" i="21"/>
  <c r="W77" i="21"/>
  <c r="AA35" i="50"/>
  <c r="AB35" i="50" l="1"/>
  <c r="AJ34" i="21"/>
  <c r="AJ27" i="21"/>
  <c r="AH125" i="21"/>
  <c r="AI48" i="21"/>
  <c r="AJ125" i="21"/>
  <c r="AH48" i="21"/>
  <c r="AJ20" i="21"/>
  <c r="AI125" i="21"/>
  <c r="AJ48" i="21"/>
  <c r="AI20" i="21"/>
  <c r="AH76" i="21"/>
  <c r="AH20" i="21"/>
  <c r="AJ76" i="21"/>
  <c r="AI55" i="21"/>
  <c r="AI76" i="21"/>
  <c r="AI69" i="21"/>
  <c r="AJ83" i="21"/>
  <c r="AJ55" i="21"/>
  <c r="AI34" i="21"/>
  <c r="AI27" i="21"/>
  <c r="AJ69" i="21"/>
  <c r="AH83" i="21"/>
  <c r="AH55" i="21"/>
  <c r="AH34" i="21"/>
  <c r="AH27" i="21"/>
  <c r="AH69" i="21"/>
  <c r="AI83" i="21"/>
  <c r="K49" i="14"/>
  <c r="J49" i="14"/>
  <c r="AB35" i="14"/>
  <c r="Z46" i="14"/>
  <c r="AA46" i="14" s="1"/>
  <c r="J35" i="14"/>
  <c r="K35" i="14"/>
  <c r="AA49" i="14" l="1"/>
  <c r="Z49" i="14"/>
  <c r="F80" i="21"/>
  <c r="F79" i="21"/>
  <c r="F78" i="21"/>
  <c r="F77" i="21"/>
  <c r="G122" i="21"/>
  <c r="G124" i="21" s="1"/>
  <c r="F122" i="21"/>
  <c r="F124" i="21" s="1"/>
  <c r="E122" i="21"/>
  <c r="E121" i="21"/>
  <c r="G120" i="21"/>
  <c r="G123" i="21" s="1"/>
  <c r="F120" i="21"/>
  <c r="F123" i="21" s="1"/>
  <c r="E120" i="21"/>
  <c r="E119" i="21"/>
  <c r="F73" i="21"/>
  <c r="F75" i="21" s="1"/>
  <c r="E73" i="21"/>
  <c r="F72" i="21"/>
  <c r="E72" i="21"/>
  <c r="F71" i="21"/>
  <c r="F74" i="21" s="1"/>
  <c r="E71" i="21"/>
  <c r="F70" i="21"/>
  <c r="E70" i="21"/>
  <c r="G66" i="21"/>
  <c r="G68" i="21" s="1"/>
  <c r="F66" i="21"/>
  <c r="F68" i="21" s="1"/>
  <c r="E66" i="21"/>
  <c r="G65" i="21"/>
  <c r="F65" i="21"/>
  <c r="E65" i="21"/>
  <c r="G64" i="21"/>
  <c r="G67" i="21" s="1"/>
  <c r="F64" i="21"/>
  <c r="F67" i="21" s="1"/>
  <c r="E64" i="21"/>
  <c r="G63" i="21"/>
  <c r="F63" i="21"/>
  <c r="E63" i="21"/>
  <c r="F52" i="21"/>
  <c r="F54" i="21" s="1"/>
  <c r="E52" i="21"/>
  <c r="F51" i="21"/>
  <c r="E51" i="21"/>
  <c r="F50" i="21"/>
  <c r="F53" i="21" s="1"/>
  <c r="E50" i="21"/>
  <c r="F49" i="21"/>
  <c r="E49" i="21"/>
  <c r="F45" i="21"/>
  <c r="F47" i="21" s="1"/>
  <c r="E45" i="21"/>
  <c r="F44" i="21"/>
  <c r="E44" i="21"/>
  <c r="F43" i="21"/>
  <c r="F46" i="21" s="1"/>
  <c r="E43" i="21"/>
  <c r="F42" i="21"/>
  <c r="E42" i="21"/>
  <c r="E31" i="21"/>
  <c r="E30" i="21"/>
  <c r="E29" i="21"/>
  <c r="E28" i="21"/>
  <c r="F17" i="21"/>
  <c r="F19" i="21" s="1"/>
  <c r="E17" i="21"/>
  <c r="F16" i="21"/>
  <c r="E16" i="21"/>
  <c r="F15" i="21"/>
  <c r="F18" i="21" s="1"/>
  <c r="E15" i="21"/>
  <c r="F14" i="21"/>
  <c r="E14" i="21"/>
  <c r="E124" i="21" l="1"/>
  <c r="T122" i="21"/>
  <c r="T124" i="21" s="1"/>
  <c r="R122" i="21"/>
  <c r="R124" i="21" s="1"/>
  <c r="S122" i="21"/>
  <c r="S124" i="21" s="1"/>
  <c r="E53" i="21"/>
  <c r="S50" i="21"/>
  <c r="S53" i="21" s="1"/>
  <c r="T50" i="21"/>
  <c r="T53" i="21" s="1"/>
  <c r="R50" i="21"/>
  <c r="R53" i="21" s="1"/>
  <c r="E67" i="21"/>
  <c r="T64" i="21"/>
  <c r="T67" i="21" s="1"/>
  <c r="R64" i="21"/>
  <c r="R67" i="21" s="1"/>
  <c r="S64" i="21"/>
  <c r="S67" i="21" s="1"/>
  <c r="R14" i="21"/>
  <c r="T14" i="21"/>
  <c r="S14" i="21"/>
  <c r="S28" i="21"/>
  <c r="R28" i="21"/>
  <c r="T28" i="21"/>
  <c r="S70" i="21"/>
  <c r="R70" i="21"/>
  <c r="T70" i="21"/>
  <c r="T77" i="21"/>
  <c r="R77" i="21"/>
  <c r="S77" i="21"/>
  <c r="E46" i="21"/>
  <c r="R43" i="21"/>
  <c r="R46" i="21" s="1"/>
  <c r="S43" i="21"/>
  <c r="T43" i="21"/>
  <c r="T46" i="21" s="1"/>
  <c r="E75" i="21"/>
  <c r="R73" i="21"/>
  <c r="R75" i="21" s="1"/>
  <c r="S73" i="21"/>
  <c r="S75" i="21" s="1"/>
  <c r="T73" i="21"/>
  <c r="T75" i="21" s="1"/>
  <c r="R51" i="21"/>
  <c r="S51" i="21"/>
  <c r="T51" i="21"/>
  <c r="E68" i="21"/>
  <c r="T66" i="21"/>
  <c r="T68" i="21" s="1"/>
  <c r="R66" i="21"/>
  <c r="R68" i="21" s="1"/>
  <c r="S66" i="21"/>
  <c r="S68" i="21" s="1"/>
  <c r="E19" i="21"/>
  <c r="S17" i="21"/>
  <c r="T17" i="21"/>
  <c r="T19" i="21" s="1"/>
  <c r="R17" i="21"/>
  <c r="R19" i="21" s="1"/>
  <c r="R44" i="21"/>
  <c r="S44" i="21"/>
  <c r="T44" i="21"/>
  <c r="R30" i="21"/>
  <c r="S30" i="21"/>
  <c r="T30" i="21"/>
  <c r="E54" i="21"/>
  <c r="R52" i="21"/>
  <c r="R54" i="21" s="1"/>
  <c r="S52" i="21"/>
  <c r="S54" i="21" s="1"/>
  <c r="T52" i="21"/>
  <c r="T54" i="21" s="1"/>
  <c r="E74" i="21"/>
  <c r="S71" i="21"/>
  <c r="S74" i="21" s="1"/>
  <c r="R71" i="21"/>
  <c r="R74" i="21" s="1"/>
  <c r="T71" i="21"/>
  <c r="S79" i="21"/>
  <c r="T79" i="21"/>
  <c r="R79" i="21"/>
  <c r="E33" i="21"/>
  <c r="R31" i="21"/>
  <c r="R33" i="21" s="1"/>
  <c r="S31" i="21"/>
  <c r="S33" i="21" s="1"/>
  <c r="T31" i="21"/>
  <c r="T33" i="21" s="1"/>
  <c r="R80" i="21"/>
  <c r="R82" i="21" s="1"/>
  <c r="S80" i="21"/>
  <c r="S82" i="21" s="1"/>
  <c r="T80" i="21"/>
  <c r="T82" i="21" s="1"/>
  <c r="E32" i="21"/>
  <c r="S29" i="21"/>
  <c r="S32" i="21" s="1"/>
  <c r="T29" i="21"/>
  <c r="T32" i="21" s="1"/>
  <c r="R29" i="21"/>
  <c r="R32" i="21" s="1"/>
  <c r="E123" i="21"/>
  <c r="S120" i="21"/>
  <c r="S123" i="21" s="1"/>
  <c r="R120" i="21"/>
  <c r="R123" i="21" s="1"/>
  <c r="T120" i="21"/>
  <c r="T123" i="21" s="1"/>
  <c r="T78" i="21"/>
  <c r="T81" i="21" s="1"/>
  <c r="R78" i="21"/>
  <c r="R81" i="21" s="1"/>
  <c r="S78" i="21"/>
  <c r="S81" i="21" s="1"/>
  <c r="E18" i="21"/>
  <c r="T15" i="21"/>
  <c r="T18" i="21" s="1"/>
  <c r="R15" i="21"/>
  <c r="R18" i="21" s="1"/>
  <c r="S15" i="21"/>
  <c r="S18" i="21" s="1"/>
  <c r="E47" i="21"/>
  <c r="T45" i="21"/>
  <c r="T47" i="21" s="1"/>
  <c r="R45" i="21"/>
  <c r="R47" i="21" s="1"/>
  <c r="S45" i="21"/>
  <c r="S47" i="21" s="1"/>
  <c r="T65" i="21"/>
  <c r="R65" i="21"/>
  <c r="S65" i="21"/>
  <c r="S16" i="21"/>
  <c r="T16" i="21"/>
  <c r="R16" i="21"/>
  <c r="S42" i="21"/>
  <c r="R42" i="21"/>
  <c r="T42" i="21"/>
  <c r="T49" i="21"/>
  <c r="R49" i="21"/>
  <c r="S49" i="21"/>
  <c r="S63" i="21"/>
  <c r="T63" i="21"/>
  <c r="R63" i="21"/>
  <c r="R72" i="21"/>
  <c r="S72" i="21"/>
  <c r="T72" i="21"/>
  <c r="G78" i="21"/>
  <c r="G81" i="21" s="1"/>
  <c r="F81" i="21"/>
  <c r="G80" i="21"/>
  <c r="G82" i="21" s="1"/>
  <c r="F82" i="21"/>
  <c r="S19" i="21"/>
  <c r="S46" i="21"/>
  <c r="T74" i="21"/>
  <c r="G77" i="21"/>
  <c r="G79" i="21"/>
  <c r="F23" i="21"/>
  <c r="E23" i="21"/>
  <c r="F24" i="21"/>
  <c r="F26" i="21" s="1"/>
  <c r="E24" i="21"/>
  <c r="F22" i="21"/>
  <c r="F25" i="21" s="1"/>
  <c r="E22" i="21"/>
  <c r="F21" i="21"/>
  <c r="E21" i="21"/>
  <c r="S34" i="21" l="1"/>
  <c r="T48" i="21"/>
  <c r="T23" i="21"/>
  <c r="R23" i="21"/>
  <c r="S23" i="21"/>
  <c r="R21" i="21"/>
  <c r="S21" i="21"/>
  <c r="T21" i="21"/>
  <c r="E26" i="21"/>
  <c r="S24" i="21"/>
  <c r="S26" i="21" s="1"/>
  <c r="T24" i="21"/>
  <c r="T26" i="21" s="1"/>
  <c r="R24" i="21"/>
  <c r="R26" i="21" s="1"/>
  <c r="S55" i="21"/>
  <c r="T83" i="21"/>
  <c r="E25" i="21"/>
  <c r="T22" i="21"/>
  <c r="T25" i="21" s="1"/>
  <c r="R22" i="21"/>
  <c r="R25" i="21" s="1"/>
  <c r="S22" i="21"/>
  <c r="S25" i="21" s="1"/>
  <c r="R48" i="21"/>
  <c r="T125" i="21"/>
  <c r="R34" i="21"/>
  <c r="R55" i="21"/>
  <c r="S48" i="21"/>
  <c r="T69" i="21"/>
  <c r="R83" i="21"/>
  <c r="R125" i="21"/>
  <c r="R69" i="21"/>
  <c r="S125" i="21"/>
  <c r="R76" i="21"/>
  <c r="S20" i="21"/>
  <c r="T76" i="21"/>
  <c r="T55" i="21"/>
  <c r="R20" i="21"/>
  <c r="S76" i="21"/>
  <c r="T20" i="21"/>
  <c r="T34" i="21"/>
  <c r="S69" i="21"/>
  <c r="S83" i="21"/>
  <c r="S27" i="21" l="1"/>
  <c r="T27" i="21"/>
  <c r="R27" i="21"/>
  <c r="CL285" i="29" l="1"/>
  <c r="CL134" i="29"/>
  <c r="M285" i="29" l="1"/>
  <c r="M134" i="29"/>
  <c r="CQ65" i="29" l="1"/>
  <c r="CQ35" i="29"/>
  <c r="CQ59" i="29"/>
  <c r="CQ41" i="29"/>
  <c r="Y68" i="29"/>
  <c r="T260" i="29" s="1"/>
  <c r="Y65" i="29"/>
  <c r="CQ68" i="29"/>
  <c r="Y62" i="29"/>
  <c r="CQ62" i="29"/>
  <c r="Y69" i="29"/>
  <c r="Y59" i="29"/>
  <c r="Y58" i="29"/>
  <c r="CQ69" i="29"/>
  <c r="CQ34" i="29"/>
  <c r="CQ58" i="29"/>
  <c r="CQ45" i="29"/>
  <c r="CQ66" i="29"/>
  <c r="Y66" i="29"/>
  <c r="Y38" i="29"/>
  <c r="Y45" i="29"/>
  <c r="CQ38" i="29"/>
  <c r="Y42" i="29"/>
  <c r="CQ42" i="29"/>
  <c r="Y35" i="29"/>
  <c r="Y34" i="29"/>
  <c r="Y44" i="29"/>
  <c r="CQ44" i="29"/>
  <c r="Y41" i="29"/>
  <c r="T256" i="29" l="1"/>
  <c r="CS261" i="29"/>
  <c r="T141" i="29"/>
  <c r="T132" i="29"/>
  <c r="CS260" i="29"/>
  <c r="BE66" i="29"/>
  <c r="BF66" i="29"/>
  <c r="BG66" i="29"/>
  <c r="T143" i="29"/>
  <c r="CS257" i="29"/>
  <c r="T196" i="29"/>
  <c r="CU130" i="29"/>
  <c r="T147" i="29"/>
  <c r="T257" i="29"/>
  <c r="T261" i="29"/>
  <c r="CM224" i="29"/>
  <c r="Q224" i="29"/>
  <c r="T136" i="29"/>
  <c r="T130" i="29"/>
  <c r="CS256" i="29"/>
  <c r="CU136" i="29"/>
  <c r="CU141" i="29"/>
  <c r="T192" i="29"/>
  <c r="CU132" i="29"/>
  <c r="CU147" i="29"/>
  <c r="CU192" i="29"/>
  <c r="CU143" i="29"/>
  <c r="CU196" i="29"/>
  <c r="H16" i="49" l="1"/>
  <c r="G16" i="49"/>
  <c r="H149" i="27" l="1"/>
  <c r="Y225" i="27"/>
  <c r="G37" i="39"/>
  <c r="S54" i="40"/>
  <c r="Y25" i="32"/>
  <c r="V38" i="32"/>
  <c r="H64" i="43"/>
  <c r="BX55" i="29"/>
  <c r="AA51" i="52"/>
  <c r="AC347" i="44"/>
  <c r="CB58" i="29"/>
  <c r="F48" i="14"/>
  <c r="AA15" i="40"/>
  <c r="BX34" i="29"/>
  <c r="H92" i="32"/>
  <c r="G75" i="39"/>
  <c r="E72" i="40"/>
  <c r="K155" i="27"/>
  <c r="U97" i="39"/>
  <c r="E49" i="32"/>
  <c r="Y16" i="40"/>
  <c r="E45" i="29"/>
  <c r="G44" i="43"/>
  <c r="G11" i="43"/>
  <c r="U19" i="39"/>
  <c r="N105" i="32"/>
  <c r="AA86" i="43"/>
  <c r="U76" i="40"/>
  <c r="CC34" i="29"/>
  <c r="E13" i="39"/>
  <c r="AA41" i="32"/>
  <c r="V75" i="39"/>
  <c r="AA92" i="43"/>
  <c r="H14" i="39"/>
  <c r="I150" i="27"/>
  <c r="Y60" i="39"/>
  <c r="L63" i="43"/>
  <c r="I73" i="43"/>
  <c r="E219" i="27"/>
  <c r="S80" i="43"/>
  <c r="G59" i="32"/>
  <c r="L5" i="32"/>
  <c r="G72" i="32"/>
  <c r="L103" i="39"/>
  <c r="G7" i="39"/>
  <c r="I79" i="32"/>
  <c r="F105" i="32"/>
  <c r="AB225" i="27"/>
  <c r="F97" i="43"/>
  <c r="T17" i="40"/>
  <c r="H27" i="43"/>
  <c r="N29" i="40"/>
  <c r="Y50" i="40"/>
  <c r="L143" i="27"/>
  <c r="T54" i="32"/>
  <c r="Y62" i="43"/>
  <c r="G61" i="32"/>
  <c r="I61" i="40"/>
  <c r="I227" i="27"/>
  <c r="V59" i="32"/>
  <c r="S57" i="40"/>
  <c r="H51" i="25"/>
  <c r="H55" i="43"/>
  <c r="G37" i="40"/>
  <c r="AA45" i="40"/>
  <c r="G349" i="44"/>
  <c r="T84" i="39"/>
  <c r="U15" i="40"/>
  <c r="F33" i="43"/>
  <c r="S68" i="39"/>
  <c r="T73" i="43"/>
  <c r="E79" i="43"/>
  <c r="N78" i="43"/>
  <c r="S10" i="40"/>
  <c r="V84" i="32"/>
  <c r="H93" i="40"/>
  <c r="I16" i="43"/>
  <c r="U20" i="39"/>
  <c r="L36" i="29"/>
  <c r="L48" i="39"/>
  <c r="U83" i="40"/>
  <c r="F94" i="32"/>
  <c r="I68" i="32"/>
  <c r="G222" i="27"/>
  <c r="W147" i="27"/>
  <c r="G45" i="40"/>
  <c r="S5" i="43"/>
  <c r="S47" i="32"/>
  <c r="T49" i="43"/>
  <c r="H45" i="43"/>
  <c r="U32" i="39"/>
  <c r="G24" i="39"/>
  <c r="S97" i="43"/>
  <c r="I63" i="25"/>
  <c r="V53" i="39"/>
  <c r="F86" i="40"/>
  <c r="Y102" i="39"/>
  <c r="T39" i="40"/>
  <c r="CB38" i="29"/>
  <c r="F93" i="43"/>
  <c r="E155" i="27"/>
  <c r="V78" i="39"/>
  <c r="Z217" i="27"/>
  <c r="BX41" i="29"/>
  <c r="Y68" i="39"/>
  <c r="L38" i="43"/>
  <c r="AA59" i="39"/>
  <c r="BV70" i="29"/>
  <c r="BY56" i="29"/>
  <c r="I90" i="40"/>
  <c r="Y144" i="27"/>
  <c r="N24" i="32"/>
  <c r="F8" i="32"/>
  <c r="G64" i="25"/>
  <c r="U71" i="40"/>
  <c r="F75" i="39"/>
  <c r="V61" i="40"/>
  <c r="Y68" i="32"/>
  <c r="D39" i="29"/>
  <c r="G95" i="43"/>
  <c r="U86" i="32"/>
  <c r="E37" i="43"/>
  <c r="T72" i="43"/>
  <c r="F55" i="43"/>
  <c r="I87" i="43"/>
  <c r="G49" i="43"/>
  <c r="L96" i="43"/>
  <c r="V56" i="43"/>
  <c r="Y49" i="43"/>
  <c r="Y11" i="43"/>
  <c r="BX69" i="29"/>
  <c r="E21" i="32"/>
  <c r="K233" i="27"/>
  <c r="S69" i="43"/>
  <c r="S92" i="43"/>
  <c r="E56" i="43"/>
  <c r="H95" i="40"/>
  <c r="V5" i="43"/>
  <c r="K63" i="29"/>
  <c r="V62" i="43"/>
  <c r="H81" i="43"/>
  <c r="H76" i="39"/>
  <c r="L113" i="32"/>
  <c r="E151" i="27"/>
  <c r="AA113" i="32"/>
  <c r="G348" i="44"/>
  <c r="F103" i="39"/>
  <c r="BW59" i="29"/>
  <c r="S54" i="39"/>
  <c r="N27" i="39"/>
  <c r="T41" i="32"/>
  <c r="H53" i="25"/>
  <c r="V20" i="39"/>
  <c r="U93" i="43"/>
  <c r="H92" i="43"/>
  <c r="F31" i="29"/>
  <c r="G53" i="39"/>
  <c r="T99" i="32"/>
  <c r="CA45" i="29"/>
  <c r="Y79" i="32"/>
  <c r="F90" i="40"/>
  <c r="Y81" i="32"/>
  <c r="K50" i="52"/>
  <c r="F49" i="32"/>
  <c r="G25" i="39"/>
  <c r="G80" i="43"/>
  <c r="AB151" i="27"/>
  <c r="I41" i="32"/>
  <c r="I31" i="39"/>
  <c r="H12" i="39"/>
  <c r="L157" i="27"/>
  <c r="CC68" i="29"/>
  <c r="G44" i="40"/>
  <c r="I155" i="27"/>
  <c r="Y79" i="39"/>
  <c r="BX31" i="29"/>
  <c r="U79" i="39"/>
  <c r="S22" i="39"/>
  <c r="N37" i="32"/>
  <c r="H98" i="32"/>
  <c r="S48" i="39"/>
  <c r="AA28" i="43"/>
  <c r="CB39" i="29"/>
  <c r="F56" i="40"/>
  <c r="I90" i="32"/>
  <c r="BX42" i="29"/>
  <c r="I20" i="32"/>
  <c r="AA56" i="43"/>
  <c r="S28" i="40"/>
  <c r="G104" i="32"/>
  <c r="U5" i="32"/>
  <c r="AC348" i="44"/>
  <c r="L19" i="32"/>
  <c r="Y79" i="40"/>
  <c r="AA21" i="40"/>
  <c r="L87" i="39"/>
  <c r="G59" i="29"/>
  <c r="N72" i="40"/>
  <c r="L33" i="39"/>
  <c r="AA73" i="32"/>
  <c r="V14" i="39"/>
  <c r="D48" i="14"/>
  <c r="E103" i="39"/>
  <c r="S143" i="27"/>
  <c r="L42" i="29"/>
  <c r="Y156" i="27"/>
  <c r="H80" i="43"/>
  <c r="S94" i="32"/>
  <c r="S64" i="40"/>
  <c r="Z233" i="27"/>
  <c r="F24" i="39"/>
  <c r="V27" i="32"/>
  <c r="G92" i="40"/>
  <c r="AA94" i="32"/>
  <c r="H62" i="39"/>
  <c r="I231" i="27"/>
  <c r="N107" i="32"/>
  <c r="N79" i="39"/>
  <c r="G62" i="29"/>
  <c r="I38" i="43"/>
  <c r="N38" i="40"/>
  <c r="U219" i="27"/>
  <c r="T57" i="43"/>
  <c r="F62" i="39"/>
  <c r="S348" i="44"/>
  <c r="AA80" i="43"/>
  <c r="T7" i="39"/>
  <c r="L23" i="40"/>
  <c r="H156" i="27"/>
  <c r="AA61" i="32"/>
  <c r="G84" i="32"/>
  <c r="AA58" i="43"/>
  <c r="L47" i="14"/>
  <c r="AA45" i="39"/>
  <c r="L73" i="39"/>
  <c r="U67" i="39"/>
  <c r="Z223" i="27"/>
  <c r="G76" i="40"/>
  <c r="Y40" i="40"/>
  <c r="BV32" i="29"/>
  <c r="L23" i="43"/>
  <c r="I35" i="29"/>
  <c r="E52" i="39"/>
  <c r="T108" i="32"/>
  <c r="AA96" i="43"/>
  <c r="H86" i="32"/>
  <c r="AB226" i="27"/>
  <c r="F44" i="40"/>
  <c r="G95" i="40"/>
  <c r="U23" i="32"/>
  <c r="N33" i="40"/>
  <c r="AB157" i="27"/>
  <c r="L93" i="32"/>
  <c r="L148" i="27"/>
  <c r="L39" i="32"/>
  <c r="AA5" i="43"/>
  <c r="I7" i="39"/>
  <c r="I70" i="43"/>
  <c r="Y20" i="32"/>
  <c r="H117" i="32"/>
  <c r="T86" i="39"/>
  <c r="I56" i="29"/>
  <c r="F44" i="29"/>
  <c r="I39" i="40"/>
  <c r="V63" i="43"/>
  <c r="Y80" i="39"/>
  <c r="U20" i="32"/>
  <c r="H118" i="32"/>
  <c r="I44" i="39"/>
  <c r="G21" i="47"/>
  <c r="H218" i="27"/>
  <c r="AA108" i="32"/>
  <c r="S90" i="40"/>
  <c r="S77" i="40"/>
  <c r="N66" i="39"/>
  <c r="H86" i="43"/>
  <c r="E38" i="43"/>
  <c r="W158" i="27"/>
  <c r="F19" i="32"/>
  <c r="V93" i="43"/>
  <c r="E48" i="32"/>
  <c r="F22" i="32"/>
  <c r="AA33" i="40"/>
  <c r="H36" i="32"/>
  <c r="V22" i="43"/>
  <c r="L66" i="32"/>
  <c r="N14" i="32"/>
  <c r="F86" i="32"/>
  <c r="U232" i="27"/>
  <c r="F68" i="32"/>
  <c r="E73" i="32"/>
  <c r="E68" i="40"/>
  <c r="G45" i="39"/>
  <c r="U12" i="39"/>
  <c r="U87" i="39"/>
  <c r="G231" i="27"/>
  <c r="N6" i="40"/>
  <c r="T106" i="32"/>
  <c r="Y220" i="27"/>
  <c r="G86" i="39"/>
  <c r="Y84" i="40"/>
  <c r="E54" i="32"/>
  <c r="I57" i="40"/>
  <c r="H26" i="32"/>
  <c r="H63" i="40"/>
  <c r="H19" i="39"/>
  <c r="Y58" i="43"/>
  <c r="E86" i="43"/>
  <c r="W159" i="27"/>
  <c r="G55" i="43"/>
  <c r="H61" i="32"/>
  <c r="I14" i="39"/>
  <c r="BW31" i="29"/>
  <c r="U21" i="32"/>
  <c r="S42" i="32"/>
  <c r="T73" i="32"/>
  <c r="AB217" i="27"/>
  <c r="N22" i="40"/>
  <c r="H225" i="27"/>
  <c r="T20" i="39"/>
  <c r="U54" i="39"/>
  <c r="I27" i="32"/>
  <c r="U10" i="43"/>
  <c r="V13" i="39"/>
  <c r="W227" i="27"/>
  <c r="AA46" i="32"/>
  <c r="BY57" i="29"/>
  <c r="Y54" i="40"/>
  <c r="E158" i="27"/>
  <c r="Y22" i="32"/>
  <c r="D32" i="29"/>
  <c r="AC8" i="51"/>
  <c r="E72" i="43"/>
  <c r="AA10" i="43"/>
  <c r="G50" i="43"/>
  <c r="E79" i="39"/>
  <c r="AB218" i="27"/>
  <c r="L233" i="27"/>
  <c r="N347" i="44"/>
  <c r="CC37" i="29"/>
  <c r="T102" i="39"/>
  <c r="V21" i="43"/>
  <c r="S65" i="43"/>
  <c r="N226" i="27"/>
  <c r="L81" i="43"/>
  <c r="O64" i="25"/>
  <c r="G118" i="32"/>
  <c r="AA22" i="43"/>
  <c r="L232" i="27"/>
  <c r="H155" i="27"/>
  <c r="I81" i="32"/>
  <c r="I85" i="40"/>
  <c r="F98" i="39"/>
  <c r="H28" i="32"/>
  <c r="E57" i="43"/>
  <c r="I49" i="32"/>
  <c r="T86" i="40"/>
  <c r="AA27" i="32"/>
  <c r="I81" i="43"/>
  <c r="G61" i="25"/>
  <c r="E220" i="27"/>
  <c r="I221" i="27"/>
  <c r="H112" i="32"/>
  <c r="J44" i="29"/>
  <c r="M52" i="25"/>
  <c r="F88" i="39"/>
  <c r="H146" i="27"/>
  <c r="T13" i="39"/>
  <c r="U54" i="32"/>
  <c r="F96" i="43"/>
  <c r="N106" i="32"/>
  <c r="N108" i="32"/>
  <c r="S18" i="32"/>
  <c r="L72" i="43"/>
  <c r="L27" i="39"/>
  <c r="S218" i="27"/>
  <c r="L38" i="39"/>
  <c r="AA112" i="32"/>
  <c r="K34" i="29"/>
  <c r="U70" i="43"/>
  <c r="L63" i="40"/>
  <c r="T93" i="40"/>
  <c r="G93" i="40"/>
  <c r="H48" i="14"/>
  <c r="CA56" i="29"/>
  <c r="V5" i="32"/>
  <c r="N73" i="39"/>
  <c r="V28" i="32"/>
  <c r="Z155" i="27"/>
  <c r="G47" i="32"/>
  <c r="N86" i="43"/>
  <c r="F39" i="32"/>
  <c r="N34" i="50"/>
  <c r="H143" i="27"/>
  <c r="W149" i="27"/>
  <c r="N16" i="43"/>
  <c r="F61" i="39"/>
  <c r="AA93" i="43"/>
  <c r="T45" i="39"/>
  <c r="U68" i="40"/>
  <c r="AA78" i="40"/>
  <c r="G68" i="32"/>
  <c r="V44" i="39"/>
  <c r="H5" i="40"/>
  <c r="N19" i="39"/>
  <c r="I71" i="43"/>
  <c r="E64" i="40"/>
  <c r="G107" i="32"/>
  <c r="L35" i="29"/>
  <c r="V33" i="40"/>
  <c r="I38" i="32"/>
  <c r="I68" i="40"/>
  <c r="U29" i="40"/>
  <c r="F32" i="32"/>
  <c r="I157" i="27"/>
  <c r="U14" i="32"/>
  <c r="E85" i="39"/>
  <c r="S39" i="40"/>
  <c r="J60" i="29"/>
  <c r="E23" i="39"/>
  <c r="E44" i="40"/>
  <c r="T95" i="40"/>
  <c r="V19" i="32"/>
  <c r="G63" i="43"/>
  <c r="BW42" i="29"/>
  <c r="T14" i="32"/>
  <c r="E104" i="32"/>
  <c r="BV62" i="29"/>
  <c r="I92" i="39"/>
  <c r="E153" i="27"/>
  <c r="BW70" i="29"/>
  <c r="AA49" i="40"/>
  <c r="AB149" i="27"/>
  <c r="S6" i="40"/>
  <c r="U27" i="43"/>
  <c r="S39" i="43"/>
  <c r="T23" i="43"/>
  <c r="E67" i="39"/>
  <c r="E28" i="43"/>
  <c r="K42" i="29"/>
  <c r="K145" i="27"/>
  <c r="AA102" i="39"/>
  <c r="H13" i="39"/>
  <c r="Y34" i="39"/>
  <c r="E26" i="32"/>
  <c r="S76" i="40"/>
  <c r="BV34" i="29"/>
  <c r="S5" i="32"/>
  <c r="F38" i="40"/>
  <c r="Y95" i="43"/>
  <c r="L40" i="32"/>
  <c r="Y75" i="32"/>
  <c r="Y97" i="43"/>
  <c r="AA98" i="39"/>
  <c r="G10" i="40"/>
  <c r="N19" i="32"/>
  <c r="M51" i="52"/>
  <c r="F64" i="40"/>
  <c r="U13" i="32"/>
  <c r="AA21" i="39"/>
  <c r="T75" i="39"/>
  <c r="N68" i="32"/>
  <c r="G98" i="32"/>
  <c r="L28" i="40"/>
  <c r="V28" i="40"/>
  <c r="U152" i="27"/>
  <c r="U21" i="40"/>
  <c r="N57" i="40"/>
  <c r="E73" i="43"/>
  <c r="H33" i="40"/>
  <c r="I39" i="32"/>
  <c r="L68" i="32"/>
  <c r="U90" i="32"/>
  <c r="G64" i="40"/>
  <c r="L83" i="40"/>
  <c r="F59" i="39"/>
  <c r="U75" i="32"/>
  <c r="L93" i="43"/>
  <c r="T12" i="39"/>
  <c r="G154" i="27"/>
  <c r="G100" i="32"/>
  <c r="CA55" i="29"/>
  <c r="CD35" i="29"/>
  <c r="U78" i="39"/>
  <c r="AA32" i="32"/>
  <c r="CA59" i="29"/>
  <c r="AA94" i="40"/>
  <c r="G60" i="25"/>
  <c r="E100" i="32"/>
  <c r="BX35" i="29"/>
  <c r="F85" i="40"/>
  <c r="V33" i="43"/>
  <c r="CD42" i="29"/>
  <c r="G20" i="47"/>
  <c r="H93" i="32"/>
  <c r="T55" i="40"/>
  <c r="G144" i="27"/>
  <c r="AA7" i="39"/>
  <c r="E44" i="43"/>
  <c r="H79" i="40"/>
  <c r="F102" i="39"/>
  <c r="I51" i="43"/>
  <c r="F21" i="39"/>
  <c r="Y14" i="32"/>
  <c r="CC45" i="29"/>
  <c r="K32" i="29"/>
  <c r="F37" i="43"/>
  <c r="AE8" i="51"/>
  <c r="U66" i="32"/>
  <c r="E6" i="32"/>
  <c r="V70" i="40"/>
  <c r="I55" i="43"/>
  <c r="E146" i="27"/>
  <c r="N59" i="32"/>
  <c r="N157" i="27"/>
  <c r="H21" i="40"/>
  <c r="H105" i="32"/>
  <c r="I64" i="25"/>
  <c r="T33" i="32"/>
  <c r="L6" i="40"/>
  <c r="H10" i="43"/>
  <c r="E60" i="29"/>
  <c r="AA56" i="40"/>
  <c r="I18" i="39"/>
  <c r="AA67" i="39"/>
  <c r="H221" i="27"/>
  <c r="W219" i="27"/>
  <c r="G34" i="32"/>
  <c r="L95" i="40"/>
  <c r="U95" i="40"/>
  <c r="N85" i="43"/>
  <c r="V46" i="32"/>
  <c r="U28" i="32"/>
  <c r="H8" i="39"/>
  <c r="S87" i="39"/>
  <c r="F74" i="32"/>
  <c r="T38" i="40"/>
  <c r="F15" i="43"/>
  <c r="L87" i="43"/>
  <c r="U6" i="39"/>
  <c r="K158" i="27"/>
  <c r="I39" i="39"/>
  <c r="F20" i="32"/>
  <c r="V32" i="32"/>
  <c r="V113" i="32"/>
  <c r="AA77" i="39"/>
  <c r="CA33" i="29"/>
  <c r="E57" i="40"/>
  <c r="Y39" i="43"/>
  <c r="T83" i="32"/>
  <c r="T96" i="43"/>
  <c r="I5" i="32"/>
  <c r="N21" i="43"/>
  <c r="N54" i="32"/>
  <c r="N45" i="39"/>
  <c r="F113" i="32"/>
  <c r="G61" i="40"/>
  <c r="T91" i="40"/>
  <c r="I79" i="39"/>
  <c r="U99" i="32"/>
  <c r="Y49" i="52"/>
  <c r="F76" i="39"/>
  <c r="E24" i="32"/>
  <c r="F33" i="40"/>
  <c r="T44" i="40"/>
  <c r="U77" i="40"/>
  <c r="H78" i="40"/>
  <c r="N217" i="27"/>
  <c r="G85" i="32"/>
  <c r="G60" i="39"/>
  <c r="H78" i="39"/>
  <c r="G97" i="43"/>
  <c r="BV43" i="29"/>
  <c r="U146" i="27"/>
  <c r="H48" i="32"/>
  <c r="K62" i="29"/>
  <c r="Y48" i="52"/>
  <c r="I93" i="32"/>
  <c r="F78" i="43"/>
  <c r="S11" i="40"/>
  <c r="G27" i="43"/>
  <c r="E38" i="29"/>
  <c r="O6" i="51"/>
  <c r="AA51" i="43"/>
  <c r="E78" i="40"/>
  <c r="V68" i="40"/>
  <c r="T53" i="39"/>
  <c r="U19" i="32"/>
  <c r="E16" i="40"/>
  <c r="Y69" i="39"/>
  <c r="Y74" i="39"/>
  <c r="L37" i="29"/>
  <c r="F56" i="29"/>
  <c r="H158" i="27"/>
  <c r="F112" i="32"/>
  <c r="H86" i="39"/>
  <c r="S36" i="32"/>
  <c r="E224" i="27"/>
  <c r="AA59" i="32"/>
  <c r="T87" i="39"/>
  <c r="E150" i="27"/>
  <c r="G37" i="43"/>
  <c r="CA39" i="29"/>
  <c r="G27" i="40"/>
  <c r="N92" i="43"/>
  <c r="U21" i="43"/>
  <c r="F59" i="29"/>
  <c r="CA44" i="29"/>
  <c r="L22" i="32"/>
  <c r="Y50" i="52"/>
  <c r="E36" i="39"/>
  <c r="N28" i="32"/>
  <c r="I14" i="32"/>
  <c r="L60" i="32"/>
  <c r="Y87" i="43"/>
  <c r="G96" i="43"/>
  <c r="S50" i="32"/>
  <c r="Y61" i="32"/>
  <c r="AE9" i="51"/>
  <c r="T60" i="32"/>
  <c r="V79" i="43"/>
  <c r="H31" i="39"/>
  <c r="AA5" i="40"/>
  <c r="AA44" i="52"/>
  <c r="V220" i="27"/>
  <c r="K56" i="29"/>
  <c r="F38" i="43"/>
  <c r="N52" i="39"/>
  <c r="U100" i="32"/>
  <c r="V77" i="43"/>
  <c r="V40" i="39"/>
  <c r="U53" i="39"/>
  <c r="E66" i="32"/>
  <c r="E23" i="43"/>
  <c r="U27" i="32"/>
  <c r="E28" i="32"/>
  <c r="T11" i="40"/>
  <c r="L118" i="32"/>
  <c r="N15" i="43"/>
  <c r="K224" i="27"/>
  <c r="S223" i="27"/>
  <c r="Y71" i="43"/>
  <c r="L35" i="50"/>
  <c r="F82" i="32"/>
  <c r="L21" i="47"/>
  <c r="Z146" i="27"/>
  <c r="E75" i="39"/>
  <c r="V8" i="39"/>
  <c r="I60" i="32"/>
  <c r="L56" i="40"/>
  <c r="I69" i="29"/>
  <c r="I225" i="27"/>
  <c r="T97" i="43"/>
  <c r="CA37" i="29"/>
  <c r="S61" i="39"/>
  <c r="BV57" i="29"/>
  <c r="AA100" i="32"/>
  <c r="V27" i="40"/>
  <c r="T23" i="39"/>
  <c r="N28" i="40"/>
  <c r="E81" i="43"/>
  <c r="N38" i="43"/>
  <c r="E29" i="40"/>
  <c r="F37" i="39"/>
  <c r="N58" i="43"/>
  <c r="V58" i="32"/>
  <c r="F61" i="32"/>
  <c r="S92" i="40"/>
  <c r="S98" i="39"/>
  <c r="S78" i="40"/>
  <c r="L46" i="32"/>
  <c r="AA12" i="32"/>
  <c r="K44" i="52"/>
  <c r="AA87" i="43"/>
  <c r="G21" i="40"/>
  <c r="G53" i="25"/>
  <c r="AC33" i="50"/>
  <c r="G63" i="25"/>
  <c r="F32" i="29"/>
  <c r="AA28" i="32"/>
  <c r="L90" i="32"/>
  <c r="L66" i="39"/>
  <c r="S224" i="27"/>
  <c r="F57" i="43"/>
  <c r="S58" i="32"/>
  <c r="H48" i="39"/>
  <c r="L100" i="32"/>
  <c r="H59" i="39"/>
  <c r="S93" i="39"/>
  <c r="O8" i="51"/>
  <c r="E92" i="32"/>
  <c r="G233" i="27"/>
  <c r="S21" i="43"/>
  <c r="AA85" i="43"/>
  <c r="AA65" i="43"/>
  <c r="H22" i="40"/>
  <c r="H28" i="43"/>
  <c r="BV56" i="29"/>
  <c r="G69" i="39"/>
  <c r="U73" i="43"/>
  <c r="Y117" i="32"/>
  <c r="N98" i="39"/>
  <c r="V72" i="40"/>
  <c r="N227" i="27"/>
  <c r="G66" i="32"/>
  <c r="D40" i="29"/>
  <c r="I82" i="32"/>
  <c r="E45" i="40"/>
  <c r="T32" i="39"/>
  <c r="N55" i="40"/>
  <c r="N95" i="43"/>
  <c r="T11" i="43"/>
  <c r="O61" i="25"/>
  <c r="BX60" i="29"/>
  <c r="E53" i="39"/>
  <c r="I97" i="43"/>
  <c r="AA10" i="40"/>
  <c r="I23" i="43"/>
  <c r="G6" i="39"/>
  <c r="BY31" i="29"/>
  <c r="D41" i="29"/>
  <c r="S33" i="32"/>
  <c r="S31" i="39"/>
  <c r="U348" i="44"/>
  <c r="F104" i="32"/>
  <c r="G69" i="43"/>
  <c r="AA50" i="43"/>
  <c r="S69" i="39"/>
  <c r="G6" i="40"/>
  <c r="F64" i="29"/>
  <c r="E8" i="39"/>
  <c r="AA28" i="40"/>
  <c r="L92" i="39"/>
  <c r="Y20" i="39"/>
  <c r="E65" i="29"/>
  <c r="I147" i="27"/>
  <c r="T47" i="32"/>
  <c r="V49" i="40"/>
  <c r="L151" i="27"/>
  <c r="U27" i="39"/>
  <c r="G54" i="40"/>
  <c r="I88" i="39"/>
  <c r="I83" i="32"/>
  <c r="L27" i="43"/>
  <c r="E14" i="32"/>
  <c r="AA6" i="40"/>
  <c r="T6" i="39"/>
  <c r="L41" i="29"/>
  <c r="I22" i="32"/>
  <c r="I67" i="32"/>
  <c r="H88" i="39"/>
  <c r="Z224" i="27"/>
  <c r="F7" i="32"/>
  <c r="S94" i="40"/>
  <c r="S44" i="43"/>
  <c r="G73" i="43"/>
  <c r="E32" i="39"/>
  <c r="J35" i="29"/>
  <c r="L219" i="27"/>
  <c r="N23" i="32"/>
  <c r="Y67" i="32"/>
  <c r="U220" i="27"/>
  <c r="F70" i="43"/>
  <c r="L15" i="43"/>
  <c r="U98" i="39"/>
  <c r="S27" i="32"/>
  <c r="V118" i="32"/>
  <c r="W21" i="47"/>
  <c r="F108" i="32"/>
  <c r="CC33" i="29"/>
  <c r="T74" i="39"/>
  <c r="N38" i="32"/>
  <c r="Y63" i="40"/>
  <c r="BX59" i="29"/>
  <c r="S19" i="32"/>
  <c r="Y8" i="39"/>
  <c r="Y31" i="39"/>
  <c r="Y143" i="27"/>
  <c r="J58" i="29"/>
  <c r="H55" i="25"/>
  <c r="H66" i="32"/>
  <c r="I7" i="32"/>
  <c r="V63" i="40"/>
  <c r="Y85" i="39"/>
  <c r="I59" i="39"/>
  <c r="N49" i="43"/>
  <c r="Y36" i="39"/>
  <c r="N18" i="39"/>
  <c r="T20" i="32"/>
  <c r="U92" i="40"/>
  <c r="CB35" i="29"/>
  <c r="I154" i="27"/>
  <c r="T44" i="43"/>
  <c r="W225" i="27"/>
  <c r="L97" i="39"/>
  <c r="N25" i="32"/>
  <c r="N149" i="27"/>
  <c r="E39" i="29"/>
  <c r="F79" i="40"/>
  <c r="I8" i="39"/>
  <c r="T86" i="43"/>
  <c r="L32" i="32"/>
  <c r="BX44" i="29"/>
  <c r="N219" i="27"/>
  <c r="E218" i="27"/>
  <c r="K31" i="29"/>
  <c r="T33" i="39"/>
  <c r="E32" i="32"/>
  <c r="CD45" i="29"/>
  <c r="U148" i="27"/>
  <c r="H23" i="39"/>
  <c r="V227" i="27"/>
  <c r="T28" i="43"/>
  <c r="E45" i="39"/>
  <c r="Y29" i="43"/>
  <c r="E86" i="39"/>
  <c r="K35" i="29"/>
  <c r="L84" i="39"/>
  <c r="G54" i="39"/>
  <c r="U5" i="43"/>
  <c r="S38" i="40"/>
  <c r="AA79" i="32"/>
  <c r="I28" i="43"/>
  <c r="G27" i="32"/>
  <c r="T94" i="40"/>
  <c r="G29" i="43"/>
  <c r="T23" i="40"/>
  <c r="AA84" i="40"/>
  <c r="N85" i="40"/>
  <c r="F48" i="32"/>
  <c r="I65" i="29"/>
  <c r="AA78" i="43"/>
  <c r="U46" i="39"/>
  <c r="H21" i="47"/>
  <c r="V59" i="39"/>
  <c r="N31" i="39"/>
  <c r="T33" i="43"/>
  <c r="L14" i="39"/>
  <c r="V15" i="43"/>
  <c r="T38" i="39"/>
  <c r="E147" i="27"/>
  <c r="AA22" i="40"/>
  <c r="E90" i="40"/>
  <c r="I50" i="43"/>
  <c r="E59" i="29"/>
  <c r="E94" i="43"/>
  <c r="Y46" i="52"/>
  <c r="E60" i="32"/>
  <c r="AA32" i="50"/>
  <c r="E81" i="32"/>
  <c r="F93" i="39"/>
  <c r="AA18" i="39"/>
  <c r="Y38" i="43"/>
  <c r="I60" i="39"/>
  <c r="BV45" i="29"/>
  <c r="Y72" i="43"/>
  <c r="K159" i="27"/>
  <c r="Z220" i="27"/>
  <c r="S37" i="43"/>
  <c r="H38" i="32"/>
  <c r="U90" i="40"/>
  <c r="T80" i="43"/>
  <c r="BW65" i="29"/>
  <c r="I45" i="39"/>
  <c r="I88" i="43"/>
  <c r="N156" i="27"/>
  <c r="H232" i="27"/>
  <c r="U117" i="32"/>
  <c r="S347" i="44"/>
  <c r="H32" i="32"/>
  <c r="I149" i="27"/>
  <c r="U50" i="32"/>
  <c r="F23" i="39"/>
  <c r="AA74" i="39"/>
  <c r="U60" i="32"/>
  <c r="CC36" i="29"/>
  <c r="E21" i="43"/>
  <c r="BY63" i="29"/>
  <c r="Y94" i="43"/>
  <c r="H87" i="39"/>
  <c r="L8" i="39"/>
  <c r="V69" i="40"/>
  <c r="T10" i="40"/>
  <c r="E133" i="27"/>
  <c r="T85" i="39"/>
  <c r="L347" i="44"/>
  <c r="U108" i="32"/>
  <c r="N152" i="27"/>
  <c r="V99" i="32"/>
  <c r="H67" i="39"/>
  <c r="Y26" i="39"/>
  <c r="U72" i="32"/>
  <c r="I22" i="39"/>
  <c r="Y58" i="32"/>
  <c r="E7" i="32"/>
  <c r="S11" i="43"/>
  <c r="E22" i="32"/>
  <c r="H84" i="32"/>
  <c r="U158" i="27"/>
  <c r="V218" i="27"/>
  <c r="G63" i="29"/>
  <c r="H25" i="32"/>
  <c r="K64" i="25"/>
  <c r="V92" i="43"/>
  <c r="S56" i="40"/>
  <c r="K151" i="27"/>
  <c r="N80" i="43"/>
  <c r="S148" i="27"/>
  <c r="BX37" i="29"/>
  <c r="M63" i="25"/>
  <c r="BV59" i="29"/>
  <c r="V73" i="43"/>
  <c r="V159" i="27"/>
  <c r="L83" i="32"/>
  <c r="L39" i="40"/>
  <c r="AA92" i="39"/>
  <c r="E97" i="43"/>
  <c r="U56" i="43"/>
  <c r="Y153" i="27"/>
  <c r="E55" i="43"/>
  <c r="T54" i="39"/>
  <c r="I86" i="32"/>
  <c r="N98" i="32"/>
  <c r="M8" i="51"/>
  <c r="L20" i="39"/>
  <c r="CB34" i="29"/>
  <c r="F56" i="43"/>
  <c r="BY64" i="29"/>
  <c r="N85" i="32"/>
  <c r="N18" i="32"/>
  <c r="G226" i="27"/>
  <c r="Y6" i="32"/>
  <c r="L91" i="40"/>
  <c r="Y45" i="43"/>
  <c r="H58" i="43"/>
  <c r="V66" i="39"/>
  <c r="Z159" i="27"/>
  <c r="F66" i="39"/>
  <c r="I224" i="27"/>
  <c r="I26" i="39"/>
  <c r="S86" i="43"/>
  <c r="S93" i="43"/>
  <c r="T35" i="32"/>
  <c r="F90" i="32"/>
  <c r="V231" i="27"/>
  <c r="G35" i="29"/>
  <c r="J33" i="29"/>
  <c r="G71" i="40"/>
  <c r="AA66" i="39"/>
  <c r="I91" i="40"/>
  <c r="S5" i="40"/>
  <c r="E80" i="32"/>
  <c r="AA45" i="52"/>
  <c r="V84" i="39"/>
  <c r="V39" i="32"/>
  <c r="G99" i="32"/>
  <c r="T34" i="39"/>
  <c r="CA63" i="29"/>
  <c r="Y13" i="32"/>
  <c r="E55" i="29"/>
  <c r="U155" i="27"/>
  <c r="I45" i="43"/>
  <c r="T95" i="43"/>
  <c r="L106" i="32"/>
  <c r="F69" i="43"/>
  <c r="E27" i="43"/>
  <c r="U55" i="39"/>
  <c r="H54" i="32"/>
  <c r="Y217" i="27"/>
  <c r="V17" i="40"/>
  <c r="N20" i="32"/>
  <c r="E25" i="39"/>
  <c r="K152" i="27"/>
  <c r="G65" i="43"/>
  <c r="E47" i="32"/>
  <c r="E22" i="43"/>
  <c r="S77" i="43"/>
  <c r="G62" i="25"/>
  <c r="I226" i="27"/>
  <c r="I37" i="43"/>
  <c r="U23" i="39"/>
  <c r="L48" i="14"/>
  <c r="Y157" i="27"/>
  <c r="Y19" i="32"/>
  <c r="E43" i="29"/>
  <c r="S54" i="32"/>
  <c r="F36" i="39"/>
  <c r="H49" i="40"/>
  <c r="H7" i="32"/>
  <c r="CB32" i="29"/>
  <c r="E40" i="32"/>
  <c r="U61" i="32"/>
  <c r="F117" i="32"/>
  <c r="E13" i="32"/>
  <c r="Y33" i="40"/>
  <c r="F28" i="40"/>
  <c r="AA93" i="32"/>
  <c r="G54" i="32"/>
  <c r="E149" i="27"/>
  <c r="F55" i="40"/>
  <c r="S155" i="27"/>
  <c r="G10" i="43"/>
  <c r="U74" i="39"/>
  <c r="H65" i="32"/>
  <c r="E35" i="29"/>
  <c r="M53" i="25"/>
  <c r="V68" i="32"/>
  <c r="I220" i="27"/>
  <c r="L73" i="32"/>
  <c r="E35" i="39"/>
  <c r="S70" i="40"/>
  <c r="S79" i="32"/>
  <c r="E5" i="43"/>
  <c r="L10" i="43"/>
  <c r="L224" i="27"/>
  <c r="L84" i="32"/>
  <c r="V68" i="39"/>
  <c r="AA17" i="43"/>
  <c r="T55" i="43"/>
  <c r="V97" i="43"/>
  <c r="J55" i="29"/>
  <c r="F70" i="29"/>
  <c r="K220" i="27"/>
  <c r="H68" i="39"/>
  <c r="W347" i="44"/>
  <c r="E65" i="32"/>
  <c r="T57" i="40"/>
  <c r="S6" i="43"/>
  <c r="Y107" i="32"/>
  <c r="F97" i="39"/>
  <c r="F34" i="32"/>
  <c r="L146" i="27"/>
  <c r="I87" i="39"/>
  <c r="T98" i="39"/>
  <c r="AA95" i="43"/>
  <c r="AA67" i="32"/>
  <c r="V74" i="39"/>
  <c r="T33" i="40"/>
  <c r="V58" i="43"/>
  <c r="U28" i="43"/>
  <c r="H104" i="32"/>
  <c r="I38" i="39"/>
  <c r="N32" i="32"/>
  <c r="U61" i="40"/>
  <c r="N6" i="43"/>
  <c r="G12" i="32"/>
  <c r="M64" i="25"/>
  <c r="AA94" i="43"/>
  <c r="AB148" i="27"/>
  <c r="F43" i="29"/>
  <c r="T107" i="32"/>
  <c r="V94" i="40"/>
  <c r="N80" i="32"/>
  <c r="V230" i="27"/>
  <c r="CD44" i="29"/>
  <c r="V62" i="40"/>
  <c r="N100" i="32"/>
  <c r="F65" i="43"/>
  <c r="N71" i="40"/>
  <c r="AA7" i="32"/>
  <c r="E44" i="29"/>
  <c r="G67" i="32"/>
  <c r="U97" i="43"/>
  <c r="F10" i="40"/>
  <c r="N146" i="27"/>
  <c r="G17" i="43"/>
  <c r="H69" i="40"/>
  <c r="D46" i="29"/>
  <c r="T65" i="32"/>
  <c r="F5" i="40"/>
  <c r="G65" i="32"/>
  <c r="T5" i="40"/>
  <c r="V56" i="40"/>
  <c r="E90" i="32"/>
  <c r="E11" i="43"/>
  <c r="U45" i="43"/>
  <c r="H94" i="40"/>
  <c r="J65" i="29"/>
  <c r="E46" i="39"/>
  <c r="E92" i="39"/>
  <c r="I11" i="40"/>
  <c r="E47" i="39"/>
  <c r="BW61" i="29"/>
  <c r="G25" i="32"/>
  <c r="Y51" i="52"/>
  <c r="K227" i="27"/>
  <c r="AA27" i="39"/>
  <c r="U78" i="40"/>
  <c r="V96" i="43"/>
  <c r="I22" i="43"/>
  <c r="G55" i="29"/>
  <c r="N104" i="32"/>
  <c r="I36" i="39"/>
  <c r="N76" i="40"/>
  <c r="E118" i="32"/>
  <c r="AA80" i="32"/>
  <c r="S146" i="27"/>
  <c r="U37" i="40"/>
  <c r="I54" i="32"/>
  <c r="U84" i="40"/>
  <c r="L223" i="27"/>
  <c r="F40" i="29"/>
  <c r="E37" i="32"/>
  <c r="I46" i="32"/>
  <c r="K69" i="29"/>
  <c r="U55" i="43"/>
  <c r="L26" i="39"/>
  <c r="F33" i="39"/>
  <c r="T60" i="39"/>
  <c r="S152" i="27"/>
  <c r="T18" i="32"/>
  <c r="T16" i="43"/>
  <c r="AA23" i="40"/>
  <c r="AA6" i="39"/>
  <c r="Y82" i="32"/>
  <c r="F85" i="39"/>
  <c r="I77" i="40"/>
  <c r="U74" i="32"/>
  <c r="E6" i="39"/>
  <c r="N67" i="39"/>
  <c r="AA39" i="40"/>
  <c r="G60" i="29"/>
  <c r="I37" i="32"/>
  <c r="T15" i="43"/>
  <c r="AA62" i="40"/>
  <c r="V219" i="27"/>
  <c r="U153" i="27"/>
  <c r="G48" i="39"/>
  <c r="V75" i="32"/>
  <c r="N99" i="32"/>
  <c r="F14" i="39"/>
  <c r="U44" i="40"/>
  <c r="E98" i="39"/>
  <c r="U40" i="43"/>
  <c r="T58" i="32"/>
  <c r="V147" i="27"/>
  <c r="N84" i="39"/>
  <c r="S16" i="43"/>
  <c r="N81" i="43"/>
  <c r="T37" i="40"/>
  <c r="V44" i="43"/>
  <c r="Y69" i="43"/>
  <c r="H63" i="43"/>
  <c r="W231" i="27"/>
  <c r="U85" i="39"/>
  <c r="L22" i="43"/>
  <c r="V13" i="32"/>
  <c r="F37" i="40"/>
  <c r="V349" i="44"/>
  <c r="AA50" i="40"/>
  <c r="Y93" i="43"/>
  <c r="E225" i="27"/>
  <c r="CA60" i="29"/>
  <c r="I19" i="39"/>
  <c r="N94" i="32"/>
  <c r="Y113" i="32"/>
  <c r="G61" i="39"/>
  <c r="I77" i="39"/>
  <c r="T61" i="39"/>
  <c r="AA23" i="39"/>
  <c r="N86" i="39"/>
  <c r="I63" i="29"/>
  <c r="N37" i="43"/>
  <c r="H27" i="32"/>
  <c r="G93" i="32"/>
  <c r="T92" i="43"/>
  <c r="I85" i="39"/>
  <c r="V86" i="40"/>
  <c r="S21" i="32"/>
  <c r="H8" i="32"/>
  <c r="G67" i="39"/>
  <c r="E62" i="25"/>
  <c r="H42" i="32"/>
  <c r="V87" i="43"/>
  <c r="Y154" i="27"/>
  <c r="F19" i="39"/>
  <c r="G64" i="43"/>
  <c r="Y45" i="40"/>
  <c r="H349" i="44"/>
  <c r="H45" i="39"/>
  <c r="K226" i="27"/>
  <c r="Y88" i="39"/>
  <c r="N54" i="39"/>
  <c r="CA32" i="29"/>
  <c r="L107" i="32"/>
  <c r="I37" i="29"/>
  <c r="V158" i="27"/>
  <c r="L69" i="39"/>
  <c r="G16" i="43"/>
  <c r="L39" i="29"/>
  <c r="N66" i="32"/>
  <c r="S35" i="39"/>
  <c r="S50" i="40"/>
  <c r="U147" i="27"/>
  <c r="I34" i="29"/>
  <c r="L34" i="29"/>
  <c r="G143" i="27"/>
  <c r="H55" i="39"/>
  <c r="G156" i="27"/>
  <c r="H46" i="39"/>
  <c r="H52" i="25"/>
  <c r="V37" i="43"/>
  <c r="V98" i="39"/>
  <c r="AA14" i="32"/>
  <c r="F53" i="39"/>
  <c r="I104" i="32"/>
  <c r="H75" i="39"/>
  <c r="Y33" i="32"/>
  <c r="W221" i="27"/>
  <c r="V16" i="43"/>
  <c r="G31" i="29"/>
  <c r="Z152" i="27"/>
  <c r="T66" i="39"/>
  <c r="S52" i="39"/>
  <c r="S53" i="39"/>
  <c r="Y44" i="52"/>
  <c r="V80" i="43"/>
  <c r="H224" i="27"/>
  <c r="U6" i="40"/>
  <c r="L221" i="27"/>
  <c r="Z218" i="27"/>
  <c r="H5" i="43"/>
  <c r="K60" i="25"/>
  <c r="CB66" i="29"/>
  <c r="F86" i="43"/>
  <c r="Y77" i="40"/>
  <c r="Y76" i="40"/>
  <c r="S12" i="32"/>
  <c r="I66" i="39"/>
  <c r="Z232" i="27"/>
  <c r="U39" i="40"/>
  <c r="G49" i="32"/>
  <c r="T118" i="32"/>
  <c r="U84" i="39"/>
  <c r="I96" i="43"/>
  <c r="V90" i="32"/>
  <c r="N91" i="40"/>
  <c r="E95" i="40"/>
  <c r="E51" i="43"/>
  <c r="AA77" i="40"/>
  <c r="F52" i="39"/>
  <c r="AA27" i="40"/>
  <c r="W226" i="27"/>
  <c r="CB44" i="29"/>
  <c r="Y40" i="32"/>
  <c r="I10" i="43"/>
  <c r="H147" i="27"/>
  <c r="H38" i="40"/>
  <c r="Y78" i="40"/>
  <c r="BW32" i="29"/>
  <c r="BY41" i="29"/>
  <c r="H151" i="27"/>
  <c r="AA37" i="40"/>
  <c r="J41" i="29"/>
  <c r="W349" i="44"/>
  <c r="F55" i="29"/>
  <c r="E37" i="39"/>
  <c r="S82" i="32"/>
  <c r="H107" i="32"/>
  <c r="H92" i="40"/>
  <c r="G84" i="40"/>
  <c r="G31" i="39"/>
  <c r="S81" i="43"/>
  <c r="U12" i="32"/>
  <c r="E17" i="40"/>
  <c r="F39" i="43"/>
  <c r="N158" i="27"/>
  <c r="S33" i="40"/>
  <c r="N16" i="40"/>
  <c r="N77" i="43"/>
  <c r="L15" i="40"/>
  <c r="CC63" i="29"/>
  <c r="BV46" i="29"/>
  <c r="G5" i="43"/>
  <c r="Z230" i="27"/>
  <c r="U69" i="43"/>
  <c r="V232" i="27"/>
  <c r="AB232" i="27"/>
  <c r="H231" i="27"/>
  <c r="L51" i="43"/>
  <c r="D20" i="47"/>
  <c r="S14" i="39"/>
  <c r="H5" i="39"/>
  <c r="N50" i="40"/>
  <c r="BX33" i="29"/>
  <c r="E27" i="39"/>
  <c r="U49" i="40"/>
  <c r="I33" i="29"/>
  <c r="BW68" i="29"/>
  <c r="S150" i="27"/>
  <c r="E15" i="43"/>
  <c r="I34" i="32"/>
  <c r="N13" i="32"/>
  <c r="G36" i="39"/>
  <c r="I40" i="43"/>
  <c r="L85" i="32"/>
  <c r="K44" i="29"/>
  <c r="CC42" i="29"/>
  <c r="Y52" i="39"/>
  <c r="I16" i="40"/>
  <c r="Y218" i="27"/>
  <c r="N78" i="40"/>
  <c r="S88" i="39"/>
  <c r="U25" i="39"/>
  <c r="CB60" i="29"/>
  <c r="M6" i="51"/>
  <c r="AA52" i="39"/>
  <c r="N65" i="43"/>
  <c r="G63" i="40"/>
  <c r="S22" i="32"/>
  <c r="S23" i="32"/>
  <c r="Y48" i="32"/>
  <c r="V23" i="32"/>
  <c r="U349" i="44"/>
  <c r="U105" i="32"/>
  <c r="U26" i="39"/>
  <c r="K53" i="52"/>
  <c r="V83" i="32"/>
  <c r="N42" i="32"/>
  <c r="H21" i="32"/>
  <c r="T64" i="43"/>
  <c r="Y42" i="32"/>
  <c r="N45" i="40"/>
  <c r="U58" i="32"/>
  <c r="W154" i="27"/>
  <c r="V71" i="43"/>
  <c r="T47" i="39"/>
  <c r="L99" i="32"/>
  <c r="V154" i="27"/>
  <c r="AA19" i="39"/>
  <c r="G13" i="32"/>
  <c r="T6" i="43"/>
  <c r="K156" i="27"/>
  <c r="I19" i="32"/>
  <c r="V12" i="32"/>
  <c r="V79" i="32"/>
  <c r="S34" i="39"/>
  <c r="H45" i="40"/>
  <c r="I59" i="32"/>
  <c r="U13" i="39"/>
  <c r="H71" i="43"/>
  <c r="E37" i="40"/>
  <c r="AA18" i="32"/>
  <c r="G52" i="39"/>
  <c r="L50" i="40"/>
  <c r="AA66" i="32"/>
  <c r="BY65" i="29"/>
  <c r="E68" i="39"/>
  <c r="F84" i="32"/>
  <c r="E144" i="27"/>
  <c r="I61" i="25"/>
  <c r="S231" i="27"/>
  <c r="U23" i="40"/>
  <c r="Y21" i="39"/>
  <c r="I86" i="39"/>
  <c r="N68" i="40"/>
  <c r="AA31" i="39"/>
  <c r="H33" i="39"/>
  <c r="Y226" i="27"/>
  <c r="E74" i="39"/>
  <c r="U47" i="39"/>
  <c r="L16" i="40"/>
  <c r="I77" i="43"/>
  <c r="E55" i="40"/>
  <c r="L62" i="39"/>
  <c r="U107" i="32"/>
  <c r="G93" i="39"/>
  <c r="H72" i="40"/>
  <c r="S21" i="39"/>
  <c r="BW36" i="29"/>
  <c r="L62" i="43"/>
  <c r="F92" i="40"/>
  <c r="H5" i="32"/>
  <c r="V151" i="27"/>
  <c r="U24" i="32"/>
  <c r="T92" i="32"/>
  <c r="H80" i="39"/>
  <c r="F12" i="32"/>
  <c r="T39" i="43"/>
  <c r="V21" i="39"/>
  <c r="AB158" i="27"/>
  <c r="L35" i="39"/>
  <c r="G22" i="40"/>
  <c r="S15" i="43"/>
  <c r="V88" i="43"/>
  <c r="F47" i="32"/>
  <c r="I23" i="32"/>
  <c r="M61" i="25"/>
  <c r="L150" i="27"/>
  <c r="E45" i="43"/>
  <c r="T68" i="32"/>
  <c r="T94" i="32"/>
  <c r="I37" i="40"/>
  <c r="N94" i="43"/>
  <c r="Y104" i="32"/>
  <c r="U85" i="43"/>
  <c r="G108" i="32"/>
  <c r="T42" i="32"/>
  <c r="L68" i="39"/>
  <c r="AA64" i="43"/>
  <c r="AA86" i="40"/>
  <c r="F15" i="40"/>
  <c r="L95" i="43"/>
  <c r="S91" i="32"/>
  <c r="I95" i="40"/>
  <c r="E85" i="32"/>
  <c r="AA39" i="43"/>
  <c r="AE6" i="51"/>
  <c r="Y86" i="43"/>
  <c r="L17" i="40"/>
  <c r="U217" i="27"/>
  <c r="V82" i="32"/>
  <c r="N34" i="39"/>
  <c r="H58" i="32"/>
  <c r="AA92" i="32"/>
  <c r="D56" i="29"/>
  <c r="S6" i="39"/>
  <c r="E10" i="43"/>
  <c r="T79" i="39"/>
  <c r="M9" i="51"/>
  <c r="Y106" i="32"/>
  <c r="AB146" i="27"/>
  <c r="AC349" i="44"/>
  <c r="I53" i="39"/>
  <c r="E84" i="39"/>
  <c r="U46" i="32"/>
  <c r="H24" i="39"/>
  <c r="E23" i="32"/>
  <c r="T83" i="40"/>
  <c r="I51" i="25"/>
  <c r="L97" i="43"/>
  <c r="F74" i="39"/>
  <c r="S61" i="32"/>
  <c r="S233" i="27"/>
  <c r="I74" i="39"/>
  <c r="F88" i="43"/>
  <c r="E80" i="43"/>
  <c r="H108" i="32"/>
  <c r="AA16" i="43"/>
  <c r="S230" i="27"/>
  <c r="AA65" i="32"/>
  <c r="Y22" i="39"/>
  <c r="V86" i="43"/>
  <c r="AA88" i="43"/>
  <c r="I42" i="32"/>
  <c r="AA90" i="40"/>
  <c r="F45" i="29"/>
  <c r="H103" i="39"/>
  <c r="Y55" i="40"/>
  <c r="BY58" i="29"/>
  <c r="H39" i="39"/>
  <c r="G40" i="43"/>
  <c r="H17" i="43"/>
  <c r="U48" i="32"/>
  <c r="U94" i="32"/>
  <c r="AA33" i="39"/>
  <c r="U79" i="43"/>
  <c r="AA92" i="40"/>
  <c r="U45" i="40"/>
  <c r="F17" i="43"/>
  <c r="I23" i="39"/>
  <c r="F45" i="40"/>
  <c r="V38" i="43"/>
  <c r="F39" i="40"/>
  <c r="G146" i="27"/>
  <c r="I38" i="29"/>
  <c r="L69" i="43"/>
  <c r="L67" i="32"/>
  <c r="AA117" i="32"/>
  <c r="F41" i="32"/>
  <c r="H57" i="40"/>
  <c r="L37" i="32"/>
  <c r="BV65" i="29"/>
  <c r="D65" i="29"/>
  <c r="W157" i="27"/>
  <c r="V80" i="32"/>
  <c r="S68" i="32"/>
  <c r="Y93" i="32"/>
  <c r="AA25" i="32"/>
  <c r="L49" i="43"/>
  <c r="Y39" i="32"/>
  <c r="CB37" i="29"/>
  <c r="E71" i="40"/>
  <c r="E21" i="39"/>
  <c r="F46" i="29"/>
  <c r="AA68" i="40"/>
  <c r="U5" i="40"/>
  <c r="Y8" i="32"/>
  <c r="CC69" i="29"/>
  <c r="U6" i="43"/>
  <c r="H84" i="40"/>
  <c r="L33" i="43"/>
  <c r="I47" i="39"/>
  <c r="K41" i="29"/>
  <c r="W144" i="27"/>
  <c r="G70" i="40"/>
  <c r="G20" i="32"/>
  <c r="H32" i="39"/>
  <c r="H23" i="43"/>
  <c r="H11" i="43"/>
  <c r="Y29" i="40"/>
  <c r="H37" i="43"/>
  <c r="F86" i="39"/>
  <c r="S73" i="39"/>
  <c r="G82" i="32"/>
  <c r="CB42" i="29"/>
  <c r="D60" i="29"/>
  <c r="L62" i="40"/>
  <c r="U38" i="40"/>
  <c r="AA48" i="52"/>
  <c r="H76" i="40"/>
  <c r="U38" i="43"/>
  <c r="G28" i="32"/>
  <c r="U37" i="32"/>
  <c r="L37" i="43"/>
  <c r="E31" i="39"/>
  <c r="U11" i="40"/>
  <c r="L80" i="43"/>
  <c r="U39" i="39"/>
  <c r="H74" i="39"/>
  <c r="AB156" i="27"/>
  <c r="L38" i="29"/>
  <c r="S217" i="27"/>
  <c r="K61" i="29"/>
  <c r="F61" i="29"/>
  <c r="E91" i="40"/>
  <c r="Z154" i="27"/>
  <c r="U34" i="32"/>
  <c r="S220" i="27"/>
  <c r="L72" i="32"/>
  <c r="V71" i="40"/>
  <c r="V83" i="40"/>
  <c r="I42" i="29"/>
  <c r="BX40" i="29"/>
  <c r="U38" i="32"/>
  <c r="V7" i="39"/>
  <c r="Y61" i="40"/>
  <c r="E59" i="39"/>
  <c r="H61" i="39"/>
  <c r="I49" i="43"/>
  <c r="U66" i="39"/>
  <c r="H94" i="43"/>
  <c r="V54" i="40"/>
  <c r="F54" i="32"/>
  <c r="AB144" i="27"/>
  <c r="N153" i="27"/>
  <c r="U91" i="40"/>
  <c r="BX43" i="29"/>
  <c r="L6" i="32"/>
  <c r="L85" i="39"/>
  <c r="L32" i="50"/>
  <c r="E92" i="43"/>
  <c r="BW55" i="29"/>
  <c r="U34" i="39"/>
  <c r="W218" i="27"/>
  <c r="U44" i="43"/>
  <c r="L73" i="43"/>
  <c r="E5" i="40"/>
  <c r="D349" i="44"/>
  <c r="U83" i="32"/>
  <c r="E113" i="32"/>
  <c r="Y75" i="39"/>
  <c r="Y62" i="40"/>
  <c r="K57" i="29"/>
  <c r="V39" i="40"/>
  <c r="V41" i="32"/>
  <c r="H36" i="39"/>
  <c r="E105" i="32"/>
  <c r="L6" i="43"/>
  <c r="N50" i="43"/>
  <c r="G33" i="39"/>
  <c r="U82" i="32"/>
  <c r="V108" i="32"/>
  <c r="N76" i="39"/>
  <c r="S105" i="32"/>
  <c r="H90" i="32"/>
  <c r="V78" i="40"/>
  <c r="H18" i="39"/>
  <c r="Z150" i="27"/>
  <c r="I108" i="32"/>
  <c r="V14" i="32"/>
  <c r="F55" i="39"/>
  <c r="S118" i="32"/>
  <c r="U149" i="27"/>
  <c r="V86" i="32"/>
  <c r="U113" i="32"/>
  <c r="I219" i="27"/>
  <c r="F58" i="29"/>
  <c r="Y85" i="32"/>
  <c r="E32" i="29"/>
  <c r="L32" i="39"/>
  <c r="F68" i="40"/>
  <c r="U18" i="39"/>
  <c r="I18" i="32"/>
  <c r="E36" i="32"/>
  <c r="L71" i="43"/>
  <c r="O52" i="25"/>
  <c r="CB57" i="29"/>
  <c r="V81" i="32"/>
  <c r="S17" i="43"/>
  <c r="I117" i="32"/>
  <c r="I69" i="43"/>
  <c r="S40" i="32"/>
  <c r="U17" i="43"/>
  <c r="G85" i="39"/>
  <c r="I6" i="40"/>
  <c r="L14" i="32"/>
  <c r="U55" i="40"/>
  <c r="U145" i="27"/>
  <c r="H20" i="39"/>
  <c r="S157" i="27"/>
  <c r="F37" i="32"/>
  <c r="H16" i="43"/>
  <c r="E70" i="29"/>
  <c r="G33" i="40"/>
  <c r="L55" i="39"/>
  <c r="H72" i="43"/>
  <c r="S227" i="27"/>
  <c r="Y94" i="32"/>
  <c r="H38" i="39"/>
  <c r="Y84" i="39"/>
  <c r="S92" i="39"/>
  <c r="E92" i="40"/>
  <c r="Y32" i="32"/>
  <c r="E18" i="32"/>
  <c r="Y57" i="43"/>
  <c r="F80" i="32"/>
  <c r="V23" i="39"/>
  <c r="L93" i="40"/>
  <c r="I62" i="29"/>
  <c r="F93" i="40"/>
  <c r="G88" i="43"/>
  <c r="N21" i="40"/>
  <c r="K153" i="27"/>
  <c r="L217" i="27"/>
  <c r="G149" i="27"/>
  <c r="CD31" i="29"/>
  <c r="AA50" i="32"/>
  <c r="N49" i="32"/>
  <c r="N112" i="32"/>
  <c r="S80" i="32"/>
  <c r="CC66" i="29"/>
  <c r="G40" i="29"/>
  <c r="H66" i="39"/>
  <c r="U154" i="27"/>
  <c r="F23" i="43"/>
  <c r="F72" i="32"/>
  <c r="CC55" i="29"/>
  <c r="K68" i="29"/>
  <c r="X48" i="14"/>
  <c r="Y24" i="39"/>
  <c r="N92" i="39"/>
  <c r="H78" i="43"/>
  <c r="S60" i="32"/>
  <c r="V22" i="40"/>
  <c r="Z157" i="27"/>
  <c r="M51" i="25"/>
  <c r="S76" i="39"/>
  <c r="S67" i="39"/>
  <c r="BV35" i="29"/>
  <c r="Y221" i="27"/>
  <c r="U56" i="40"/>
  <c r="Y219" i="27"/>
  <c r="F95" i="40"/>
  <c r="S14" i="32"/>
  <c r="G147" i="27"/>
  <c r="V60" i="32"/>
  <c r="S49" i="40"/>
  <c r="K61" i="25"/>
  <c r="S108" i="32"/>
  <c r="H44" i="39"/>
  <c r="G91" i="32"/>
  <c r="G117" i="32"/>
  <c r="AA54" i="39"/>
  <c r="S103" i="39"/>
  <c r="V85" i="40"/>
  <c r="N5" i="32"/>
  <c r="T58" i="43"/>
  <c r="V52" i="39"/>
  <c r="N82" i="32"/>
  <c r="N83" i="40"/>
  <c r="S25" i="32"/>
  <c r="I32" i="29"/>
  <c r="V28" i="43"/>
  <c r="U73" i="39"/>
  <c r="I5" i="39"/>
  <c r="U59" i="32"/>
  <c r="Y38" i="40"/>
  <c r="F5" i="43"/>
  <c r="G66" i="39"/>
  <c r="Z221" i="27"/>
  <c r="T52" i="39"/>
  <c r="S27" i="39"/>
  <c r="H95" i="43"/>
  <c r="T37" i="43"/>
  <c r="E98" i="32"/>
  <c r="G75" i="32"/>
  <c r="S12" i="39"/>
  <c r="AA12" i="39"/>
  <c r="F91" i="40"/>
  <c r="V57" i="43"/>
  <c r="G39" i="40"/>
  <c r="T63" i="40"/>
  <c r="S70" i="43"/>
  <c r="Y37" i="32"/>
  <c r="AB48" i="14"/>
  <c r="Y67" i="39"/>
  <c r="N69" i="40"/>
  <c r="U68" i="39"/>
  <c r="T74" i="32"/>
  <c r="V91" i="40"/>
  <c r="Y17" i="43"/>
  <c r="V66" i="32"/>
  <c r="BX46" i="29"/>
  <c r="H77" i="43"/>
  <c r="N39" i="40"/>
  <c r="G58" i="29"/>
  <c r="S50" i="43"/>
  <c r="E73" i="39"/>
  <c r="S55" i="43"/>
  <c r="G41" i="32"/>
  <c r="Y65" i="32"/>
  <c r="G37" i="32"/>
  <c r="L64" i="40"/>
  <c r="F66" i="32"/>
  <c r="N13" i="39"/>
  <c r="F36" i="29"/>
  <c r="AA76" i="39"/>
  <c r="AC36" i="50"/>
  <c r="F48" i="39"/>
  <c r="E63" i="40"/>
  <c r="T16" i="40"/>
  <c r="F78" i="40"/>
  <c r="F54" i="40"/>
  <c r="F62" i="43"/>
  <c r="U7" i="39"/>
  <c r="L17" i="43"/>
  <c r="G55" i="40"/>
  <c r="S39" i="39"/>
  <c r="T79" i="43"/>
  <c r="G14" i="32"/>
  <c r="T6" i="40"/>
  <c r="V65" i="43"/>
  <c r="V79" i="39"/>
  <c r="V29" i="40"/>
  <c r="S112" i="32"/>
  <c r="V57" i="40"/>
  <c r="H22" i="32"/>
  <c r="CA35" i="29"/>
  <c r="U223" i="27"/>
  <c r="Y26" i="32"/>
  <c r="H34" i="32"/>
  <c r="F7" i="39"/>
  <c r="L40" i="39"/>
  <c r="U78" i="43"/>
  <c r="N73" i="43"/>
  <c r="H17" i="40"/>
  <c r="H24" i="32"/>
  <c r="T78" i="40"/>
  <c r="T92" i="40"/>
  <c r="O51" i="25"/>
  <c r="Y70" i="40"/>
  <c r="U39" i="32"/>
  <c r="H39" i="43"/>
  <c r="I58" i="43"/>
  <c r="U151" i="27"/>
  <c r="Z151" i="27"/>
  <c r="S156" i="27"/>
  <c r="H219" i="27"/>
  <c r="S73" i="43"/>
  <c r="L25" i="32"/>
  <c r="H79" i="32"/>
  <c r="N45" i="43"/>
  <c r="I78" i="43"/>
  <c r="S74" i="32"/>
  <c r="T39" i="39"/>
  <c r="S62" i="43"/>
  <c r="Y80" i="32"/>
  <c r="Z143" i="27"/>
  <c r="S64" i="43"/>
  <c r="S92" i="32"/>
  <c r="F79" i="39"/>
  <c r="F35" i="32"/>
  <c r="V32" i="39"/>
  <c r="L54" i="40"/>
  <c r="U69" i="40"/>
  <c r="I94" i="40"/>
  <c r="N27" i="40"/>
  <c r="T88" i="39"/>
  <c r="N49" i="40"/>
  <c r="I44" i="29"/>
  <c r="U14" i="39"/>
  <c r="G79" i="39"/>
  <c r="N53" i="39"/>
  <c r="G40" i="40"/>
  <c r="F81" i="43"/>
  <c r="F73" i="39"/>
  <c r="U70" i="40"/>
  <c r="N70" i="43"/>
  <c r="I145" i="27"/>
  <c r="BX32" i="29"/>
  <c r="I17" i="40"/>
  <c r="O60" i="25"/>
  <c r="S23" i="39"/>
  <c r="G33" i="32"/>
  <c r="U85" i="32"/>
  <c r="S38" i="32"/>
  <c r="T22" i="43"/>
  <c r="N91" i="32"/>
  <c r="G85" i="40"/>
  <c r="Y150" i="27"/>
  <c r="L67" i="39"/>
  <c r="BX64" i="29"/>
  <c r="AB230" i="27"/>
  <c r="I55" i="39"/>
  <c r="V26" i="32"/>
  <c r="F39" i="29"/>
  <c r="I27" i="43"/>
  <c r="G77" i="39"/>
  <c r="N151" i="27"/>
  <c r="N35" i="32"/>
  <c r="T93" i="39"/>
  <c r="F84" i="39"/>
  <c r="L117" i="32"/>
  <c r="N33" i="50"/>
  <c r="E78" i="43"/>
  <c r="F72" i="40"/>
  <c r="I69" i="40"/>
  <c r="T59" i="39"/>
  <c r="L37" i="39"/>
  <c r="Y232" i="27"/>
  <c r="E134" i="27"/>
  <c r="F47" i="39"/>
  <c r="AA74" i="32"/>
  <c r="E87" i="39"/>
  <c r="N349" i="44"/>
  <c r="T88" i="43"/>
  <c r="E62" i="39"/>
  <c r="I107" i="32"/>
  <c r="AC32" i="50"/>
  <c r="N11" i="43"/>
  <c r="BX58" i="29"/>
  <c r="T22" i="40"/>
  <c r="G80" i="32"/>
  <c r="E39" i="43"/>
  <c r="V55" i="40"/>
  <c r="V27" i="43"/>
  <c r="E49" i="40"/>
  <c r="G57" i="40"/>
  <c r="BV58" i="29"/>
  <c r="I75" i="39"/>
  <c r="E63" i="43"/>
  <c r="I156" i="27"/>
  <c r="D59" i="29"/>
  <c r="U118" i="32"/>
  <c r="BV55" i="29"/>
  <c r="S8" i="32"/>
  <c r="I13" i="39"/>
  <c r="Y5" i="32"/>
  <c r="J32" i="29"/>
  <c r="N46" i="32"/>
  <c r="F40" i="43"/>
  <c r="E84" i="40"/>
  <c r="AA79" i="43"/>
  <c r="V51" i="43"/>
  <c r="H49" i="43"/>
  <c r="T93" i="32"/>
  <c r="Y39" i="39"/>
  <c r="H18" i="32"/>
  <c r="U157" i="27"/>
  <c r="U88" i="43"/>
  <c r="E33" i="40"/>
  <c r="H37" i="32"/>
  <c r="G39" i="43"/>
  <c r="G88" i="39"/>
  <c r="G48" i="14"/>
  <c r="I62" i="25"/>
  <c r="BY59" i="29"/>
  <c r="H21" i="39"/>
  <c r="S56" i="43"/>
  <c r="I146" i="27"/>
  <c r="V62" i="39"/>
  <c r="E14" i="39"/>
  <c r="W146" i="27"/>
  <c r="U81" i="32"/>
  <c r="F37" i="29"/>
  <c r="V5" i="40"/>
  <c r="I113" i="32"/>
  <c r="Y98" i="32"/>
  <c r="F22" i="39"/>
  <c r="AA5" i="39"/>
  <c r="G230" i="27"/>
  <c r="L79" i="32"/>
  <c r="E5" i="32"/>
  <c r="L56" i="43"/>
  <c r="G218" i="27"/>
  <c r="AA33" i="32"/>
  <c r="H75" i="32"/>
  <c r="V15" i="40"/>
  <c r="Y55" i="43"/>
  <c r="F63" i="29"/>
  <c r="K149" i="27"/>
  <c r="I29" i="43"/>
  <c r="L80" i="32"/>
  <c r="H49" i="32"/>
  <c r="J61" i="29"/>
  <c r="N86" i="40"/>
  <c r="F73" i="32"/>
  <c r="I153" i="27"/>
  <c r="N17" i="43"/>
  <c r="N61" i="40"/>
  <c r="G103" i="39"/>
  <c r="I27" i="39"/>
  <c r="CA69" i="29"/>
  <c r="U72" i="43"/>
  <c r="F70" i="40"/>
  <c r="F349" i="44"/>
  <c r="E154" i="27"/>
  <c r="S63" i="40"/>
  <c r="E58" i="43"/>
  <c r="Y33" i="39"/>
  <c r="U33" i="43"/>
  <c r="E85" i="40"/>
  <c r="L52" i="39"/>
  <c r="S86" i="32"/>
  <c r="N29" i="43"/>
  <c r="H6" i="32"/>
  <c r="Y99" i="32"/>
  <c r="V348" i="44"/>
  <c r="H65" i="43"/>
  <c r="G59" i="39"/>
  <c r="E221" i="27"/>
  <c r="L7" i="39"/>
  <c r="V26" i="39"/>
  <c r="G93" i="43"/>
  <c r="M49" i="52"/>
  <c r="E48" i="39"/>
  <c r="Y5" i="40"/>
  <c r="Y40" i="43"/>
  <c r="Y97" i="39"/>
  <c r="Y69" i="40"/>
  <c r="S226" i="27"/>
  <c r="V24" i="32"/>
  <c r="V40" i="40"/>
  <c r="G64" i="29"/>
  <c r="L78" i="43"/>
  <c r="U22" i="40"/>
  <c r="I10" i="40"/>
  <c r="V226" i="27"/>
  <c r="I84" i="40"/>
  <c r="N55" i="43"/>
  <c r="Y5" i="43"/>
  <c r="U39" i="43"/>
  <c r="U79" i="32"/>
  <c r="L24" i="32"/>
  <c r="U94" i="40"/>
  <c r="AB221" i="27"/>
  <c r="E18" i="39"/>
  <c r="U96" i="43"/>
  <c r="H72" i="32"/>
  <c r="F60" i="29"/>
  <c r="AA98" i="32"/>
  <c r="G50" i="32"/>
  <c r="L5" i="39"/>
  <c r="F44" i="39"/>
  <c r="V49" i="43"/>
  <c r="Y46" i="39"/>
  <c r="G151" i="27"/>
  <c r="E33" i="39"/>
  <c r="U45" i="39"/>
  <c r="G22" i="43"/>
  <c r="E61" i="29"/>
  <c r="S78" i="39"/>
  <c r="F54" i="39"/>
  <c r="V44" i="40"/>
  <c r="F33" i="32"/>
  <c r="V85" i="32"/>
  <c r="T92" i="39"/>
  <c r="J39" i="29"/>
  <c r="N84" i="40"/>
  <c r="H54" i="25"/>
  <c r="CA61" i="29"/>
  <c r="L35" i="32"/>
  <c r="AA6" i="32"/>
  <c r="T25" i="39"/>
  <c r="Y158" i="27"/>
  <c r="N64" i="40"/>
  <c r="N77" i="40"/>
  <c r="V77" i="39"/>
  <c r="V22" i="39"/>
  <c r="AA118" i="32"/>
  <c r="S85" i="43"/>
  <c r="G72" i="43"/>
  <c r="AA81" i="32"/>
  <c r="Y70" i="43"/>
  <c r="BW62" i="29"/>
  <c r="Y79" i="43"/>
  <c r="I62" i="43"/>
  <c r="L57" i="40"/>
  <c r="M60" i="25"/>
  <c r="H50" i="40"/>
  <c r="E46" i="32"/>
  <c r="E12" i="32"/>
  <c r="T51" i="43"/>
  <c r="E24" i="39"/>
  <c r="I83" i="40"/>
  <c r="E83" i="32"/>
  <c r="E22" i="39"/>
  <c r="H27" i="40"/>
  <c r="AA20" i="39"/>
  <c r="U11" i="43"/>
  <c r="E222" i="27"/>
  <c r="CA68" i="29"/>
  <c r="G69" i="40"/>
  <c r="G28" i="43"/>
  <c r="Y28" i="40"/>
  <c r="AA49" i="32"/>
  <c r="G21" i="39"/>
  <c r="S106" i="32"/>
  <c r="M44" i="52"/>
  <c r="Y147" i="27"/>
  <c r="CB63" i="29"/>
  <c r="Y44" i="40"/>
  <c r="S55" i="39"/>
  <c r="S45" i="43"/>
  <c r="F59" i="32"/>
  <c r="L61" i="39"/>
  <c r="L21" i="43"/>
  <c r="G159" i="27"/>
  <c r="G220" i="27"/>
  <c r="V37" i="40"/>
  <c r="V74" i="32"/>
  <c r="Y105" i="32"/>
  <c r="H73" i="39"/>
  <c r="D42" i="29"/>
  <c r="AA91" i="40"/>
  <c r="I6" i="32"/>
  <c r="AA72" i="43"/>
  <c r="H217" i="27"/>
  <c r="U64" i="43"/>
  <c r="S38" i="43"/>
  <c r="CC39" i="29"/>
  <c r="F27" i="32"/>
  <c r="H6" i="40"/>
  <c r="G62" i="40"/>
  <c r="BY33" i="29"/>
  <c r="V18" i="39"/>
  <c r="L55" i="40"/>
  <c r="N221" i="27"/>
  <c r="I58" i="29"/>
  <c r="V72" i="43"/>
  <c r="Y32" i="39"/>
  <c r="E6" i="43"/>
  <c r="H85" i="32"/>
  <c r="S95" i="43"/>
  <c r="E108" i="32"/>
  <c r="K48" i="52"/>
  <c r="V34" i="32"/>
  <c r="G158" i="27"/>
  <c r="V35" i="39"/>
  <c r="Z149" i="27"/>
  <c r="G73" i="39"/>
  <c r="F21" i="43"/>
  <c r="F26" i="39"/>
  <c r="U57" i="43"/>
  <c r="F100" i="32"/>
  <c r="N85" i="39"/>
  <c r="N63" i="40"/>
  <c r="Y27" i="39"/>
  <c r="L92" i="32"/>
  <c r="S16" i="40"/>
  <c r="G148" i="27"/>
  <c r="L98" i="32"/>
  <c r="N117" i="32"/>
  <c r="AA97" i="43"/>
  <c r="AA16" i="40"/>
  <c r="U5" i="39"/>
  <c r="BV63" i="29"/>
  <c r="E34" i="39"/>
  <c r="L69" i="40"/>
  <c r="BY32" i="29"/>
  <c r="L31" i="29"/>
  <c r="AA60" i="39"/>
  <c r="K33" i="29"/>
  <c r="H93" i="39"/>
  <c r="E76" i="39"/>
  <c r="E50" i="43"/>
  <c r="AA87" i="39"/>
  <c r="N147" i="27"/>
  <c r="AA75" i="39"/>
  <c r="G84" i="39"/>
  <c r="Y90" i="40"/>
  <c r="AB223" i="27"/>
  <c r="Z158" i="27"/>
  <c r="N93" i="32"/>
  <c r="F81" i="32"/>
  <c r="I40" i="39"/>
  <c r="F94" i="43"/>
  <c r="G36" i="29"/>
  <c r="I62" i="40"/>
  <c r="V78" i="43"/>
  <c r="I144" i="27"/>
  <c r="BY39" i="29"/>
  <c r="Y33" i="43"/>
  <c r="H54" i="39"/>
  <c r="T67" i="32"/>
  <c r="G46" i="32"/>
  <c r="F18" i="39"/>
  <c r="BV69" i="29"/>
  <c r="K147" i="27"/>
  <c r="S5" i="39"/>
  <c r="I48" i="39"/>
  <c r="D62" i="29"/>
  <c r="BW63" i="29"/>
  <c r="L220" i="27"/>
  <c r="I50" i="40"/>
  <c r="AA47" i="32"/>
  <c r="U87" i="43"/>
  <c r="L21" i="39"/>
  <c r="U65" i="32"/>
  <c r="F6" i="39"/>
  <c r="AA71" i="40"/>
  <c r="CC35" i="29"/>
  <c r="L13" i="32"/>
  <c r="N10" i="40"/>
  <c r="AA71" i="43"/>
  <c r="S78" i="43"/>
  <c r="E106" i="32"/>
  <c r="U62" i="40"/>
  <c r="E39" i="39"/>
  <c r="Y78" i="39"/>
  <c r="E156" i="27"/>
  <c r="T27" i="39"/>
  <c r="BW44" i="29"/>
  <c r="E69" i="29"/>
  <c r="AA42" i="32"/>
  <c r="F84" i="40"/>
  <c r="G77" i="43"/>
  <c r="E55" i="39"/>
  <c r="L25" i="39"/>
  <c r="U227" i="27"/>
  <c r="AA54" i="32"/>
  <c r="F6" i="40"/>
  <c r="V112" i="32"/>
  <c r="I64" i="40"/>
  <c r="I35" i="32"/>
  <c r="V36" i="32"/>
  <c r="N90" i="40"/>
  <c r="S24" i="39"/>
  <c r="G49" i="40"/>
  <c r="I55" i="40"/>
  <c r="L23" i="32"/>
  <c r="BY34" i="29"/>
  <c r="E53" i="25"/>
  <c r="T12" i="32"/>
  <c r="Y155" i="27"/>
  <c r="T23" i="32"/>
  <c r="AA44" i="43"/>
  <c r="U67" i="32"/>
  <c r="W223" i="27"/>
  <c r="H7" i="39"/>
  <c r="V33" i="32"/>
  <c r="V70" i="43"/>
  <c r="F85" i="43"/>
  <c r="S72" i="40"/>
  <c r="E20" i="32"/>
  <c r="AA348" i="44"/>
  <c r="T50" i="43"/>
  <c r="T21" i="32"/>
  <c r="S86" i="39"/>
  <c r="E61" i="25"/>
  <c r="L159" i="27"/>
  <c r="T75" i="32"/>
  <c r="F14" i="32"/>
  <c r="D64" i="29"/>
  <c r="I92" i="40"/>
  <c r="BY36" i="29"/>
  <c r="Y62" i="39"/>
  <c r="E69" i="43"/>
  <c r="T63" i="43"/>
  <c r="L33" i="50"/>
  <c r="H227" i="27"/>
  <c r="E148" i="27"/>
  <c r="H56" i="40"/>
  <c r="E56" i="29"/>
  <c r="Y48" i="39"/>
  <c r="H39" i="40"/>
  <c r="I52" i="25"/>
  <c r="L80" i="39"/>
  <c r="U31" i="39"/>
  <c r="AA38" i="40"/>
  <c r="U93" i="39"/>
  <c r="CC59" i="29"/>
  <c r="N88" i="43"/>
  <c r="N144" i="27"/>
  <c r="H50" i="43"/>
  <c r="H63" i="25"/>
  <c r="H23" i="40"/>
  <c r="V156" i="27"/>
  <c r="L93" i="39"/>
  <c r="F87" i="43"/>
  <c r="K55" i="29"/>
  <c r="H16" i="40"/>
  <c r="L64" i="43"/>
  <c r="I223" i="27"/>
  <c r="I74" i="32"/>
  <c r="N36" i="39"/>
  <c r="U225" i="27"/>
  <c r="V55" i="43"/>
  <c r="I48" i="32"/>
  <c r="V39" i="39"/>
  <c r="AA79" i="40"/>
  <c r="I103" i="39"/>
  <c r="L40" i="43"/>
  <c r="L86" i="39"/>
  <c r="T39" i="32"/>
  <c r="N87" i="39"/>
  <c r="H73" i="32"/>
  <c r="I67" i="39"/>
  <c r="BY61" i="29"/>
  <c r="U32" i="32"/>
  <c r="E60" i="39"/>
  <c r="F16" i="43"/>
  <c r="E37" i="29"/>
  <c r="AA81" i="43"/>
  <c r="CA41" i="29"/>
  <c r="V54" i="39"/>
  <c r="E77" i="43"/>
  <c r="E44" i="39"/>
  <c r="I33" i="32"/>
  <c r="Y71" i="40"/>
  <c r="K65" i="29"/>
  <c r="G78" i="43"/>
  <c r="U73" i="32"/>
  <c r="L74" i="39"/>
  <c r="F11" i="43"/>
  <c r="L145" i="27"/>
  <c r="U98" i="32"/>
  <c r="L70" i="40"/>
  <c r="L90" i="40"/>
  <c r="I32" i="39"/>
  <c r="G23" i="43"/>
  <c r="AE7" i="51"/>
  <c r="G26" i="32"/>
  <c r="S26" i="32"/>
  <c r="G5" i="40"/>
  <c r="F18" i="32"/>
  <c r="V17" i="43"/>
  <c r="AA69" i="43"/>
  <c r="V31" i="39"/>
  <c r="E35" i="32"/>
  <c r="E23" i="40"/>
  <c r="E51" i="25"/>
  <c r="F6" i="43"/>
  <c r="G79" i="32"/>
  <c r="E95" i="43"/>
  <c r="BV37" i="29"/>
  <c r="E159" i="27"/>
  <c r="Y49" i="32"/>
  <c r="N41" i="32"/>
  <c r="V80" i="39"/>
  <c r="AC9" i="51"/>
  <c r="U52" i="39"/>
  <c r="G15" i="43"/>
  <c r="I54" i="40"/>
  <c r="I8" i="32"/>
  <c r="Y96" i="43"/>
  <c r="T77" i="40"/>
  <c r="W230" i="27"/>
  <c r="D57" i="29"/>
  <c r="Y47" i="39"/>
  <c r="V47" i="32"/>
  <c r="U8" i="39"/>
  <c r="V42" i="32"/>
  <c r="I54" i="39"/>
  <c r="H29" i="40"/>
  <c r="BX65" i="29"/>
  <c r="U38" i="39"/>
  <c r="T91" i="32"/>
  <c r="AA77" i="43"/>
  <c r="G21" i="43"/>
  <c r="E33" i="32"/>
  <c r="L349" i="44"/>
  <c r="G38" i="40"/>
  <c r="AA32" i="39"/>
  <c r="L59" i="39"/>
  <c r="F33" i="29"/>
  <c r="H52" i="39"/>
  <c r="G94" i="32"/>
  <c r="G57" i="29"/>
  <c r="L94" i="43"/>
  <c r="L231" i="27"/>
  <c r="AA57" i="43"/>
  <c r="S29" i="43"/>
  <c r="G223" i="27"/>
  <c r="U40" i="40"/>
  <c r="E20" i="39"/>
  <c r="L33" i="32"/>
  <c r="H39" i="32"/>
  <c r="F77" i="43"/>
  <c r="T21" i="39"/>
  <c r="F61" i="40"/>
  <c r="H80" i="32"/>
  <c r="H40" i="43"/>
  <c r="BW45" i="29"/>
  <c r="T78" i="39"/>
  <c r="T113" i="32"/>
  <c r="V38" i="40"/>
  <c r="U22" i="43"/>
  <c r="F35" i="29"/>
  <c r="F39" i="39"/>
  <c r="I72" i="40"/>
  <c r="U16" i="40"/>
  <c r="S96" i="43"/>
  <c r="CC56" i="29"/>
  <c r="Y85" i="40"/>
  <c r="L92" i="43"/>
  <c r="G26" i="39"/>
  <c r="AA38" i="32"/>
  <c r="S19" i="39"/>
  <c r="G91" i="40"/>
  <c r="H64" i="25"/>
  <c r="L59" i="32"/>
  <c r="BV42" i="29"/>
  <c r="F93" i="32"/>
  <c r="S39" i="32"/>
  <c r="F71" i="40"/>
  <c r="AB46" i="14"/>
  <c r="U95" i="43"/>
  <c r="T55" i="39"/>
  <c r="T59" i="32"/>
  <c r="E77" i="39"/>
  <c r="N97" i="43"/>
  <c r="AA34" i="50"/>
  <c r="CC58" i="29"/>
  <c r="G152" i="27"/>
  <c r="H96" i="43"/>
  <c r="G18" i="32"/>
  <c r="S102" i="39"/>
  <c r="F69" i="29"/>
  <c r="Y21" i="40"/>
  <c r="L82" i="32"/>
  <c r="L20" i="47"/>
  <c r="I93" i="39"/>
  <c r="J36" i="29"/>
  <c r="D63" i="29"/>
  <c r="V88" i="39"/>
  <c r="L49" i="40"/>
  <c r="F57" i="29"/>
  <c r="V76" i="40"/>
  <c r="AB219" i="27"/>
  <c r="BY62" i="29"/>
  <c r="Y92" i="40"/>
  <c r="E46" i="29"/>
  <c r="T70" i="43"/>
  <c r="AA37" i="32"/>
  <c r="U72" i="40"/>
  <c r="F6" i="32"/>
  <c r="U49" i="32"/>
  <c r="L78" i="39"/>
  <c r="E93" i="39"/>
  <c r="S222" i="27"/>
  <c r="L40" i="40"/>
  <c r="E41" i="29"/>
  <c r="T40" i="43"/>
  <c r="E86" i="32"/>
  <c r="U26" i="32"/>
  <c r="F49" i="43"/>
  <c r="I85" i="32"/>
  <c r="H97" i="39"/>
  <c r="S18" i="39"/>
  <c r="H98" i="39"/>
  <c r="W145" i="27"/>
  <c r="S7" i="32"/>
  <c r="T48" i="39"/>
  <c r="N62" i="43"/>
  <c r="H99" i="32"/>
  <c r="T77" i="39"/>
  <c r="T28" i="40"/>
  <c r="I112" i="32"/>
  <c r="AA13" i="32"/>
  <c r="N79" i="32"/>
  <c r="BV38" i="29"/>
  <c r="G90" i="32"/>
  <c r="AA68" i="32"/>
  <c r="I11" i="43"/>
  <c r="CB61" i="29"/>
  <c r="V153" i="27"/>
  <c r="T19" i="39"/>
  <c r="E62" i="40"/>
  <c r="T62" i="43"/>
  <c r="E96" i="43"/>
  <c r="T61" i="40"/>
  <c r="Y59" i="32"/>
  <c r="Y64" i="43"/>
  <c r="S88" i="43"/>
  <c r="W151" i="27"/>
  <c r="L94" i="32"/>
  <c r="AA19" i="32"/>
  <c r="G39" i="32"/>
  <c r="S61" i="40"/>
  <c r="Y54" i="39"/>
  <c r="F78" i="39"/>
  <c r="W217" i="27"/>
  <c r="F40" i="39"/>
  <c r="T73" i="39"/>
  <c r="J34" i="29"/>
  <c r="Y223" i="27"/>
  <c r="L58" i="43"/>
  <c r="H26" i="39"/>
  <c r="N20" i="39"/>
  <c r="G19" i="32"/>
  <c r="S75" i="32"/>
  <c r="L42" i="32"/>
  <c r="U226" i="27"/>
  <c r="H34" i="39"/>
  <c r="E58" i="29"/>
  <c r="AA21" i="32"/>
  <c r="V155" i="27"/>
  <c r="V50" i="40"/>
  <c r="AB222" i="27"/>
  <c r="K230" i="27"/>
  <c r="Z231" i="27"/>
  <c r="G62" i="39"/>
  <c r="L230" i="27"/>
  <c r="F77" i="39"/>
  <c r="S48" i="32"/>
  <c r="S83" i="32"/>
  <c r="W348" i="44"/>
  <c r="L32" i="29"/>
  <c r="N63" i="43"/>
  <c r="K157" i="27"/>
  <c r="Y77" i="39"/>
  <c r="L13" i="39"/>
  <c r="G14" i="39"/>
  <c r="N11" i="40"/>
  <c r="N60" i="39"/>
  <c r="CC31" i="29"/>
  <c r="T10" i="43"/>
  <c r="E40" i="43"/>
  <c r="F83" i="40"/>
  <c r="AA62" i="43"/>
  <c r="L152" i="27"/>
  <c r="T105" i="32"/>
  <c r="H37" i="39"/>
  <c r="G58" i="32"/>
  <c r="H233" i="27"/>
  <c r="K146" i="27"/>
  <c r="S93" i="40"/>
  <c r="I28" i="32"/>
  <c r="N61" i="32"/>
  <c r="I21" i="43"/>
  <c r="N5" i="40"/>
  <c r="S27" i="40"/>
  <c r="AA70" i="43"/>
  <c r="K58" i="29"/>
  <c r="V86" i="39"/>
  <c r="L23" i="39"/>
  <c r="CD39" i="29"/>
  <c r="N97" i="39"/>
  <c r="H33" i="32"/>
  <c r="CB36" i="29"/>
  <c r="S66" i="32"/>
  <c r="L72" i="40"/>
  <c r="Y14" i="39"/>
  <c r="J69" i="29"/>
  <c r="Y86" i="32"/>
  <c r="S62" i="39"/>
  <c r="AA99" i="32"/>
  <c r="L76" i="40"/>
  <c r="I34" i="39"/>
  <c r="I61" i="39"/>
  <c r="U60" i="39"/>
  <c r="Y19" i="39"/>
  <c r="S85" i="40"/>
  <c r="E83" i="40"/>
  <c r="H69" i="43"/>
  <c r="V73" i="32"/>
  <c r="N34" i="32"/>
  <c r="S38" i="39"/>
  <c r="BV31" i="29"/>
  <c r="Y60" i="32"/>
  <c r="V16" i="40"/>
  <c r="E117" i="32"/>
  <c r="E22" i="40"/>
  <c r="Y63" i="43"/>
  <c r="S85" i="39"/>
  <c r="U80" i="39"/>
  <c r="E157" i="27"/>
  <c r="I36" i="29"/>
  <c r="V10" i="40"/>
  <c r="V81" i="43"/>
  <c r="N27" i="43"/>
  <c r="U51" i="43"/>
  <c r="E38" i="40"/>
  <c r="I61" i="32"/>
  <c r="N90" i="32"/>
  <c r="S71" i="43"/>
  <c r="CC65" i="29"/>
  <c r="F71" i="43"/>
  <c r="U91" i="32"/>
  <c r="U44" i="39"/>
  <c r="S80" i="39"/>
  <c r="G87" i="43"/>
  <c r="N22" i="43"/>
  <c r="I20" i="39"/>
  <c r="L46" i="39"/>
  <c r="S84" i="40"/>
  <c r="H20" i="47"/>
  <c r="F27" i="40"/>
  <c r="AA58" i="32"/>
  <c r="E107" i="32"/>
  <c r="T84" i="32"/>
  <c r="BW64" i="29"/>
  <c r="T78" i="43"/>
  <c r="L218" i="27"/>
  <c r="S8" i="39"/>
  <c r="H159" i="27"/>
  <c r="L38" i="40"/>
  <c r="AA13" i="39"/>
  <c r="V92" i="40"/>
  <c r="F106" i="32"/>
  <c r="Y81" i="43"/>
  <c r="U36" i="32"/>
  <c r="H71" i="40"/>
  <c r="T93" i="43"/>
  <c r="F50" i="40"/>
  <c r="G38" i="39"/>
  <c r="N32" i="50"/>
  <c r="G32" i="39"/>
  <c r="E79" i="40"/>
  <c r="Y72" i="40"/>
  <c r="I97" i="39"/>
  <c r="E17" i="43"/>
  <c r="AA45" i="43"/>
  <c r="Y49" i="40"/>
  <c r="Y15" i="43"/>
  <c r="AA73" i="43"/>
  <c r="Y21" i="32"/>
  <c r="V77" i="40"/>
  <c r="U58" i="43"/>
  <c r="F10" i="43"/>
  <c r="I15" i="43"/>
  <c r="G23" i="39"/>
  <c r="V93" i="40"/>
  <c r="E227" i="27"/>
  <c r="V92" i="39"/>
  <c r="H73" i="43"/>
  <c r="BY35" i="29"/>
  <c r="AA61" i="40"/>
  <c r="K39" i="29"/>
  <c r="AA34" i="39"/>
  <c r="BW40" i="29"/>
  <c r="U77" i="43"/>
  <c r="Y23" i="43"/>
  <c r="D43" i="29"/>
  <c r="T72" i="32"/>
  <c r="CA38" i="29"/>
  <c r="L112" i="32"/>
  <c r="Y73" i="43"/>
  <c r="T5" i="39"/>
  <c r="V225" i="27"/>
  <c r="V45" i="43"/>
  <c r="I99" i="32"/>
  <c r="T14" i="39"/>
  <c r="W143" i="27"/>
  <c r="E88" i="39"/>
  <c r="E38" i="32"/>
  <c r="N56" i="43"/>
  <c r="N44" i="40"/>
  <c r="G347" i="44"/>
  <c r="AA33" i="43"/>
  <c r="Y92" i="32"/>
  <c r="V106" i="32"/>
  <c r="AA88" i="39"/>
  <c r="V100" i="32"/>
  <c r="V10" i="43"/>
  <c r="V60" i="39"/>
  <c r="E58" i="32"/>
  <c r="V79" i="40"/>
  <c r="H59" i="32"/>
  <c r="I76" i="39"/>
  <c r="F29" i="43"/>
  <c r="Y18" i="32"/>
  <c r="BX39" i="29"/>
  <c r="S135" i="27"/>
  <c r="L105" i="32"/>
  <c r="AA27" i="43"/>
  <c r="Y145" i="27"/>
  <c r="AC34" i="50"/>
  <c r="AA44" i="40"/>
  <c r="U86" i="43"/>
  <c r="H23" i="32"/>
  <c r="G98" i="39"/>
  <c r="I44" i="43"/>
  <c r="AA90" i="32"/>
  <c r="V5" i="39"/>
  <c r="S32" i="39"/>
  <c r="I45" i="40"/>
  <c r="F27" i="39"/>
  <c r="H102" i="39"/>
  <c r="CA57" i="29"/>
  <c r="Y222" i="27"/>
  <c r="V92" i="32"/>
  <c r="O55" i="25"/>
  <c r="CA34" i="29"/>
  <c r="L61" i="40"/>
  <c r="I95" i="43"/>
  <c r="E143" i="27"/>
  <c r="U218" i="27"/>
  <c r="Y38" i="32"/>
  <c r="N71" i="43"/>
  <c r="E67" i="32"/>
  <c r="G34" i="39"/>
  <c r="N23" i="43"/>
  <c r="Y83" i="40"/>
  <c r="T49" i="32"/>
  <c r="E70" i="43"/>
  <c r="W232" i="27"/>
  <c r="M45" i="52"/>
  <c r="N54" i="40"/>
  <c r="K144" i="27"/>
  <c r="Y87" i="39"/>
  <c r="U71" i="43"/>
  <c r="L45" i="39"/>
  <c r="F21" i="32"/>
  <c r="K37" i="29"/>
  <c r="H61" i="25"/>
  <c r="H157" i="27"/>
  <c r="T29" i="43"/>
  <c r="S20" i="39"/>
  <c r="L24" i="39"/>
  <c r="T62" i="39"/>
  <c r="N32" i="39"/>
  <c r="G18" i="39"/>
  <c r="U33" i="40"/>
  <c r="V72" i="32"/>
  <c r="G32" i="32"/>
  <c r="I230" i="27"/>
  <c r="V40" i="32"/>
  <c r="CA65" i="29"/>
  <c r="Y47" i="32"/>
  <c r="F23" i="40"/>
  <c r="E11" i="40"/>
  <c r="AA86" i="39"/>
  <c r="S46" i="39"/>
  <c r="S63" i="43"/>
  <c r="H79" i="43"/>
  <c r="Y28" i="32"/>
  <c r="L91" i="32"/>
  <c r="G153" i="27"/>
  <c r="N28" i="43"/>
  <c r="I33" i="43"/>
  <c r="E54" i="39"/>
  <c r="V64" i="40"/>
  <c r="AB152" i="27"/>
  <c r="H347" i="44"/>
  <c r="N17" i="40"/>
  <c r="L41" i="32"/>
  <c r="I26" i="32"/>
  <c r="L147" i="27"/>
  <c r="L5" i="40"/>
  <c r="E36" i="29"/>
  <c r="G20" i="39"/>
  <c r="E75" i="32"/>
  <c r="D68" i="29"/>
  <c r="M62" i="25"/>
  <c r="AA40" i="40"/>
  <c r="L18" i="32"/>
  <c r="F26" i="32"/>
  <c r="I49" i="40"/>
  <c r="Y56" i="40"/>
  <c r="V347" i="44"/>
  <c r="U15" i="43"/>
  <c r="U79" i="40"/>
  <c r="Y35" i="32"/>
  <c r="G39" i="39"/>
  <c r="U103" i="39"/>
  <c r="E19" i="39"/>
  <c r="N218" i="27"/>
  <c r="Z222" i="27"/>
  <c r="AA83" i="40"/>
  <c r="S22" i="43"/>
  <c r="AA85" i="40"/>
  <c r="N69" i="39"/>
  <c r="S23" i="40"/>
  <c r="L47" i="39"/>
  <c r="Y53" i="52"/>
  <c r="L20" i="32"/>
  <c r="E97" i="39"/>
  <c r="J42" i="29"/>
  <c r="V102" i="39"/>
  <c r="F94" i="40"/>
  <c r="H88" i="43"/>
  <c r="V143" i="27"/>
  <c r="I45" i="29"/>
  <c r="H64" i="40"/>
  <c r="U63" i="40"/>
  <c r="Y93" i="40"/>
  <c r="T69" i="40"/>
  <c r="V84" i="40"/>
  <c r="L44" i="39"/>
  <c r="E49" i="43"/>
  <c r="T71" i="40"/>
  <c r="W156" i="27"/>
  <c r="H91" i="40"/>
  <c r="AA93" i="40"/>
  <c r="BX36" i="29"/>
  <c r="L75" i="32"/>
  <c r="L348" i="44"/>
  <c r="K225" i="27"/>
  <c r="G86" i="43"/>
  <c r="T82" i="32"/>
  <c r="I28" i="40"/>
  <c r="BY38" i="29"/>
  <c r="N84" i="32"/>
  <c r="U50" i="43"/>
  <c r="K143" i="27"/>
  <c r="I59" i="29"/>
  <c r="Y227" i="27"/>
  <c r="CC61" i="29"/>
  <c r="F51" i="43"/>
  <c r="N69" i="43"/>
  <c r="T26" i="39"/>
  <c r="T87" i="43"/>
  <c r="Y38" i="39"/>
  <c r="AA68" i="39"/>
  <c r="Y95" i="40"/>
  <c r="I63" i="40"/>
  <c r="H152" i="27"/>
  <c r="S68" i="40"/>
  <c r="E27" i="32"/>
  <c r="I46" i="39"/>
  <c r="S69" i="40"/>
  <c r="Y27" i="40"/>
  <c r="H70" i="43"/>
  <c r="L86" i="40"/>
  <c r="T56" i="43"/>
  <c r="L45" i="43"/>
  <c r="V85" i="43"/>
  <c r="U37" i="43"/>
  <c r="I73" i="32"/>
  <c r="G79" i="40"/>
  <c r="L12" i="39"/>
  <c r="BW56" i="29"/>
  <c r="L75" i="39"/>
  <c r="G5" i="32"/>
  <c r="S44" i="40"/>
  <c r="H82" i="32"/>
  <c r="CD38" i="29"/>
  <c r="AA53" i="52"/>
  <c r="T68" i="39"/>
  <c r="AA84" i="32"/>
  <c r="Y84" i="32"/>
  <c r="AA53" i="39"/>
  <c r="CB69" i="29"/>
  <c r="F60" i="39"/>
  <c r="AC7" i="51"/>
  <c r="F99" i="32"/>
  <c r="N12" i="39"/>
  <c r="Z156" i="27"/>
  <c r="N225" i="27"/>
  <c r="N64" i="43"/>
  <c r="J45" i="29"/>
  <c r="CB45" i="29"/>
  <c r="T29" i="40"/>
  <c r="CC60" i="29"/>
  <c r="S87" i="43"/>
  <c r="G72" i="40"/>
  <c r="BW34" i="29"/>
  <c r="I75" i="32"/>
  <c r="BX56" i="29"/>
  <c r="E10" i="40"/>
  <c r="E86" i="40"/>
  <c r="AA38" i="43"/>
  <c r="T90" i="40"/>
  <c r="AB153" i="27"/>
  <c r="Y5" i="39"/>
  <c r="F11" i="40"/>
  <c r="T61" i="32"/>
  <c r="W220" i="27"/>
  <c r="U41" i="32"/>
  <c r="CB65" i="29"/>
  <c r="S79" i="39"/>
  <c r="T79" i="40"/>
  <c r="V38" i="39"/>
  <c r="S232" i="27"/>
  <c r="U54" i="40"/>
  <c r="N51" i="43"/>
  <c r="L81" i="32"/>
  <c r="D61" i="29"/>
  <c r="AA40" i="39"/>
  <c r="V146" i="27"/>
  <c r="E55" i="25"/>
  <c r="U22" i="39"/>
  <c r="G15" i="40"/>
  <c r="I148" i="27"/>
  <c r="N6" i="39"/>
  <c r="T25" i="32"/>
  <c r="D348" i="44"/>
  <c r="E79" i="32"/>
  <c r="N92" i="32"/>
  <c r="E52" i="25"/>
  <c r="CA31" i="29"/>
  <c r="Y36" i="32"/>
  <c r="S66" i="39"/>
  <c r="AA105" i="32"/>
  <c r="Y91" i="40"/>
  <c r="T48" i="14"/>
  <c r="AB231" i="27"/>
  <c r="G92" i="32"/>
  <c r="T46" i="32"/>
  <c r="L79" i="40"/>
  <c r="I29" i="40"/>
  <c r="E34" i="32"/>
  <c r="S85" i="32"/>
  <c r="U86" i="40"/>
  <c r="E16" i="43"/>
  <c r="AC6" i="51"/>
  <c r="H50" i="32"/>
  <c r="G78" i="40"/>
  <c r="S23" i="43"/>
  <c r="T98" i="32"/>
  <c r="L11" i="40"/>
  <c r="F68" i="39"/>
  <c r="AA40" i="43"/>
  <c r="E63" i="29"/>
  <c r="S15" i="40"/>
  <c r="K222" i="27"/>
  <c r="H348" i="44"/>
  <c r="N44" i="39"/>
  <c r="L94" i="40"/>
  <c r="I86" i="43"/>
  <c r="S107" i="32"/>
  <c r="F67" i="32"/>
  <c r="Y45" i="52"/>
  <c r="J37" i="29"/>
  <c r="V152" i="27"/>
  <c r="H68" i="40"/>
  <c r="CC38" i="29"/>
  <c r="S22" i="40"/>
  <c r="Y37" i="43"/>
  <c r="U143" i="27"/>
  <c r="V19" i="39"/>
  <c r="U144" i="27"/>
  <c r="G85" i="43"/>
  <c r="BY55" i="29"/>
  <c r="Y108" i="32"/>
  <c r="H154" i="27"/>
  <c r="BY60" i="29"/>
  <c r="Y27" i="32"/>
  <c r="N72" i="43"/>
  <c r="N75" i="32"/>
  <c r="I80" i="39"/>
  <c r="Y86" i="40"/>
  <c r="T5" i="43"/>
  <c r="Y68" i="40"/>
  <c r="L85" i="43"/>
  <c r="H38" i="43"/>
  <c r="G83" i="32"/>
  <c r="G17" i="40"/>
  <c r="E12" i="39"/>
  <c r="I44" i="40"/>
  <c r="F45" i="39"/>
  <c r="E77" i="40"/>
  <c r="I6" i="39"/>
  <c r="N223" i="27"/>
  <c r="CC57" i="29"/>
  <c r="G221" i="27"/>
  <c r="I68" i="29"/>
  <c r="U42" i="32"/>
  <c r="S154" i="27"/>
  <c r="I85" i="43"/>
  <c r="E15" i="40"/>
  <c r="S46" i="32"/>
  <c r="Y73" i="32"/>
  <c r="G225" i="27"/>
  <c r="G73" i="32"/>
  <c r="AA347" i="44"/>
  <c r="F79" i="43"/>
  <c r="E34" i="29"/>
  <c r="I73" i="39"/>
  <c r="Y61" i="39"/>
  <c r="T38" i="43"/>
  <c r="L92" i="40"/>
  <c r="I79" i="40"/>
  <c r="N93" i="43"/>
  <c r="Z144" i="27"/>
  <c r="S91" i="40"/>
  <c r="U16" i="43"/>
  <c r="S158" i="27"/>
  <c r="L58" i="32"/>
  <c r="L84" i="40"/>
  <c r="S37" i="40"/>
  <c r="AA11" i="40"/>
  <c r="AA23" i="32"/>
  <c r="T28" i="32"/>
  <c r="N79" i="40"/>
  <c r="I12" i="39"/>
  <c r="S33" i="43"/>
  <c r="N145" i="27"/>
  <c r="AA85" i="32"/>
  <c r="L79" i="43"/>
  <c r="F32" i="39"/>
  <c r="G112" i="32"/>
  <c r="D69" i="29"/>
  <c r="N59" i="39"/>
  <c r="AA11" i="43"/>
  <c r="N348" i="44"/>
  <c r="AA78" i="39"/>
  <c r="O9" i="51"/>
  <c r="F12" i="39"/>
  <c r="I41" i="29"/>
  <c r="S104" i="32"/>
  <c r="T50" i="40"/>
  <c r="N23" i="40"/>
  <c r="F58" i="43"/>
  <c r="I63" i="43"/>
  <c r="Y45" i="39"/>
  <c r="L149" i="27"/>
  <c r="E223" i="27"/>
  <c r="G102" i="39"/>
  <c r="E64" i="43"/>
  <c r="G13" i="39"/>
  <c r="V48" i="32"/>
  <c r="AA91" i="32"/>
  <c r="G5" i="39"/>
  <c r="U7" i="32"/>
  <c r="I151" i="27"/>
  <c r="E78" i="39"/>
  <c r="U29" i="43"/>
  <c r="L45" i="29"/>
  <c r="T50" i="32"/>
  <c r="E50" i="40"/>
  <c r="AA83" i="32"/>
  <c r="S94" i="43"/>
  <c r="BX70" i="29"/>
  <c r="U112" i="32"/>
  <c r="T80" i="32"/>
  <c r="Y159" i="27"/>
  <c r="H44" i="40"/>
  <c r="L5" i="43"/>
  <c r="L22" i="39"/>
  <c r="G76" i="39"/>
  <c r="I24" i="39"/>
  <c r="L225" i="27"/>
  <c r="T27" i="43"/>
  <c r="U68" i="32"/>
  <c r="E80" i="39"/>
  <c r="L144" i="27"/>
  <c r="G51" i="25"/>
  <c r="I25" i="39"/>
  <c r="T38" i="32"/>
  <c r="N40" i="39"/>
  <c r="N81" i="32"/>
  <c r="N58" i="32"/>
  <c r="V104" i="32"/>
  <c r="T97" i="39"/>
  <c r="N21" i="39"/>
  <c r="I57" i="29"/>
  <c r="E21" i="40"/>
  <c r="AA49" i="52"/>
  <c r="BV39" i="29"/>
  <c r="D55" i="29"/>
  <c r="H21" i="43"/>
  <c r="Y54" i="32"/>
  <c r="I84" i="39"/>
  <c r="CB68" i="29"/>
  <c r="N75" i="39"/>
  <c r="I64" i="43"/>
  <c r="T64" i="40"/>
  <c r="S49" i="43"/>
  <c r="H40" i="39"/>
  <c r="F62" i="40"/>
  <c r="E230" i="27"/>
  <c r="CD32" i="29"/>
  <c r="K219" i="27"/>
  <c r="CC44" i="29"/>
  <c r="CA62" i="29"/>
  <c r="I52" i="39"/>
  <c r="N37" i="40"/>
  <c r="F92" i="32"/>
  <c r="F23" i="32"/>
  <c r="G56" i="43"/>
  <c r="AA33" i="50"/>
  <c r="I55" i="29"/>
  <c r="AA34" i="32"/>
  <c r="U40" i="39"/>
  <c r="Y35" i="39"/>
  <c r="H15" i="43"/>
  <c r="G68" i="39"/>
  <c r="N148" i="27"/>
  <c r="G90" i="40"/>
  <c r="U102" i="39"/>
  <c r="V6" i="43"/>
  <c r="T45" i="40"/>
  <c r="AA107" i="32"/>
  <c r="E26" i="39"/>
  <c r="L18" i="39"/>
  <c r="I65" i="32"/>
  <c r="CA58" i="29"/>
  <c r="G217" i="27"/>
  <c r="G16" i="40"/>
  <c r="I94" i="32"/>
  <c r="G80" i="39"/>
  <c r="L74" i="32"/>
  <c r="F34" i="39"/>
  <c r="AA17" i="40"/>
  <c r="F67" i="39"/>
  <c r="T103" i="39"/>
  <c r="I232" i="27"/>
  <c r="L222" i="27"/>
  <c r="G28" i="40"/>
  <c r="G12" i="39"/>
  <c r="Y12" i="32"/>
  <c r="T54" i="40"/>
  <c r="T15" i="40"/>
  <c r="L44" i="43"/>
  <c r="S7" i="39"/>
  <c r="G40" i="32"/>
  <c r="S225" i="27"/>
  <c r="H15" i="40"/>
  <c r="S349" i="44"/>
  <c r="Y11" i="40"/>
  <c r="T69" i="39"/>
  <c r="Y55" i="39"/>
  <c r="N94" i="40"/>
  <c r="K46" i="52"/>
  <c r="W48" i="14"/>
  <c r="I152" i="27"/>
  <c r="G68" i="40"/>
  <c r="K223" i="27"/>
  <c r="S37" i="32"/>
  <c r="V67" i="32"/>
  <c r="L50" i="32"/>
  <c r="G87" i="39"/>
  <c r="S10" i="43"/>
  <c r="F38" i="32"/>
  <c r="H35" i="32"/>
  <c r="T40" i="40"/>
  <c r="Y23" i="40"/>
  <c r="F72" i="43"/>
  <c r="L12" i="32"/>
  <c r="H60" i="32"/>
  <c r="I6" i="43"/>
  <c r="U80" i="32"/>
  <c r="G92" i="39"/>
  <c r="AA55" i="43"/>
  <c r="AB220" i="27"/>
  <c r="S58" i="43"/>
  <c r="H86" i="40"/>
  <c r="I69" i="39"/>
  <c r="G61" i="29"/>
  <c r="L77" i="39"/>
  <c r="N33" i="39"/>
  <c r="W150" i="27"/>
  <c r="S219" i="27"/>
  <c r="G33" i="43"/>
  <c r="S6" i="32"/>
  <c r="I23" i="40"/>
  <c r="L156" i="27"/>
  <c r="L46" i="14"/>
  <c r="E61" i="39"/>
  <c r="N5" i="39"/>
  <c r="L7" i="32"/>
  <c r="U21" i="47"/>
  <c r="U92" i="32"/>
  <c r="Y7" i="32"/>
  <c r="U59" i="39"/>
  <c r="L36" i="50"/>
  <c r="G81" i="43"/>
  <c r="G45" i="43"/>
  <c r="E93" i="40"/>
  <c r="H37" i="40"/>
  <c r="Y23" i="39"/>
  <c r="E29" i="43"/>
  <c r="H84" i="39"/>
  <c r="Y17" i="40"/>
  <c r="Y37" i="39"/>
  <c r="K45" i="52"/>
  <c r="E226" i="27"/>
  <c r="U21" i="39"/>
  <c r="BV60" i="29"/>
  <c r="CB31" i="29"/>
  <c r="H62" i="40"/>
  <c r="Y13" i="39"/>
  <c r="H90" i="40"/>
  <c r="V45" i="39"/>
  <c r="N143" i="27"/>
  <c r="T85" i="43"/>
  <c r="V12" i="39"/>
  <c r="BW41" i="29"/>
  <c r="U86" i="39"/>
  <c r="U40" i="32"/>
  <c r="BW58" i="29"/>
  <c r="I50" i="32"/>
  <c r="BW46" i="29"/>
  <c r="U6" i="32"/>
  <c r="H25" i="39"/>
  <c r="F27" i="43"/>
  <c r="S28" i="43"/>
  <c r="E56" i="40"/>
  <c r="G65" i="29"/>
  <c r="U93" i="40"/>
  <c r="AA97" i="39"/>
  <c r="I56" i="40"/>
  <c r="U35" i="39"/>
  <c r="E135" i="27"/>
  <c r="I76" i="40"/>
  <c r="W155" i="27"/>
  <c r="V33" i="39"/>
  <c r="L33" i="29"/>
  <c r="I94" i="43"/>
  <c r="G55" i="39"/>
  <c r="G157" i="27"/>
  <c r="I72" i="32"/>
  <c r="I98" i="32"/>
  <c r="E40" i="40"/>
  <c r="J59" i="29"/>
  <c r="Y74" i="32"/>
  <c r="AA23" i="43"/>
  <c r="AA73" i="39"/>
  <c r="S149" i="27"/>
  <c r="F83" i="32"/>
  <c r="G24" i="32"/>
  <c r="S74" i="39"/>
  <c r="I93" i="43"/>
  <c r="F8" i="39"/>
  <c r="H83" i="32"/>
  <c r="BV41" i="29"/>
  <c r="N15" i="40"/>
  <c r="Y83" i="32"/>
  <c r="S25" i="39"/>
  <c r="H11" i="40"/>
  <c r="N56" i="40"/>
  <c r="N70" i="40"/>
  <c r="D21" i="47"/>
  <c r="F50" i="32"/>
  <c r="V40" i="43"/>
  <c r="E74" i="32"/>
  <c r="I66" i="32"/>
  <c r="CB55" i="29"/>
  <c r="H69" i="39"/>
  <c r="D34" i="29"/>
  <c r="Y57" i="40"/>
  <c r="I78" i="39"/>
  <c r="S21" i="40"/>
  <c r="BW38" i="29"/>
  <c r="S99" i="32"/>
  <c r="F65" i="32"/>
  <c r="CB56" i="29"/>
  <c r="I71" i="40"/>
  <c r="S34" i="32"/>
  <c r="BY37" i="29"/>
  <c r="L104" i="32"/>
  <c r="G23" i="40"/>
  <c r="I35" i="39"/>
  <c r="N79" i="43"/>
  <c r="F50" i="43"/>
  <c r="H153" i="27"/>
  <c r="U25" i="32"/>
  <c r="H60" i="25"/>
  <c r="Y149" i="27"/>
  <c r="AA29" i="43"/>
  <c r="U104" i="32"/>
  <c r="Y24" i="32"/>
  <c r="H230" i="27"/>
  <c r="BX68" i="29"/>
  <c r="I60" i="25"/>
  <c r="S93" i="32"/>
  <c r="G21" i="32"/>
  <c r="U64" i="40"/>
  <c r="T66" i="32"/>
  <c r="F25" i="32"/>
  <c r="E27" i="40"/>
  <c r="I68" i="39"/>
  <c r="Y7" i="39"/>
  <c r="CC32" i="29"/>
  <c r="V45" i="40"/>
  <c r="S86" i="40"/>
  <c r="E59" i="32"/>
  <c r="V73" i="39"/>
  <c r="V23" i="40"/>
  <c r="V61" i="32"/>
  <c r="L78" i="40"/>
  <c r="G86" i="40"/>
  <c r="V76" i="39"/>
  <c r="L57" i="43"/>
  <c r="E69" i="39"/>
  <c r="I72" i="43"/>
  <c r="U63" i="43"/>
  <c r="V7" i="32"/>
  <c r="F21" i="40"/>
  <c r="E91" i="32"/>
  <c r="V148" i="27"/>
  <c r="H28" i="40"/>
  <c r="L88" i="43"/>
  <c r="U159" i="27"/>
  <c r="N113" i="32"/>
  <c r="Y22" i="43"/>
  <c r="Y92" i="39"/>
  <c r="U62" i="39"/>
  <c r="E25" i="32"/>
  <c r="G79" i="43"/>
  <c r="H51" i="43"/>
  <c r="H148" i="27"/>
  <c r="E57" i="29"/>
  <c r="F63" i="40"/>
  <c r="S147" i="27"/>
  <c r="BV36" i="29"/>
  <c r="J57" i="29"/>
  <c r="E54" i="40"/>
  <c r="AA106" i="32"/>
  <c r="L22" i="40"/>
  <c r="I24" i="32"/>
  <c r="N40" i="40"/>
  <c r="E69" i="40"/>
  <c r="G38" i="29"/>
  <c r="CA42" i="29"/>
  <c r="S49" i="32"/>
  <c r="I39" i="29"/>
  <c r="T81" i="32"/>
  <c r="Y23" i="32"/>
  <c r="F80" i="39"/>
  <c r="S133" i="27"/>
  <c r="F42" i="29"/>
  <c r="L50" i="43"/>
  <c r="AA20" i="32"/>
  <c r="S41" i="32"/>
  <c r="D33" i="29"/>
  <c r="T27" i="32"/>
  <c r="G74" i="39"/>
  <c r="H19" i="32"/>
  <c r="J31" i="29"/>
  <c r="S59" i="32"/>
  <c r="H74" i="32"/>
  <c r="AA24" i="32"/>
  <c r="U221" i="27"/>
  <c r="G155" i="27"/>
  <c r="Y64" i="40"/>
  <c r="Y76" i="39"/>
  <c r="Y148" i="27"/>
  <c r="Y230" i="27"/>
  <c r="Y66" i="39"/>
  <c r="T112" i="32"/>
  <c r="T17" i="43"/>
  <c r="V50" i="43"/>
  <c r="G58" i="43"/>
  <c r="K36" i="29"/>
  <c r="H68" i="32"/>
  <c r="Y152" i="27"/>
  <c r="E93" i="43"/>
  <c r="H91" i="32"/>
  <c r="AA69" i="39"/>
  <c r="F38" i="39"/>
  <c r="N50" i="32"/>
  <c r="AA36" i="50"/>
  <c r="G56" i="40"/>
  <c r="H54" i="40"/>
  <c r="S97" i="39"/>
  <c r="U50" i="40"/>
  <c r="H222" i="27"/>
  <c r="W153" i="27"/>
  <c r="H60" i="39"/>
  <c r="L6" i="39"/>
  <c r="S35" i="32"/>
  <c r="H113" i="32"/>
  <c r="G34" i="29"/>
  <c r="Y53" i="39"/>
  <c r="AA35" i="32"/>
  <c r="E19" i="32"/>
  <c r="J63" i="29"/>
  <c r="AA36" i="39"/>
  <c r="N39" i="43"/>
  <c r="F107" i="32"/>
  <c r="F87" i="39"/>
  <c r="T44" i="39"/>
  <c r="I5" i="43"/>
  <c r="I55" i="25"/>
  <c r="AA5" i="32"/>
  <c r="V90" i="40"/>
  <c r="V85" i="39"/>
  <c r="I233" i="27"/>
  <c r="L53" i="39"/>
  <c r="V95" i="40"/>
  <c r="I39" i="43"/>
  <c r="N68" i="39"/>
  <c r="E7" i="39"/>
  <c r="L45" i="40"/>
  <c r="V21" i="32"/>
  <c r="S24" i="32"/>
  <c r="I217" i="27"/>
  <c r="BW57" i="29"/>
  <c r="H67" i="32"/>
  <c r="I60" i="29"/>
  <c r="U22" i="32"/>
  <c r="U222" i="27"/>
  <c r="S28" i="32"/>
  <c r="Y92" i="43"/>
  <c r="E152" i="27"/>
  <c r="H12" i="32"/>
  <c r="G227" i="27"/>
  <c r="L34" i="50"/>
  <c r="N93" i="40"/>
  <c r="G57" i="43"/>
  <c r="BW43" i="29"/>
  <c r="F69" i="39"/>
  <c r="V35" i="32"/>
  <c r="E41" i="32"/>
  <c r="S100" i="32"/>
  <c r="V34" i="39"/>
  <c r="L65" i="32"/>
  <c r="S90" i="32"/>
  <c r="H144" i="27"/>
  <c r="H14" i="32"/>
  <c r="E66" i="39"/>
  <c r="H77" i="40"/>
  <c r="E70" i="40"/>
  <c r="N60" i="32"/>
  <c r="BX61" i="29"/>
  <c r="F38" i="29"/>
  <c r="I54" i="25"/>
  <c r="T31" i="39"/>
  <c r="Y27" i="43"/>
  <c r="BW60" i="29"/>
  <c r="U156" i="27"/>
  <c r="E61" i="40"/>
  <c r="H33" i="43"/>
  <c r="L108" i="32"/>
  <c r="G78" i="39"/>
  <c r="K150" i="27"/>
  <c r="I21" i="32"/>
  <c r="F46" i="32"/>
  <c r="BX57" i="29"/>
  <c r="AA104" i="32"/>
  <c r="D36" i="29"/>
  <c r="F58" i="32"/>
  <c r="BV64" i="29"/>
  <c r="U106" i="32"/>
  <c r="Y66" i="32"/>
  <c r="E63" i="25"/>
  <c r="S159" i="27"/>
  <c r="F35" i="39"/>
  <c r="S67" i="32"/>
  <c r="G52" i="25"/>
  <c r="BX63" i="29"/>
  <c r="I92" i="43"/>
  <c r="CA36" i="29"/>
  <c r="I80" i="32"/>
  <c r="S95" i="40"/>
  <c r="U93" i="32"/>
  <c r="AA49" i="43"/>
  <c r="S13" i="32"/>
  <c r="D37" i="29"/>
  <c r="K217" i="27"/>
  <c r="BW37" i="29"/>
  <c r="Y25" i="39"/>
  <c r="G41" i="29"/>
  <c r="L37" i="40"/>
  <c r="N21" i="32"/>
  <c r="L102" i="39"/>
  <c r="U35" i="32"/>
  <c r="Z145" i="27"/>
  <c r="S17" i="40"/>
  <c r="S73" i="32"/>
  <c r="BX62" i="29"/>
  <c r="T70" i="40"/>
  <c r="L39" i="39"/>
  <c r="G27" i="39"/>
  <c r="S75" i="39"/>
  <c r="N118" i="32"/>
  <c r="T37" i="32"/>
  <c r="W152" i="27"/>
  <c r="H62" i="25"/>
  <c r="AA84" i="39"/>
  <c r="S77" i="39"/>
  <c r="AA21" i="43"/>
  <c r="G29" i="40"/>
  <c r="Y10" i="43"/>
  <c r="E64" i="29"/>
  <c r="T21" i="43"/>
  <c r="V61" i="39"/>
  <c r="L28" i="32"/>
  <c r="T65" i="43"/>
  <c r="H22" i="43"/>
  <c r="T72" i="40"/>
  <c r="F65" i="29"/>
  <c r="F20" i="47"/>
  <c r="N96" i="43"/>
  <c r="W148" i="27"/>
  <c r="S51" i="43"/>
  <c r="O54" i="25"/>
  <c r="L44" i="40"/>
  <c r="V20" i="32"/>
  <c r="Y6" i="39"/>
  <c r="BW39" i="29"/>
  <c r="AA63" i="43"/>
  <c r="L71" i="40"/>
  <c r="H83" i="40"/>
  <c r="S84" i="32"/>
  <c r="F29" i="40"/>
  <c r="Y50" i="43"/>
  <c r="E87" i="43"/>
  <c r="V67" i="39"/>
  <c r="L227" i="27"/>
  <c r="F45" i="43"/>
  <c r="L10" i="40"/>
  <c r="Y28" i="43"/>
  <c r="Y93" i="39"/>
  <c r="CB59" i="29"/>
  <c r="I25" i="32"/>
  <c r="AA95" i="40"/>
  <c r="V157" i="27"/>
  <c r="AA72" i="32"/>
  <c r="F36" i="32"/>
  <c r="E68" i="32"/>
  <c r="U77" i="39"/>
  <c r="Y100" i="32"/>
  <c r="N95" i="40"/>
  <c r="J62" i="29"/>
  <c r="K60" i="29"/>
  <c r="L8" i="32"/>
  <c r="E39" i="40"/>
  <c r="S153" i="27"/>
  <c r="K49" i="52"/>
  <c r="E65" i="43"/>
  <c r="H13" i="32"/>
  <c r="V222" i="27"/>
  <c r="E6" i="40"/>
  <c r="V117" i="32"/>
  <c r="I56" i="43"/>
  <c r="U231" i="27"/>
  <c r="L54" i="39"/>
  <c r="U23" i="43"/>
  <c r="G51" i="43"/>
  <c r="I91" i="32"/>
  <c r="S113" i="32"/>
  <c r="S26" i="39"/>
  <c r="F31" i="39"/>
  <c r="T80" i="39"/>
  <c r="N27" i="32"/>
  <c r="S221" i="27"/>
  <c r="I100" i="32"/>
  <c r="H145" i="27"/>
  <c r="N92" i="40"/>
  <c r="K63" i="25"/>
  <c r="I21" i="40"/>
  <c r="M48" i="52"/>
  <c r="G106" i="32"/>
  <c r="I58" i="32"/>
  <c r="K232" i="27"/>
  <c r="T68" i="40"/>
  <c r="N7" i="39"/>
  <c r="Y18" i="39"/>
  <c r="E39" i="32"/>
  <c r="E76" i="40"/>
  <c r="L44" i="29"/>
  <c r="F17" i="40"/>
  <c r="E50" i="32"/>
  <c r="V47" i="39"/>
  <c r="F25" i="39"/>
  <c r="T94" i="43"/>
  <c r="T5" i="32"/>
  <c r="N222" i="27"/>
  <c r="N65" i="32"/>
  <c r="AA63" i="40"/>
  <c r="U81" i="43"/>
  <c r="D38" i="29"/>
  <c r="T104" i="32"/>
  <c r="G44" i="39"/>
  <c r="H44" i="43"/>
  <c r="E112" i="32"/>
  <c r="H46" i="32"/>
  <c r="U28" i="40"/>
  <c r="H85" i="39"/>
  <c r="V46" i="39"/>
  <c r="V221" i="27"/>
  <c r="V95" i="43"/>
  <c r="S20" i="32"/>
  <c r="W222" i="27"/>
  <c r="H40" i="40"/>
  <c r="F16" i="40"/>
  <c r="S60" i="39"/>
  <c r="T79" i="32"/>
  <c r="S13" i="39"/>
  <c r="E40" i="39"/>
  <c r="L76" i="39"/>
  <c r="AA82" i="32"/>
  <c r="T90" i="32"/>
  <c r="Y73" i="39"/>
  <c r="H47" i="39"/>
  <c r="T13" i="32"/>
  <c r="Z148" i="27"/>
  <c r="F57" i="40"/>
  <c r="L68" i="40"/>
  <c r="G219" i="27"/>
  <c r="L154" i="27"/>
  <c r="Y16" i="43"/>
  <c r="U233" i="27"/>
  <c r="I105" i="32"/>
  <c r="Y112" i="32"/>
  <c r="U92" i="39"/>
  <c r="I27" i="40"/>
  <c r="E60" i="25"/>
  <c r="H27" i="39"/>
  <c r="T71" i="43"/>
  <c r="AA76" i="40"/>
  <c r="I12" i="32"/>
  <c r="G19" i="39"/>
  <c r="BW69" i="29"/>
  <c r="AB154" i="27"/>
  <c r="T56" i="40"/>
  <c r="T27" i="40"/>
  <c r="CC62" i="29"/>
  <c r="Y90" i="32"/>
  <c r="CD41" i="29"/>
  <c r="F34" i="29"/>
  <c r="Y103" i="39"/>
  <c r="H70" i="40"/>
  <c r="S62" i="40"/>
  <c r="I53" i="25"/>
  <c r="I21" i="39"/>
  <c r="S45" i="40"/>
  <c r="K154" i="27"/>
  <c r="G7" i="32"/>
  <c r="V48" i="14"/>
  <c r="F80" i="43"/>
  <c r="E54" i="25"/>
  <c r="K59" i="29"/>
  <c r="AA75" i="32"/>
  <c r="N73" i="32"/>
  <c r="AA55" i="40"/>
  <c r="V65" i="32"/>
  <c r="Y59" i="39"/>
  <c r="U33" i="32"/>
  <c r="U10" i="40"/>
  <c r="H56" i="43"/>
  <c r="I84" i="32"/>
  <c r="V94" i="32"/>
  <c r="I86" i="40"/>
  <c r="F348" i="44"/>
  <c r="N220" i="27"/>
  <c r="V27" i="39"/>
  <c r="Y91" i="32"/>
  <c r="F118" i="32"/>
  <c r="G232" i="27"/>
  <c r="H29" i="43"/>
  <c r="T69" i="43"/>
  <c r="G83" i="40"/>
  <c r="I57" i="43"/>
  <c r="S33" i="39"/>
  <c r="E68" i="29"/>
  <c r="AC20" i="47"/>
  <c r="N78" i="39"/>
  <c r="T24" i="32"/>
  <c r="Y146" i="27"/>
  <c r="G33" i="29"/>
  <c r="F95" i="43"/>
  <c r="G23" i="32"/>
  <c r="AA39" i="32"/>
  <c r="BW35" i="29"/>
  <c r="H41" i="32"/>
  <c r="AB143" i="27"/>
  <c r="I65" i="43"/>
  <c r="I92" i="32"/>
  <c r="V21" i="40"/>
  <c r="D35" i="29"/>
  <c r="F92" i="43"/>
  <c r="T76" i="39"/>
  <c r="I106" i="32"/>
  <c r="G47" i="39"/>
  <c r="H10" i="40"/>
  <c r="I80" i="43"/>
  <c r="L21" i="32"/>
  <c r="G81" i="32"/>
  <c r="O7" i="51"/>
  <c r="K148" i="27"/>
  <c r="N23" i="39"/>
  <c r="L34" i="39"/>
  <c r="F21" i="47"/>
  <c r="F40" i="32"/>
  <c r="E31" i="29"/>
  <c r="AA69" i="40"/>
  <c r="G40" i="39"/>
  <c r="T62" i="40"/>
  <c r="S79" i="43"/>
  <c r="E33" i="43"/>
  <c r="U92" i="43"/>
  <c r="N44" i="43"/>
  <c r="S134" i="27"/>
  <c r="S59" i="39"/>
  <c r="BW33" i="29"/>
  <c r="Y85" i="43"/>
  <c r="S40" i="43"/>
  <c r="I61" i="29"/>
  <c r="M7" i="51"/>
  <c r="I102" i="39"/>
  <c r="I40" i="32"/>
  <c r="E84" i="32"/>
  <c r="F63" i="43"/>
  <c r="G145" i="27"/>
  <c r="Y56" i="43"/>
  <c r="H53" i="39"/>
  <c r="Y231" i="27"/>
  <c r="T40" i="32"/>
  <c r="I33" i="39"/>
  <c r="S32" i="32"/>
  <c r="I31" i="29"/>
  <c r="N154" i="27"/>
  <c r="AB227" i="27"/>
  <c r="Y51" i="43"/>
  <c r="H40" i="32"/>
  <c r="N77" i="39"/>
  <c r="S98" i="32"/>
  <c r="S40" i="39"/>
  <c r="D70" i="29"/>
  <c r="H22" i="39"/>
  <c r="H93" i="43"/>
  <c r="S57" i="43"/>
  <c r="V18" i="32"/>
  <c r="H47" i="32"/>
  <c r="T40" i="39"/>
  <c r="K218" i="27"/>
  <c r="Y6" i="43"/>
  <c r="E62" i="43"/>
  <c r="AA349" i="44"/>
  <c r="H6" i="43"/>
  <c r="I15" i="40"/>
  <c r="L98" i="39"/>
  <c r="L155" i="27"/>
  <c r="N7" i="32"/>
  <c r="M53" i="52"/>
  <c r="E85" i="43"/>
  <c r="AA70" i="40"/>
  <c r="V23" i="43"/>
  <c r="H87" i="43"/>
  <c r="V98" i="32"/>
  <c r="AA6" i="43"/>
  <c r="L153" i="27"/>
  <c r="BV61" i="29"/>
  <c r="F40" i="40"/>
  <c r="G32" i="29"/>
  <c r="K51" i="52"/>
  <c r="S27" i="43"/>
  <c r="G86" i="32"/>
  <c r="E71" i="43"/>
  <c r="Z147" i="27"/>
  <c r="F79" i="32"/>
  <c r="T85" i="40"/>
  <c r="CD33" i="29"/>
  <c r="H92" i="39"/>
  <c r="F22" i="43"/>
  <c r="H106" i="32"/>
  <c r="Y44" i="39"/>
  <c r="U85" i="40"/>
  <c r="E5" i="39"/>
  <c r="O63" i="25"/>
  <c r="T18" i="39"/>
  <c r="S151" i="27"/>
  <c r="AA54" i="40"/>
  <c r="BV68" i="29"/>
  <c r="G92" i="43"/>
  <c r="V87" i="39"/>
  <c r="F92" i="39"/>
  <c r="T45" i="43"/>
  <c r="U65" i="43"/>
  <c r="U49" i="43"/>
  <c r="V223" i="27"/>
  <c r="N83" i="32"/>
  <c r="G6" i="43"/>
  <c r="N33" i="43"/>
  <c r="Y65" i="43"/>
  <c r="V25" i="32"/>
  <c r="N74" i="32"/>
  <c r="F68" i="29"/>
  <c r="E93" i="32"/>
  <c r="AA79" i="39"/>
  <c r="T84" i="40"/>
  <c r="E94" i="40"/>
  <c r="N74" i="39"/>
  <c r="BV44" i="29"/>
  <c r="L61" i="32"/>
  <c r="I36" i="32"/>
  <c r="E42" i="32"/>
  <c r="H6" i="39"/>
  <c r="N102" i="39"/>
  <c r="L86" i="32"/>
  <c r="F5" i="39"/>
  <c r="I40" i="40"/>
  <c r="E28" i="40"/>
  <c r="F28" i="32"/>
  <c r="Y50" i="32"/>
  <c r="Y10" i="40"/>
  <c r="D58" i="29"/>
  <c r="V107" i="32"/>
  <c r="G6" i="32"/>
  <c r="E40" i="29"/>
  <c r="BX38" i="29"/>
  <c r="G54" i="25"/>
  <c r="Y118" i="32"/>
  <c r="I32" i="32"/>
  <c r="V93" i="39"/>
  <c r="V93" i="32"/>
  <c r="G70" i="43"/>
  <c r="S65" i="32"/>
  <c r="AA37" i="43"/>
  <c r="N39" i="32"/>
  <c r="G113" i="32"/>
  <c r="N5" i="43"/>
  <c r="F98" i="32"/>
  <c r="J68" i="29"/>
  <c r="E8" i="32"/>
  <c r="V6" i="39"/>
  <c r="F13" i="39"/>
  <c r="F49" i="40"/>
  <c r="Y98" i="39"/>
  <c r="T81" i="43"/>
  <c r="V69" i="39"/>
  <c r="V91" i="32"/>
  <c r="V64" i="43"/>
  <c r="D347" i="44"/>
  <c r="Y22" i="40"/>
  <c r="L38" i="32"/>
  <c r="V6" i="32"/>
  <c r="N12" i="32"/>
  <c r="L79" i="39"/>
  <c r="L16" i="43"/>
  <c r="K38" i="29"/>
  <c r="Y21" i="43"/>
  <c r="U48" i="39"/>
  <c r="T26" i="32"/>
  <c r="M55" i="25"/>
  <c r="AA44" i="39"/>
  <c r="G97" i="39"/>
  <c r="AA29" i="40"/>
  <c r="H79" i="39"/>
  <c r="S83" i="40"/>
  <c r="BV33" i="29"/>
  <c r="V103" i="39"/>
  <c r="L26" i="32"/>
  <c r="Z227" i="27"/>
  <c r="CB33" i="29"/>
  <c r="I78" i="40"/>
  <c r="G77" i="40"/>
  <c r="I62" i="39"/>
  <c r="L88" i="39"/>
  <c r="V22" i="32"/>
  <c r="U94" i="43"/>
  <c r="E231" i="27"/>
  <c r="V48" i="39"/>
  <c r="V49" i="32"/>
  <c r="T32" i="32"/>
  <c r="I143" i="27"/>
  <c r="H81" i="32"/>
  <c r="L31" i="39"/>
  <c r="F75" i="32"/>
  <c r="Z226" i="27"/>
  <c r="T7" i="32"/>
  <c r="F22" i="40"/>
  <c r="L11" i="43"/>
  <c r="T24" i="39"/>
  <c r="N87" i="43"/>
  <c r="U57" i="40"/>
  <c r="I79" i="43"/>
  <c r="I70" i="40"/>
  <c r="I118" i="32"/>
  <c r="N36" i="50"/>
  <c r="K45" i="29"/>
  <c r="I37" i="39"/>
  <c r="AA60" i="32"/>
  <c r="H100" i="32"/>
  <c r="Y41" i="32"/>
  <c r="L60" i="39"/>
  <c r="G94" i="40"/>
  <c r="N67" i="32"/>
  <c r="I222" i="27"/>
  <c r="S55" i="40"/>
  <c r="U27" i="40"/>
  <c r="H223" i="27"/>
  <c r="D45" i="29"/>
  <c r="L34" i="32"/>
  <c r="E217" i="27"/>
  <c r="T34" i="32"/>
  <c r="G50" i="40"/>
  <c r="CC41" i="29"/>
  <c r="Y233" i="27"/>
  <c r="Y86" i="39"/>
  <c r="AC21" i="47"/>
  <c r="G55" i="25"/>
  <c r="G35" i="32"/>
  <c r="L27" i="40"/>
  <c r="I38" i="40"/>
  <c r="E64" i="25"/>
  <c r="E61" i="32"/>
  <c r="E38" i="39"/>
  <c r="F5" i="32"/>
  <c r="BX45" i="29"/>
  <c r="U230" i="27"/>
  <c r="H35" i="39"/>
  <c r="L54" i="32"/>
  <c r="T49" i="40"/>
  <c r="H57" i="43"/>
  <c r="G11" i="40"/>
  <c r="Y40" i="39"/>
  <c r="S117" i="32"/>
  <c r="H85" i="40"/>
  <c r="U17" i="40"/>
  <c r="V39" i="43"/>
  <c r="AB147" i="27"/>
  <c r="H55" i="40"/>
  <c r="F42" i="32"/>
  <c r="CD37" i="29"/>
  <c r="T77" i="43"/>
  <c r="V97" i="39"/>
  <c r="V11" i="40"/>
  <c r="L86" i="43"/>
  <c r="M54" i="25"/>
  <c r="J56" i="29"/>
  <c r="Y44" i="43"/>
  <c r="L226" i="27"/>
  <c r="H226" i="27"/>
  <c r="Y80" i="43"/>
  <c r="N10" i="43"/>
  <c r="G39" i="29"/>
  <c r="F85" i="32"/>
  <c r="I47" i="32"/>
  <c r="G56" i="29"/>
  <c r="G71" i="43"/>
  <c r="F24" i="32"/>
  <c r="V145" i="27"/>
  <c r="Y72" i="32"/>
  <c r="G94" i="43"/>
  <c r="BY40" i="29"/>
  <c r="S84" i="39"/>
  <c r="N88" i="39"/>
  <c r="L55" i="43"/>
  <c r="Z219" i="27"/>
  <c r="Y37" i="40"/>
  <c r="V217" i="27"/>
  <c r="L19" i="39"/>
  <c r="I13" i="32"/>
  <c r="U61" i="39"/>
  <c r="Y77" i="43"/>
  <c r="U88" i="39"/>
  <c r="L36" i="32"/>
  <c r="G42" i="32"/>
  <c r="L28" i="43"/>
  <c r="T85" i="32"/>
  <c r="F41" i="29"/>
  <c r="L21" i="40"/>
  <c r="CB62" i="29"/>
  <c r="L158" i="27"/>
  <c r="L47" i="32"/>
  <c r="V25" i="39"/>
  <c r="O62" i="25"/>
  <c r="S79" i="40"/>
  <c r="Y88" i="43"/>
  <c r="S72" i="43"/>
  <c r="I17" i="43"/>
  <c r="E232" i="27"/>
  <c r="J38" i="29"/>
  <c r="Y6" i="40"/>
  <c r="T86" i="32"/>
  <c r="F62" i="29"/>
  <c r="N6" i="32"/>
  <c r="F46" i="39"/>
  <c r="U69" i="39"/>
  <c r="Z225" i="27"/>
  <c r="F13" i="32"/>
  <c r="L85" i="40"/>
  <c r="E102" i="39"/>
  <c r="U47" i="32"/>
  <c r="L29" i="43"/>
  <c r="V144" i="27"/>
  <c r="U80" i="43"/>
  <c r="I218" i="27"/>
  <c r="H61" i="40"/>
  <c r="L39" i="43"/>
  <c r="Y94" i="40"/>
  <c r="I33" i="40"/>
  <c r="H20" i="32"/>
  <c r="Y78" i="43"/>
  <c r="E82" i="32"/>
  <c r="H77" i="39"/>
  <c r="H85" i="43"/>
  <c r="Y46" i="32"/>
  <c r="S144" i="27"/>
  <c r="S29" i="40"/>
  <c r="F64" i="43"/>
  <c r="E42" i="29"/>
  <c r="V6" i="40"/>
  <c r="H97" i="43"/>
  <c r="L48" i="32"/>
  <c r="H220" i="27"/>
  <c r="H62" i="43"/>
  <c r="U76" i="39"/>
  <c r="F91" i="32"/>
  <c r="G62" i="43"/>
  <c r="AA72" i="40"/>
  <c r="S72" i="32"/>
  <c r="L27" i="32"/>
  <c r="K231" i="27"/>
  <c r="V55" i="39"/>
  <c r="Y34" i="32"/>
  <c r="T6" i="32"/>
  <c r="V54" i="32"/>
  <c r="E62" i="29"/>
  <c r="I5" i="40"/>
  <c r="I98" i="39"/>
  <c r="S81" i="32"/>
  <c r="E94" i="32"/>
  <c r="AA15" i="43"/>
  <c r="I93" i="40"/>
  <c r="N33" i="32"/>
  <c r="L29" i="40"/>
  <c r="Y15" i="40"/>
  <c r="I159" i="27"/>
  <c r="Y151" i="27"/>
  <c r="T21" i="40"/>
  <c r="E72" i="32"/>
  <c r="H94" i="32"/>
  <c r="K221" i="27"/>
  <c r="N47" i="32"/>
  <c r="N40" i="43"/>
  <c r="F60" i="32"/>
  <c r="L36" i="39"/>
  <c r="K62" i="25"/>
  <c r="G74" i="32"/>
  <c r="S40" i="40"/>
  <c r="L70" i="43"/>
  <c r="F20" i="39"/>
  <c r="F347" i="44"/>
  <c r="I22" i="40"/>
  <c r="U75" i="39"/>
  <c r="V149" i="27"/>
  <c r="V94" i="43"/>
  <c r="T76" i="40"/>
  <c r="U62" i="43"/>
  <c r="N72" i="32"/>
  <c r="L77" i="43"/>
  <c r="E145" i="27"/>
  <c r="U33" i="39"/>
  <c r="L77" i="40"/>
  <c r="AA85" i="39"/>
  <c r="V37" i="32"/>
  <c r="F28" i="43"/>
  <c r="E33" i="29"/>
  <c r="U84" i="32"/>
  <c r="U347" i="44"/>
  <c r="F69" i="40"/>
  <c r="L49" i="32"/>
  <c r="CD34" i="29"/>
  <c r="AA57" i="40"/>
  <c r="S44" i="39"/>
  <c r="V50" i="32"/>
  <c r="F76" i="40"/>
  <c r="G38" i="32"/>
  <c r="V29" i="43"/>
  <c r="F44" i="43"/>
  <c r="Y39" i="40"/>
  <c r="CD36" i="29"/>
  <c r="AB145" i="27"/>
  <c r="D44" i="29"/>
  <c r="T67" i="39"/>
  <c r="V11" i="43"/>
  <c r="S71" i="40"/>
  <c r="G38" i="43"/>
  <c r="U18" i="32"/>
  <c r="T19" i="32"/>
  <c r="G105" i="32"/>
  <c r="CB41" i="29"/>
  <c r="Z153" i="27"/>
  <c r="T100" i="32"/>
  <c r="N62" i="40"/>
  <c r="N57" i="43"/>
  <c r="E88" i="43"/>
  <c r="BV40" i="29"/>
  <c r="L33" i="40"/>
  <c r="E233" i="27"/>
  <c r="I158" i="27"/>
  <c r="S45" i="39"/>
  <c r="O53" i="25"/>
  <c r="L65" i="43"/>
  <c r="F77" i="40"/>
  <c r="Y12" i="39"/>
  <c r="V69" i="43"/>
  <c r="G60" i="32"/>
  <c r="S47" i="39"/>
  <c r="S145" i="27"/>
  <c r="T117" i="32"/>
  <c r="V105" i="32"/>
  <c r="F73" i="43"/>
  <c r="E99" i="32"/>
  <c r="G37" i="29"/>
  <c r="G135" i="29" l="1"/>
  <c r="X99" i="32"/>
  <c r="K99" i="32"/>
  <c r="AB47" i="39"/>
  <c r="Z12" i="39"/>
  <c r="M65" i="43"/>
  <c r="P53" i="25"/>
  <c r="M33" i="40"/>
  <c r="M34" i="40" s="1"/>
  <c r="BZ161" i="29"/>
  <c r="X88" i="43"/>
  <c r="K88" i="43"/>
  <c r="O57" i="43"/>
  <c r="O62" i="40"/>
  <c r="AA153" i="27"/>
  <c r="W18" i="32"/>
  <c r="E256" i="29"/>
  <c r="AC145" i="27"/>
  <c r="CG131" i="29"/>
  <c r="Z39" i="40"/>
  <c r="AB57" i="40"/>
  <c r="CG136" i="29"/>
  <c r="M49" i="32"/>
  <c r="W84" i="32"/>
  <c r="AB85" i="39"/>
  <c r="M77" i="40"/>
  <c r="W33" i="39"/>
  <c r="M77" i="43"/>
  <c r="O72" i="32"/>
  <c r="W62" i="43"/>
  <c r="X149" i="27"/>
  <c r="W75" i="39"/>
  <c r="M70" i="43"/>
  <c r="L62" i="25"/>
  <c r="M36" i="39"/>
  <c r="O40" i="43"/>
  <c r="O47" i="32"/>
  <c r="J94" i="32"/>
  <c r="X72" i="32"/>
  <c r="K72" i="32"/>
  <c r="Z15" i="40"/>
  <c r="M29" i="40"/>
  <c r="O33" i="32"/>
  <c r="AB15" i="43"/>
  <c r="X94" i="32"/>
  <c r="K94" i="32"/>
  <c r="Z34" i="32"/>
  <c r="M27" i="32"/>
  <c r="AB72" i="40"/>
  <c r="W76" i="39"/>
  <c r="J62" i="43"/>
  <c r="J220" i="27"/>
  <c r="N48" i="32"/>
  <c r="O48" i="32" s="1"/>
  <c r="M48" i="32"/>
  <c r="J97" i="43"/>
  <c r="Z46" i="32"/>
  <c r="J85" i="43"/>
  <c r="J77" i="39"/>
  <c r="X82" i="32"/>
  <c r="K82" i="32"/>
  <c r="Z78" i="43"/>
  <c r="J20" i="32"/>
  <c r="Z94" i="40"/>
  <c r="M39" i="43"/>
  <c r="J61" i="40"/>
  <c r="W80" i="43"/>
  <c r="X144" i="27"/>
  <c r="M29" i="43"/>
  <c r="W47" i="32"/>
  <c r="X102" i="39"/>
  <c r="K102" i="39"/>
  <c r="M85" i="40"/>
  <c r="AA225" i="27"/>
  <c r="W69" i="39"/>
  <c r="O6" i="32"/>
  <c r="Z6" i="40"/>
  <c r="O232" i="27"/>
  <c r="Z88" i="43"/>
  <c r="P62" i="25"/>
  <c r="M47" i="32"/>
  <c r="M158" i="27"/>
  <c r="M21" i="40"/>
  <c r="M28" i="43"/>
  <c r="M36" i="32"/>
  <c r="N36" i="32"/>
  <c r="O36" i="32" s="1"/>
  <c r="W88" i="39"/>
  <c r="Z77" i="43"/>
  <c r="W61" i="39"/>
  <c r="M19" i="39"/>
  <c r="X217" i="27"/>
  <c r="Z37" i="40"/>
  <c r="AA219" i="27"/>
  <c r="M55" i="43"/>
  <c r="O88" i="39"/>
  <c r="CB161" i="29"/>
  <c r="Z72" i="32"/>
  <c r="X145" i="27"/>
  <c r="G145" i="29"/>
  <c r="G162" i="29"/>
  <c r="O10" i="43"/>
  <c r="Z80" i="43"/>
  <c r="J226" i="27"/>
  <c r="M226" i="27"/>
  <c r="Z44" i="43"/>
  <c r="N54" i="25"/>
  <c r="M86" i="43"/>
  <c r="CG135" i="29"/>
  <c r="J55" i="40"/>
  <c r="AC147" i="27"/>
  <c r="W17" i="40"/>
  <c r="J85" i="40"/>
  <c r="Z40" i="39"/>
  <c r="J57" i="43"/>
  <c r="M54" i="32"/>
  <c r="M55" i="32" s="1"/>
  <c r="J35" i="39"/>
  <c r="K38" i="39"/>
  <c r="X38" i="39"/>
  <c r="X61" i="32"/>
  <c r="K61" i="32"/>
  <c r="M27" i="40"/>
  <c r="AE21" i="47"/>
  <c r="AF21" i="47" s="1"/>
  <c r="AF22" i="47" s="1"/>
  <c r="AD21" i="47"/>
  <c r="Z86" i="39"/>
  <c r="M34" i="32"/>
  <c r="E257" i="29"/>
  <c r="J223" i="27"/>
  <c r="W27" i="40"/>
  <c r="O67" i="32"/>
  <c r="M60" i="39"/>
  <c r="Z41" i="32"/>
  <c r="J100" i="32"/>
  <c r="AB60" i="32"/>
  <c r="O36" i="50"/>
  <c r="W57" i="40"/>
  <c r="O87" i="43"/>
  <c r="M11" i="43"/>
  <c r="AA226" i="27"/>
  <c r="M31" i="39"/>
  <c r="J81" i="32"/>
  <c r="O231" i="27"/>
  <c r="W94" i="43"/>
  <c r="M88" i="39"/>
  <c r="AA227" i="27"/>
  <c r="M26" i="32"/>
  <c r="N26" i="32"/>
  <c r="O26" i="32" s="1"/>
  <c r="CD133" i="29"/>
  <c r="J79" i="39"/>
  <c r="AB29" i="40"/>
  <c r="AB44" i="39"/>
  <c r="N55" i="25"/>
  <c r="W48" i="39"/>
  <c r="Z21" i="43"/>
  <c r="M16" i="43"/>
  <c r="M79" i="39"/>
  <c r="O12" i="32"/>
  <c r="M38" i="32"/>
  <c r="Z22" i="40"/>
  <c r="K347" i="44"/>
  <c r="Z98" i="39"/>
  <c r="X8" i="32"/>
  <c r="K8" i="32"/>
  <c r="O5" i="43"/>
  <c r="O39" i="32"/>
  <c r="AB37" i="43"/>
  <c r="Z118" i="32"/>
  <c r="E147" i="29"/>
  <c r="Z10" i="40"/>
  <c r="Z50" i="32"/>
  <c r="K28" i="40"/>
  <c r="X28" i="40"/>
  <c r="N86" i="32"/>
  <c r="O86" i="32" s="1"/>
  <c r="M86" i="32"/>
  <c r="O102" i="39"/>
  <c r="J6" i="39"/>
  <c r="K42" i="32"/>
  <c r="X42" i="32"/>
  <c r="M61" i="32"/>
  <c r="CD256" i="29"/>
  <c r="O74" i="39"/>
  <c r="K94" i="40"/>
  <c r="X94" i="40"/>
  <c r="AB79" i="39"/>
  <c r="X93" i="32"/>
  <c r="K93" i="32"/>
  <c r="O74" i="32"/>
  <c r="Z65" i="43"/>
  <c r="O33" i="43"/>
  <c r="O34" i="43" s="1"/>
  <c r="O83" i="32"/>
  <c r="X223" i="27"/>
  <c r="W49" i="43"/>
  <c r="W65" i="43"/>
  <c r="CD260" i="29"/>
  <c r="AB54" i="40"/>
  <c r="P63" i="25"/>
  <c r="X5" i="39"/>
  <c r="K5" i="39"/>
  <c r="W85" i="40"/>
  <c r="Z44" i="39"/>
  <c r="J106" i="32"/>
  <c r="J92" i="39"/>
  <c r="CG133" i="29"/>
  <c r="AA147" i="27"/>
  <c r="K71" i="43"/>
  <c r="X71" i="43"/>
  <c r="L51" i="52"/>
  <c r="G134" i="29"/>
  <c r="CD146" i="29"/>
  <c r="M153" i="27"/>
  <c r="AB6" i="43"/>
  <c r="J87" i="43"/>
  <c r="AB70" i="40"/>
  <c r="X85" i="43"/>
  <c r="K85" i="43"/>
  <c r="N53" i="52"/>
  <c r="O7" i="32"/>
  <c r="N155" i="27"/>
  <c r="O155" i="27" s="1"/>
  <c r="M155" i="27"/>
  <c r="M98" i="39"/>
  <c r="J6" i="43"/>
  <c r="AB349" i="44"/>
  <c r="K62" i="43"/>
  <c r="X62" i="43"/>
  <c r="Z6" i="43"/>
  <c r="J47" i="32"/>
  <c r="J93" i="43"/>
  <c r="J22" i="39"/>
  <c r="E289" i="29"/>
  <c r="O77" i="39"/>
  <c r="J40" i="32"/>
  <c r="Z51" i="43"/>
  <c r="AC227" i="27"/>
  <c r="O154" i="27"/>
  <c r="F129" i="29"/>
  <c r="J53" i="39"/>
  <c r="Z56" i="43"/>
  <c r="K84" i="32"/>
  <c r="X84" i="32"/>
  <c r="N7" i="51"/>
  <c r="F146" i="29"/>
  <c r="Z85" i="43"/>
  <c r="O44" i="43"/>
  <c r="W92" i="43"/>
  <c r="X33" i="43"/>
  <c r="X34" i="43" s="1"/>
  <c r="K33" i="43"/>
  <c r="AB69" i="40"/>
  <c r="M34" i="39"/>
  <c r="O23" i="39"/>
  <c r="P7" i="51"/>
  <c r="M21" i="32"/>
  <c r="J10" i="40"/>
  <c r="E132" i="29"/>
  <c r="AC143" i="27"/>
  <c r="J41" i="32"/>
  <c r="AB39" i="32"/>
  <c r="G133" i="29"/>
  <c r="O78" i="39"/>
  <c r="AD20" i="47"/>
  <c r="AD22" i="47" s="1"/>
  <c r="AE23" i="47" s="1"/>
  <c r="J29" i="43"/>
  <c r="Z91" i="32"/>
  <c r="O220" i="27"/>
  <c r="J56" i="43"/>
  <c r="W10" i="40"/>
  <c r="W33" i="32"/>
  <c r="Z59" i="39"/>
  <c r="AB55" i="40"/>
  <c r="O73" i="32"/>
  <c r="AB75" i="32"/>
  <c r="L54" i="25"/>
  <c r="J70" i="40"/>
  <c r="Z103" i="39"/>
  <c r="CG192" i="29"/>
  <c r="Z90" i="32"/>
  <c r="AC154" i="27"/>
  <c r="AB76" i="40"/>
  <c r="J27" i="39"/>
  <c r="W92" i="39"/>
  <c r="Z112" i="32"/>
  <c r="Z16" i="43"/>
  <c r="M154" i="27"/>
  <c r="M68" i="40"/>
  <c r="AA148" i="27"/>
  <c r="J47" i="39"/>
  <c r="Z73" i="39"/>
  <c r="AB82" i="32"/>
  <c r="M76" i="39"/>
  <c r="K40" i="39"/>
  <c r="X40" i="39"/>
  <c r="J40" i="40"/>
  <c r="X221" i="27"/>
  <c r="J85" i="39"/>
  <c r="W28" i="40"/>
  <c r="J46" i="32"/>
  <c r="X112" i="32"/>
  <c r="K112" i="32"/>
  <c r="J44" i="43"/>
  <c r="E130" i="29"/>
  <c r="W81" i="43"/>
  <c r="AB63" i="40"/>
  <c r="O65" i="32"/>
  <c r="O222" i="27"/>
  <c r="O25" i="39"/>
  <c r="X50" i="32"/>
  <c r="K50" i="32"/>
  <c r="H256" i="29"/>
  <c r="X76" i="40"/>
  <c r="K76" i="40"/>
  <c r="K39" i="32"/>
  <c r="X39" i="32"/>
  <c r="Z18" i="39"/>
  <c r="O7" i="39"/>
  <c r="N48" i="52"/>
  <c r="L63" i="25"/>
  <c r="O92" i="40"/>
  <c r="J145" i="27"/>
  <c r="O27" i="32"/>
  <c r="W23" i="43"/>
  <c r="M54" i="39"/>
  <c r="K6" i="40"/>
  <c r="X6" i="40"/>
  <c r="X222" i="27"/>
  <c r="J13" i="32"/>
  <c r="K65" i="43"/>
  <c r="X65" i="43"/>
  <c r="L49" i="52"/>
  <c r="K39" i="40"/>
  <c r="X39" i="40"/>
  <c r="N8" i="32"/>
  <c r="O8" i="32" s="1"/>
  <c r="M8" i="32"/>
  <c r="O95" i="40"/>
  <c r="Z100" i="32"/>
  <c r="W77" i="39"/>
  <c r="K68" i="32"/>
  <c r="X68" i="32"/>
  <c r="AB72" i="32"/>
  <c r="X157" i="27"/>
  <c r="AB95" i="40"/>
  <c r="Z93" i="39"/>
  <c r="Z28" i="43"/>
  <c r="M10" i="40"/>
  <c r="M227" i="27"/>
  <c r="K87" i="43"/>
  <c r="X87" i="43"/>
  <c r="Z50" i="43"/>
  <c r="J83" i="40"/>
  <c r="M71" i="40"/>
  <c r="AB63" i="43"/>
  <c r="Z6" i="39"/>
  <c r="M44" i="40"/>
  <c r="P54" i="25"/>
  <c r="O96" i="43"/>
  <c r="J22" i="43"/>
  <c r="M28" i="32"/>
  <c r="Z10" i="43"/>
  <c r="AB21" i="43"/>
  <c r="AB84" i="39"/>
  <c r="J62" i="25"/>
  <c r="O118" i="32"/>
  <c r="M39" i="39"/>
  <c r="N39" i="39"/>
  <c r="O39" i="39" s="1"/>
  <c r="AA145" i="27"/>
  <c r="W35" i="32"/>
  <c r="M102" i="39"/>
  <c r="O21" i="32"/>
  <c r="M37" i="40"/>
  <c r="G192" i="29"/>
  <c r="Z25" i="39"/>
  <c r="K234" i="27"/>
  <c r="E135" i="29"/>
  <c r="AB49" i="43"/>
  <c r="W93" i="32"/>
  <c r="CE131" i="29"/>
  <c r="Z66" i="32"/>
  <c r="W106" i="32"/>
  <c r="BZ167" i="29"/>
  <c r="E131" i="29"/>
  <c r="AB104" i="32"/>
  <c r="M108" i="32"/>
  <c r="J33" i="43"/>
  <c r="J34" i="43" s="1"/>
  <c r="X61" i="40"/>
  <c r="K61" i="40"/>
  <c r="Z27" i="43"/>
  <c r="O60" i="32"/>
  <c r="K70" i="40"/>
  <c r="X70" i="40"/>
  <c r="J77" i="40"/>
  <c r="X66" i="39"/>
  <c r="K66" i="39"/>
  <c r="J14" i="32"/>
  <c r="J144" i="27"/>
  <c r="M65" i="32"/>
  <c r="X41" i="32"/>
  <c r="K41" i="32"/>
  <c r="O93" i="40"/>
  <c r="M34" i="50"/>
  <c r="J12" i="32"/>
  <c r="Z92" i="43"/>
  <c r="W22" i="32"/>
  <c r="F142" i="29"/>
  <c r="J67" i="32"/>
  <c r="M45" i="40"/>
  <c r="X7" i="39"/>
  <c r="K7" i="39"/>
  <c r="O68" i="39"/>
  <c r="M53" i="39"/>
  <c r="AB5" i="32"/>
  <c r="O39" i="43"/>
  <c r="AB36" i="39"/>
  <c r="X19" i="32"/>
  <c r="K19" i="32"/>
  <c r="AB35" i="32"/>
  <c r="Z53" i="39"/>
  <c r="G136" i="29"/>
  <c r="J113" i="32"/>
  <c r="M6" i="39"/>
  <c r="J60" i="39"/>
  <c r="J222" i="27"/>
  <c r="W50" i="40"/>
  <c r="J54" i="40"/>
  <c r="AB36" i="50"/>
  <c r="O50" i="32"/>
  <c r="O38" i="39"/>
  <c r="AB69" i="39"/>
  <c r="J91" i="32"/>
  <c r="X93" i="43"/>
  <c r="K93" i="43"/>
  <c r="J68" i="32"/>
  <c r="Z66" i="39"/>
  <c r="Z76" i="39"/>
  <c r="Z64" i="40"/>
  <c r="AB24" i="32"/>
  <c r="J74" i="32"/>
  <c r="J19" i="32"/>
  <c r="E133" i="29"/>
  <c r="AB20" i="32"/>
  <c r="M50" i="43"/>
  <c r="S136" i="27"/>
  <c r="T134" i="27" s="1"/>
  <c r="Z23" i="32"/>
  <c r="F162" i="29"/>
  <c r="CA224" i="29"/>
  <c r="G130" i="29"/>
  <c r="X69" i="40"/>
  <c r="K69" i="40"/>
  <c r="O40" i="40"/>
  <c r="M22" i="40"/>
  <c r="AB106" i="32"/>
  <c r="K54" i="40"/>
  <c r="X54" i="40"/>
  <c r="CD131" i="29"/>
  <c r="J148" i="27"/>
  <c r="J51" i="43"/>
  <c r="X25" i="32"/>
  <c r="K25" i="32"/>
  <c r="W62" i="39"/>
  <c r="Z92" i="39"/>
  <c r="Z22" i="43"/>
  <c r="O113" i="32"/>
  <c r="M88" i="43"/>
  <c r="J28" i="40"/>
  <c r="X148" i="27"/>
  <c r="X91" i="32"/>
  <c r="K91" i="32"/>
  <c r="W63" i="43"/>
  <c r="K69" i="39"/>
  <c r="X69" i="39"/>
  <c r="M57" i="43"/>
  <c r="M78" i="40"/>
  <c r="K59" i="32"/>
  <c r="X59" i="32"/>
  <c r="Z7" i="39"/>
  <c r="X27" i="40"/>
  <c r="K27" i="40"/>
  <c r="W64" i="40"/>
  <c r="J230" i="27"/>
  <c r="Z24" i="32"/>
  <c r="W104" i="32"/>
  <c r="AB29" i="43"/>
  <c r="J60" i="25"/>
  <c r="W25" i="32"/>
  <c r="J153" i="27"/>
  <c r="O79" i="43"/>
  <c r="M104" i="32"/>
  <c r="CF135" i="29"/>
  <c r="Z57" i="40"/>
  <c r="E136" i="29"/>
  <c r="J69" i="39"/>
  <c r="X74" i="32"/>
  <c r="K74" i="32"/>
  <c r="O70" i="40"/>
  <c r="O56" i="40"/>
  <c r="J11" i="40"/>
  <c r="AB25" i="39"/>
  <c r="Z83" i="32"/>
  <c r="O15" i="40"/>
  <c r="CD192" i="29"/>
  <c r="J83" i="32"/>
  <c r="AB73" i="39"/>
  <c r="AB23" i="43"/>
  <c r="Z74" i="32"/>
  <c r="K40" i="40"/>
  <c r="X40" i="40"/>
  <c r="H133" i="29"/>
  <c r="W35" i="39"/>
  <c r="AB97" i="39"/>
  <c r="W93" i="40"/>
  <c r="G196" i="29"/>
  <c r="K56" i="40"/>
  <c r="X56" i="40"/>
  <c r="J25" i="39"/>
  <c r="W6" i="32"/>
  <c r="W40" i="32"/>
  <c r="W86" i="39"/>
  <c r="O143" i="27"/>
  <c r="J90" i="40"/>
  <c r="Z13" i="39"/>
  <c r="J62" i="40"/>
  <c r="CD142" i="29"/>
  <c r="W21" i="39"/>
  <c r="L45" i="52"/>
  <c r="Z37" i="39"/>
  <c r="Z17" i="40"/>
  <c r="J84" i="39"/>
  <c r="K29" i="43"/>
  <c r="X29" i="43"/>
  <c r="Z23" i="39"/>
  <c r="J37" i="40"/>
  <c r="X93" i="40"/>
  <c r="K93" i="40"/>
  <c r="M36" i="50"/>
  <c r="W59" i="39"/>
  <c r="Z7" i="32"/>
  <c r="W92" i="32"/>
  <c r="M7" i="32"/>
  <c r="O5" i="39"/>
  <c r="K61" i="39"/>
  <c r="X61" i="39"/>
  <c r="M46" i="14"/>
  <c r="M156" i="27"/>
  <c r="O33" i="39"/>
  <c r="M77" i="39"/>
  <c r="G146" i="29"/>
  <c r="J86" i="40"/>
  <c r="AC220" i="27"/>
  <c r="AB55" i="43"/>
  <c r="W80" i="32"/>
  <c r="J60" i="32"/>
  <c r="M12" i="32"/>
  <c r="Z23" i="40"/>
  <c r="J35" i="32"/>
  <c r="M50" i="32"/>
  <c r="Y48" i="14"/>
  <c r="Y49" i="14" s="1"/>
  <c r="L46" i="52"/>
  <c r="O94" i="40"/>
  <c r="Z55" i="39"/>
  <c r="Z11" i="40"/>
  <c r="Z349" i="44"/>
  <c r="J15" i="40"/>
  <c r="M44" i="43"/>
  <c r="Z12" i="32"/>
  <c r="M222" i="27"/>
  <c r="AB17" i="40"/>
  <c r="M74" i="32"/>
  <c r="CE147" i="29"/>
  <c r="M18" i="39"/>
  <c r="X26" i="39"/>
  <c r="K26" i="39"/>
  <c r="AB107" i="32"/>
  <c r="W102" i="39"/>
  <c r="O148" i="27"/>
  <c r="J15" i="43"/>
  <c r="Z35" i="39"/>
  <c r="AA35" i="39"/>
  <c r="AB35" i="39" s="1"/>
  <c r="W40" i="39"/>
  <c r="AB34" i="32"/>
  <c r="F140" i="29"/>
  <c r="AB33" i="50"/>
  <c r="O37" i="40"/>
  <c r="CE141" i="29"/>
  <c r="CG134" i="29"/>
  <c r="O230" i="27"/>
  <c r="J40" i="39"/>
  <c r="O75" i="39"/>
  <c r="Z54" i="32"/>
  <c r="Z55" i="32" s="1"/>
  <c r="J21" i="43"/>
  <c r="E140" i="29"/>
  <c r="BZ162" i="29"/>
  <c r="AB49" i="52"/>
  <c r="X21" i="40"/>
  <c r="K21" i="40"/>
  <c r="F144" i="29"/>
  <c r="O21" i="39"/>
  <c r="O58" i="32"/>
  <c r="O81" i="32"/>
  <c r="O40" i="39"/>
  <c r="M144" i="27"/>
  <c r="K80" i="39"/>
  <c r="X80" i="39"/>
  <c r="W68" i="32"/>
  <c r="M225" i="27"/>
  <c r="M22" i="39"/>
  <c r="N22" i="39"/>
  <c r="O22" i="39" s="1"/>
  <c r="M5" i="43"/>
  <c r="J44" i="40"/>
  <c r="W112" i="32"/>
  <c r="AB83" i="32"/>
  <c r="K50" i="40"/>
  <c r="X50" i="40"/>
  <c r="H257" i="29"/>
  <c r="W29" i="43"/>
  <c r="X78" i="39"/>
  <c r="K78" i="39"/>
  <c r="W7" i="32"/>
  <c r="AB91" i="32"/>
  <c r="K64" i="43"/>
  <c r="X64" i="43"/>
  <c r="M149" i="27"/>
  <c r="Z45" i="39"/>
  <c r="O23" i="40"/>
  <c r="F192" i="29"/>
  <c r="P9" i="51"/>
  <c r="AB78" i="39"/>
  <c r="O348" i="44"/>
  <c r="AB11" i="43"/>
  <c r="O59" i="39"/>
  <c r="E261" i="29"/>
  <c r="M79" i="43"/>
  <c r="AB85" i="32"/>
  <c r="O145" i="27"/>
  <c r="O79" i="40"/>
  <c r="AB23" i="32"/>
  <c r="AB11" i="40"/>
  <c r="M84" i="40"/>
  <c r="M58" i="32"/>
  <c r="W16" i="43"/>
  <c r="AA144" i="27"/>
  <c r="O93" i="43"/>
  <c r="M92" i="40"/>
  <c r="Z61" i="39"/>
  <c r="AB347" i="44"/>
  <c r="Z73" i="32"/>
  <c r="K15" i="40"/>
  <c r="X15" i="40"/>
  <c r="W42" i="32"/>
  <c r="F260" i="29"/>
  <c r="O223" i="27"/>
  <c r="K77" i="40"/>
  <c r="X77" i="40"/>
  <c r="X12" i="39"/>
  <c r="K12" i="39"/>
  <c r="J38" i="43"/>
  <c r="M85" i="43"/>
  <c r="Z68" i="40"/>
  <c r="Z86" i="40"/>
  <c r="O75" i="32"/>
  <c r="O72" i="43"/>
  <c r="Z27" i="32"/>
  <c r="CF142" i="29"/>
  <c r="J154" i="27"/>
  <c r="Z108" i="32"/>
  <c r="CF140" i="29"/>
  <c r="Z37" i="43"/>
  <c r="J68" i="40"/>
  <c r="X152" i="27"/>
  <c r="Z45" i="52"/>
  <c r="M94" i="40"/>
  <c r="O44" i="39"/>
  <c r="AB40" i="43"/>
  <c r="M11" i="40"/>
  <c r="J50" i="32"/>
  <c r="AD6" i="51"/>
  <c r="K16" i="43"/>
  <c r="X16" i="43"/>
  <c r="W86" i="40"/>
  <c r="X34" i="32"/>
  <c r="K34" i="32"/>
  <c r="M79" i="40"/>
  <c r="AC231" i="27"/>
  <c r="Z91" i="40"/>
  <c r="AB105" i="32"/>
  <c r="Z36" i="32"/>
  <c r="AA36" i="32"/>
  <c r="AB36" i="32" s="1"/>
  <c r="CE129" i="29"/>
  <c r="L52" i="25"/>
  <c r="O92" i="32"/>
  <c r="K79" i="32"/>
  <c r="X79" i="32"/>
  <c r="K348" i="44"/>
  <c r="O6" i="39"/>
  <c r="W22" i="39"/>
  <c r="L55" i="25"/>
  <c r="X146" i="27"/>
  <c r="AB40" i="39"/>
  <c r="E146" i="29"/>
  <c r="M81" i="32"/>
  <c r="O51" i="43"/>
  <c r="W54" i="40"/>
  <c r="W41" i="32"/>
  <c r="Z5" i="39"/>
  <c r="AC153" i="27"/>
  <c r="AB38" i="43"/>
  <c r="X86" i="40"/>
  <c r="K86" i="40"/>
  <c r="X10" i="40"/>
  <c r="K10" i="40"/>
  <c r="O64" i="43"/>
  <c r="O225" i="27"/>
  <c r="AA156" i="27"/>
  <c r="O12" i="39"/>
  <c r="AD7" i="51"/>
  <c r="AB53" i="39"/>
  <c r="Z84" i="32"/>
  <c r="AB84" i="32"/>
  <c r="AB53" i="52"/>
  <c r="CG130" i="29"/>
  <c r="J82" i="32"/>
  <c r="M75" i="39"/>
  <c r="M12" i="39"/>
  <c r="W37" i="43"/>
  <c r="M45" i="43"/>
  <c r="M86" i="40"/>
  <c r="J70" i="43"/>
  <c r="Z27" i="40"/>
  <c r="K27" i="32"/>
  <c r="X27" i="32"/>
  <c r="J152" i="27"/>
  <c r="Z95" i="40"/>
  <c r="AB68" i="39"/>
  <c r="Z38" i="39"/>
  <c r="O69" i="43"/>
  <c r="F143" i="29"/>
  <c r="K160" i="27"/>
  <c r="W50" i="43"/>
  <c r="O84" i="32"/>
  <c r="CF130" i="29"/>
  <c r="M348" i="44"/>
  <c r="M75" i="32"/>
  <c r="AB93" i="40"/>
  <c r="J91" i="40"/>
  <c r="K49" i="43"/>
  <c r="X49" i="43"/>
  <c r="M44" i="39"/>
  <c r="Z93" i="40"/>
  <c r="W63" i="40"/>
  <c r="J64" i="40"/>
  <c r="F257" i="29"/>
  <c r="X143" i="27"/>
  <c r="J88" i="43"/>
  <c r="K97" i="39"/>
  <c r="X97" i="39"/>
  <c r="M20" i="32"/>
  <c r="Z53" i="52"/>
  <c r="M47" i="39"/>
  <c r="O69" i="39"/>
  <c r="AB85" i="40"/>
  <c r="AB83" i="40"/>
  <c r="AA222" i="27"/>
  <c r="O218" i="27"/>
  <c r="X19" i="39"/>
  <c r="K19" i="39"/>
  <c r="W103" i="39"/>
  <c r="Z35" i="32"/>
  <c r="W79" i="40"/>
  <c r="W15" i="43"/>
  <c r="X347" i="44"/>
  <c r="Z56" i="40"/>
  <c r="M18" i="32"/>
  <c r="AB40" i="40"/>
  <c r="N62" i="25"/>
  <c r="E260" i="29"/>
  <c r="K75" i="32"/>
  <c r="X75" i="32"/>
  <c r="M5" i="40"/>
  <c r="M147" i="27"/>
  <c r="M41" i="32"/>
  <c r="O17" i="40"/>
  <c r="AC152" i="27"/>
  <c r="K54" i="39"/>
  <c r="X54" i="39"/>
  <c r="O28" i="43"/>
  <c r="M91" i="32"/>
  <c r="Z28" i="32"/>
  <c r="J79" i="43"/>
  <c r="AB86" i="39"/>
  <c r="X11" i="40"/>
  <c r="K11" i="40"/>
  <c r="Z47" i="32"/>
  <c r="CE196" i="29"/>
  <c r="W33" i="40"/>
  <c r="W34" i="40" s="1"/>
  <c r="O32" i="39"/>
  <c r="M24" i="39"/>
  <c r="J157" i="27"/>
  <c r="J61" i="25"/>
  <c r="M45" i="39"/>
  <c r="W71" i="43"/>
  <c r="Z87" i="39"/>
  <c r="O54" i="40"/>
  <c r="N45" i="52"/>
  <c r="X70" i="43"/>
  <c r="K70" i="43"/>
  <c r="Z83" i="40"/>
  <c r="O23" i="43"/>
  <c r="X67" i="32"/>
  <c r="K67" i="32"/>
  <c r="O71" i="43"/>
  <c r="Z38" i="32"/>
  <c r="M61" i="40"/>
  <c r="CE136" i="29"/>
  <c r="P55" i="25"/>
  <c r="CE144" i="29"/>
  <c r="J102" i="39"/>
  <c r="AB90" i="32"/>
  <c r="J23" i="32"/>
  <c r="W86" i="43"/>
  <c r="AB44" i="40"/>
  <c r="AD34" i="50"/>
  <c r="AB27" i="43"/>
  <c r="M105" i="32"/>
  <c r="T135" i="27"/>
  <c r="Z18" i="32"/>
  <c r="J59" i="32"/>
  <c r="K58" i="32"/>
  <c r="X58" i="32"/>
  <c r="AB88" i="39"/>
  <c r="Z92" i="32"/>
  <c r="AB33" i="43"/>
  <c r="AB34" i="43" s="1"/>
  <c r="I347" i="44"/>
  <c r="O44" i="40"/>
  <c r="O56" i="43"/>
  <c r="X38" i="32"/>
  <c r="K38" i="32"/>
  <c r="X88" i="39"/>
  <c r="K88" i="39"/>
  <c r="X225" i="27"/>
  <c r="Z73" i="43"/>
  <c r="M112" i="32"/>
  <c r="CE130" i="29"/>
  <c r="E225" i="29"/>
  <c r="Z23" i="43"/>
  <c r="W77" i="43"/>
  <c r="AB34" i="39"/>
  <c r="AB61" i="40"/>
  <c r="CF132" i="29"/>
  <c r="J73" i="43"/>
  <c r="W58" i="43"/>
  <c r="Z21" i="32"/>
  <c r="AB73" i="43"/>
  <c r="Z15" i="43"/>
  <c r="Z49" i="40"/>
  <c r="AB45" i="43"/>
  <c r="X17" i="43"/>
  <c r="K17" i="43"/>
  <c r="Z72" i="40"/>
  <c r="X79" i="40"/>
  <c r="K79" i="40"/>
  <c r="O32" i="50"/>
  <c r="J71" i="40"/>
  <c r="W36" i="32"/>
  <c r="Z81" i="43"/>
  <c r="AB13" i="39"/>
  <c r="M38" i="40"/>
  <c r="J159" i="27"/>
  <c r="M218" i="27"/>
  <c r="K107" i="32"/>
  <c r="X107" i="32"/>
  <c r="AB58" i="32"/>
  <c r="M46" i="39"/>
  <c r="N46" i="39"/>
  <c r="O46" i="39" s="1"/>
  <c r="O22" i="43"/>
  <c r="W44" i="39"/>
  <c r="W91" i="32"/>
  <c r="O90" i="32"/>
  <c r="X38" i="40"/>
  <c r="K38" i="40"/>
  <c r="W51" i="43"/>
  <c r="O27" i="43"/>
  <c r="F131" i="29"/>
  <c r="W80" i="39"/>
  <c r="Z63" i="43"/>
  <c r="K22" i="40"/>
  <c r="X22" i="40"/>
  <c r="K117" i="32"/>
  <c r="X117" i="32"/>
  <c r="Z60" i="32"/>
  <c r="CD129" i="29"/>
  <c r="AB38" i="39"/>
  <c r="O34" i="32"/>
  <c r="J69" i="43"/>
  <c r="K83" i="40"/>
  <c r="X83" i="40"/>
  <c r="Z19" i="39"/>
  <c r="W60" i="39"/>
  <c r="M76" i="40"/>
  <c r="M80" i="40" s="1"/>
  <c r="AB99" i="32"/>
  <c r="AB62" i="39"/>
  <c r="AA86" i="32"/>
  <c r="AB86" i="32" s="1"/>
  <c r="Z86" i="32"/>
  <c r="Z14" i="39"/>
  <c r="M72" i="40"/>
  <c r="J33" i="32"/>
  <c r="O97" i="39"/>
  <c r="CC162" i="29"/>
  <c r="M23" i="39"/>
  <c r="AB70" i="43"/>
  <c r="O5" i="40"/>
  <c r="O61" i="32"/>
  <c r="J233" i="27"/>
  <c r="J37" i="39"/>
  <c r="M152" i="27"/>
  <c r="AB62" i="43"/>
  <c r="X40" i="43"/>
  <c r="K40" i="43"/>
  <c r="O60" i="39"/>
  <c r="O11" i="40"/>
  <c r="M13" i="39"/>
  <c r="Z77" i="39"/>
  <c r="O63" i="43"/>
  <c r="H134" i="29"/>
  <c r="M230" i="27"/>
  <c r="AA231" i="27"/>
  <c r="AC222" i="27"/>
  <c r="X155" i="27"/>
  <c r="AB21" i="32"/>
  <c r="J34" i="39"/>
  <c r="M42" i="32"/>
  <c r="O20" i="39"/>
  <c r="J26" i="39"/>
  <c r="M58" i="43"/>
  <c r="Z54" i="39"/>
  <c r="AB19" i="32"/>
  <c r="M94" i="32"/>
  <c r="Z64" i="43"/>
  <c r="Z59" i="32"/>
  <c r="K96" i="43"/>
  <c r="X96" i="43"/>
  <c r="K62" i="40"/>
  <c r="X62" i="40"/>
  <c r="X153" i="27"/>
  <c r="AB68" i="32"/>
  <c r="CD130" i="29"/>
  <c r="O79" i="32"/>
  <c r="AB13" i="32"/>
  <c r="J99" i="32"/>
  <c r="O62" i="43"/>
  <c r="J98" i="39"/>
  <c r="J97" i="39"/>
  <c r="W26" i="32"/>
  <c r="X86" i="32"/>
  <c r="K86" i="32"/>
  <c r="M40" i="40"/>
  <c r="X93" i="39"/>
  <c r="K93" i="39"/>
  <c r="M78" i="39"/>
  <c r="W49" i="32"/>
  <c r="W72" i="40"/>
  <c r="AB37" i="32"/>
  <c r="Z92" i="40"/>
  <c r="CF141" i="29"/>
  <c r="AC219" i="27"/>
  <c r="M49" i="40"/>
  <c r="E168" i="29"/>
  <c r="M20" i="47"/>
  <c r="M82" i="32"/>
  <c r="Z21" i="40"/>
  <c r="Z24" i="40" s="1"/>
  <c r="J96" i="43"/>
  <c r="AB34" i="50"/>
  <c r="O97" i="43"/>
  <c r="K77" i="39"/>
  <c r="X77" i="39"/>
  <c r="W95" i="43"/>
  <c r="AC46" i="14"/>
  <c r="BZ224" i="29"/>
  <c r="M59" i="32"/>
  <c r="J64" i="25"/>
  <c r="AB38" i="32"/>
  <c r="M92" i="43"/>
  <c r="Z85" i="40"/>
  <c r="W16" i="40"/>
  <c r="W22" i="43"/>
  <c r="J40" i="43"/>
  <c r="J80" i="32"/>
  <c r="J39" i="32"/>
  <c r="M33" i="32"/>
  <c r="K20" i="39"/>
  <c r="X20" i="39"/>
  <c r="W40" i="40"/>
  <c r="AB57" i="43"/>
  <c r="M231" i="27"/>
  <c r="M94" i="43"/>
  <c r="G144" i="29"/>
  <c r="J52" i="39"/>
  <c r="M59" i="39"/>
  <c r="AB32" i="39"/>
  <c r="M349" i="44"/>
  <c r="X33" i="32"/>
  <c r="K33" i="32"/>
  <c r="AB77" i="43"/>
  <c r="W38" i="39"/>
  <c r="J29" i="40"/>
  <c r="W8" i="39"/>
  <c r="Z47" i="39"/>
  <c r="E144" i="29"/>
  <c r="Z96" i="43"/>
  <c r="W52" i="39"/>
  <c r="AD9" i="51"/>
  <c r="O41" i="32"/>
  <c r="Z49" i="32"/>
  <c r="CD135" i="29"/>
  <c r="K95" i="43"/>
  <c r="X95" i="43"/>
  <c r="L51" i="25"/>
  <c r="K23" i="40"/>
  <c r="X23" i="40"/>
  <c r="K35" i="32"/>
  <c r="X35" i="32"/>
  <c r="AB69" i="43"/>
  <c r="AF7" i="51"/>
  <c r="M90" i="40"/>
  <c r="M70" i="40"/>
  <c r="W98" i="32"/>
  <c r="M145" i="27"/>
  <c r="M74" i="39"/>
  <c r="W73" i="32"/>
  <c r="Z71" i="40"/>
  <c r="X44" i="39"/>
  <c r="K44" i="39"/>
  <c r="X77" i="43"/>
  <c r="K77" i="43"/>
  <c r="CE192" i="29"/>
  <c r="AB81" i="43"/>
  <c r="K60" i="39"/>
  <c r="X60" i="39"/>
  <c r="W32" i="32"/>
  <c r="CF146" i="29"/>
  <c r="J73" i="32"/>
  <c r="O87" i="39"/>
  <c r="M86" i="39"/>
  <c r="M40" i="43"/>
  <c r="AB79" i="40"/>
  <c r="O36" i="39"/>
  <c r="M64" i="43"/>
  <c r="J16" i="40"/>
  <c r="M93" i="39"/>
  <c r="X156" i="27"/>
  <c r="J23" i="40"/>
  <c r="J63" i="25"/>
  <c r="J50" i="43"/>
  <c r="O144" i="27"/>
  <c r="O88" i="43"/>
  <c r="W93" i="39"/>
  <c r="AB38" i="40"/>
  <c r="W31" i="39"/>
  <c r="M80" i="39"/>
  <c r="N80" i="39"/>
  <c r="O80" i="39" s="1"/>
  <c r="J39" i="40"/>
  <c r="Z48" i="39"/>
  <c r="J56" i="40"/>
  <c r="J227" i="27"/>
  <c r="M33" i="50"/>
  <c r="X69" i="43"/>
  <c r="K69" i="43"/>
  <c r="Z62" i="39"/>
  <c r="CF131" i="29"/>
  <c r="E167" i="29"/>
  <c r="N159" i="27"/>
  <c r="O159" i="27" s="1"/>
  <c r="M159" i="27"/>
  <c r="AB348" i="44"/>
  <c r="K20" i="32"/>
  <c r="X20" i="32"/>
  <c r="J7" i="39"/>
  <c r="W67" i="32"/>
  <c r="AB44" i="43"/>
  <c r="AB46" i="43" s="1"/>
  <c r="L53" i="25"/>
  <c r="CF136" i="29"/>
  <c r="M23" i="32"/>
  <c r="AB24" i="39"/>
  <c r="O90" i="40"/>
  <c r="AB54" i="32"/>
  <c r="AB55" i="32" s="1"/>
  <c r="M25" i="39"/>
  <c r="X55" i="39"/>
  <c r="K55" i="39"/>
  <c r="AB42" i="32"/>
  <c r="Z78" i="39"/>
  <c r="X39" i="39"/>
  <c r="K39" i="39"/>
  <c r="W62" i="40"/>
  <c r="K106" i="32"/>
  <c r="X106" i="32"/>
  <c r="AB71" i="43"/>
  <c r="O10" i="40"/>
  <c r="O12" i="40" s="1"/>
  <c r="M13" i="32"/>
  <c r="AB71" i="40"/>
  <c r="W65" i="32"/>
  <c r="M21" i="39"/>
  <c r="W87" i="43"/>
  <c r="AB47" i="32"/>
  <c r="M220" i="27"/>
  <c r="E141" i="29"/>
  <c r="CD261" i="29"/>
  <c r="J54" i="39"/>
  <c r="Z33" i="43"/>
  <c r="Z34" i="43" s="1"/>
  <c r="AA35" i="43" s="1"/>
  <c r="AC33" i="43" s="1"/>
  <c r="CB162" i="29"/>
  <c r="G131" i="29"/>
  <c r="O93" i="32"/>
  <c r="AA158" i="27"/>
  <c r="AC223" i="27"/>
  <c r="Z90" i="40"/>
  <c r="AB75" i="39"/>
  <c r="O147" i="27"/>
  <c r="AB87" i="39"/>
  <c r="K50" i="43"/>
  <c r="X50" i="43"/>
  <c r="K76" i="39"/>
  <c r="X76" i="39"/>
  <c r="J93" i="39"/>
  <c r="AB60" i="39"/>
  <c r="H129" i="29"/>
  <c r="CF134" i="29"/>
  <c r="M69" i="40"/>
  <c r="X34" i="39"/>
  <c r="K34" i="39"/>
  <c r="BZ168" i="29"/>
  <c r="W5" i="39"/>
  <c r="AB16" i="40"/>
  <c r="AB97" i="43"/>
  <c r="O117" i="32"/>
  <c r="O119" i="32" s="1"/>
  <c r="M98" i="32"/>
  <c r="M92" i="32"/>
  <c r="Z27" i="39"/>
  <c r="O63" i="40"/>
  <c r="O85" i="39"/>
  <c r="W57" i="43"/>
  <c r="AA149" i="27"/>
  <c r="L48" i="52"/>
  <c r="K108" i="32"/>
  <c r="X108" i="32"/>
  <c r="J85" i="32"/>
  <c r="X6" i="43"/>
  <c r="K6" i="43"/>
  <c r="Z32" i="39"/>
  <c r="F147" i="29"/>
  <c r="O221" i="27"/>
  <c r="M55" i="40"/>
  <c r="CF133" i="29"/>
  <c r="J6" i="40"/>
  <c r="W64" i="43"/>
  <c r="J217" i="27"/>
  <c r="AB72" i="43"/>
  <c r="AB91" i="40"/>
  <c r="E224" i="29"/>
  <c r="J73" i="39"/>
  <c r="Z105" i="32"/>
  <c r="M21" i="43"/>
  <c r="M61" i="39"/>
  <c r="AB55" i="39"/>
  <c r="Z44" i="40"/>
  <c r="N44" i="52"/>
  <c r="AB49" i="32"/>
  <c r="Z28" i="40"/>
  <c r="CE260" i="29"/>
  <c r="W11" i="43"/>
  <c r="AB20" i="39"/>
  <c r="J27" i="40"/>
  <c r="J30" i="40" s="1"/>
  <c r="X22" i="39"/>
  <c r="K22" i="39"/>
  <c r="X83" i="32"/>
  <c r="K83" i="32"/>
  <c r="K24" i="39"/>
  <c r="X24" i="39"/>
  <c r="X12" i="32"/>
  <c r="K12" i="32"/>
  <c r="X46" i="32"/>
  <c r="K46" i="32"/>
  <c r="J50" i="40"/>
  <c r="N60" i="25"/>
  <c r="M57" i="40"/>
  <c r="Z79" i="43"/>
  <c r="Z70" i="43"/>
  <c r="AB81" i="32"/>
  <c r="AB118" i="32"/>
  <c r="O77" i="40"/>
  <c r="O64" i="40"/>
  <c r="AB6" i="32"/>
  <c r="M35" i="32"/>
  <c r="CE146" i="29"/>
  <c r="J54" i="25"/>
  <c r="O84" i="40"/>
  <c r="W45" i="39"/>
  <c r="X33" i="39"/>
  <c r="K33" i="39"/>
  <c r="AA46" i="39"/>
  <c r="AB46" i="39" s="1"/>
  <c r="Z46" i="39"/>
  <c r="M5" i="39"/>
  <c r="AB98" i="32"/>
  <c r="J72" i="32"/>
  <c r="W96" i="43"/>
  <c r="K18" i="39"/>
  <c r="X18" i="39"/>
  <c r="AC221" i="27"/>
  <c r="W94" i="40"/>
  <c r="M24" i="32"/>
  <c r="W79" i="32"/>
  <c r="W39" i="43"/>
  <c r="Z5" i="43"/>
  <c r="Z7" i="43" s="1"/>
  <c r="O55" i="43"/>
  <c r="X226" i="27"/>
  <c r="W22" i="40"/>
  <c r="M78" i="43"/>
  <c r="G167" i="29"/>
  <c r="Z69" i="40"/>
  <c r="Z97" i="39"/>
  <c r="Z99" i="39" s="1"/>
  <c r="Z40" i="43"/>
  <c r="Z5" i="40"/>
  <c r="Z7" i="40" s="1"/>
  <c r="K48" i="39"/>
  <c r="X48" i="39"/>
  <c r="N49" i="52"/>
  <c r="M7" i="39"/>
  <c r="J65" i="43"/>
  <c r="X348" i="44"/>
  <c r="Z99" i="32"/>
  <c r="J6" i="32"/>
  <c r="O29" i="43"/>
  <c r="M52" i="39"/>
  <c r="X85" i="40"/>
  <c r="K85" i="40"/>
  <c r="W33" i="43"/>
  <c r="W34" i="43" s="1"/>
  <c r="Z33" i="39"/>
  <c r="X58" i="43"/>
  <c r="K58" i="43"/>
  <c r="W72" i="43"/>
  <c r="CE261" i="29"/>
  <c r="O61" i="40"/>
  <c r="O65" i="40" s="1"/>
  <c r="O17" i="43"/>
  <c r="O86" i="40"/>
  <c r="J49" i="32"/>
  <c r="M80" i="32"/>
  <c r="Z55" i="43"/>
  <c r="J75" i="32"/>
  <c r="AB33" i="32"/>
  <c r="M56" i="43"/>
  <c r="X5" i="32"/>
  <c r="K5" i="32"/>
  <c r="M79" i="32"/>
  <c r="AB5" i="39"/>
  <c r="Z98" i="32"/>
  <c r="W81" i="32"/>
  <c r="X14" i="39"/>
  <c r="K14" i="39"/>
  <c r="J21" i="39"/>
  <c r="CF143" i="29"/>
  <c r="I48" i="14"/>
  <c r="I49" i="14" s="1"/>
  <c r="J37" i="32"/>
  <c r="K33" i="40"/>
  <c r="X33" i="40"/>
  <c r="X34" i="40" s="1"/>
  <c r="W88" i="43"/>
  <c r="J18" i="32"/>
  <c r="AA39" i="39"/>
  <c r="AB39" i="39" s="1"/>
  <c r="Z39" i="39"/>
  <c r="J49" i="43"/>
  <c r="J52" i="43" s="1"/>
  <c r="AB79" i="43"/>
  <c r="K84" i="40"/>
  <c r="X84" i="40"/>
  <c r="O46" i="32"/>
  <c r="Z5" i="32"/>
  <c r="CD140" i="29"/>
  <c r="W118" i="32"/>
  <c r="E143" i="29"/>
  <c r="K63" i="43"/>
  <c r="X63" i="43"/>
  <c r="CD147" i="29"/>
  <c r="X49" i="40"/>
  <c r="X51" i="40" s="1"/>
  <c r="K49" i="40"/>
  <c r="X39" i="43"/>
  <c r="K39" i="43"/>
  <c r="O11" i="43"/>
  <c r="AD32" i="50"/>
  <c r="X62" i="39"/>
  <c r="K62" i="39"/>
  <c r="O349" i="44"/>
  <c r="K87" i="39"/>
  <c r="X87" i="39"/>
  <c r="AB74" i="32"/>
  <c r="O47" i="39"/>
  <c r="M37" i="39"/>
  <c r="X78" i="43"/>
  <c r="K78" i="43"/>
  <c r="O33" i="50"/>
  <c r="M117" i="32"/>
  <c r="O35" i="32"/>
  <c r="O151" i="27"/>
  <c r="AC230" i="27"/>
  <c r="M67" i="39"/>
  <c r="O91" i="32"/>
  <c r="W85" i="32"/>
  <c r="P60" i="25"/>
  <c r="O70" i="43"/>
  <c r="W70" i="40"/>
  <c r="O53" i="39"/>
  <c r="W14" i="39"/>
  <c r="F256" i="29"/>
  <c r="O49" i="40"/>
  <c r="O27" i="40"/>
  <c r="W69" i="40"/>
  <c r="M54" i="40"/>
  <c r="AA143" i="27"/>
  <c r="Z80" i="32"/>
  <c r="O45" i="43"/>
  <c r="J79" i="32"/>
  <c r="M25" i="32"/>
  <c r="J219" i="27"/>
  <c r="AA151" i="27"/>
  <c r="J39" i="43"/>
  <c r="W39" i="32"/>
  <c r="Z70" i="40"/>
  <c r="P51" i="25"/>
  <c r="J24" i="32"/>
  <c r="J17" i="40"/>
  <c r="O73" i="43"/>
  <c r="W78" i="43"/>
  <c r="M40" i="39"/>
  <c r="J34" i="32"/>
  <c r="Z26" i="32"/>
  <c r="AA26" i="32"/>
  <c r="AB26" i="32" s="1"/>
  <c r="CE132" i="29"/>
  <c r="J22" i="32"/>
  <c r="M17" i="43"/>
  <c r="W7" i="39"/>
  <c r="X63" i="40"/>
  <c r="K63" i="40"/>
  <c r="O48" i="39"/>
  <c r="AD36" i="50"/>
  <c r="AB76" i="39"/>
  <c r="O13" i="39"/>
  <c r="M64" i="40"/>
  <c r="Z65" i="32"/>
  <c r="X73" i="39"/>
  <c r="K73" i="39"/>
  <c r="G147" i="29"/>
  <c r="O39" i="40"/>
  <c r="J77" i="43"/>
  <c r="Z17" i="43"/>
  <c r="W68" i="39"/>
  <c r="O69" i="40"/>
  <c r="Z67" i="39"/>
  <c r="AC48" i="14"/>
  <c r="AD48" i="14"/>
  <c r="AE48" i="14" s="1"/>
  <c r="AE49" i="14" s="1"/>
  <c r="Z37" i="32"/>
  <c r="AB12" i="39"/>
  <c r="K98" i="32"/>
  <c r="X98" i="32"/>
  <c r="J95" i="43"/>
  <c r="AA221" i="27"/>
  <c r="Z38" i="40"/>
  <c r="W59" i="32"/>
  <c r="W73" i="39"/>
  <c r="F134" i="29"/>
  <c r="O83" i="40"/>
  <c r="O82" i="32"/>
  <c r="O5" i="32"/>
  <c r="O9" i="32" s="1"/>
  <c r="AB103" i="39"/>
  <c r="AB54" i="39"/>
  <c r="J44" i="39"/>
  <c r="L61" i="25"/>
  <c r="W56" i="40"/>
  <c r="CD132" i="29"/>
  <c r="N51" i="25"/>
  <c r="AA157" i="27"/>
  <c r="J78" i="43"/>
  <c r="O92" i="39"/>
  <c r="Z24" i="39"/>
  <c r="J66" i="39"/>
  <c r="G161" i="29"/>
  <c r="O112" i="32"/>
  <c r="O114" i="32" s="1"/>
  <c r="O49" i="32"/>
  <c r="AB50" i="32"/>
  <c r="CG129" i="29"/>
  <c r="M217" i="27"/>
  <c r="O21" i="40"/>
  <c r="F141" i="29"/>
  <c r="M93" i="40"/>
  <c r="Z57" i="43"/>
  <c r="K18" i="32"/>
  <c r="X18" i="32"/>
  <c r="Z32" i="32"/>
  <c r="X92" i="40"/>
  <c r="K92" i="40"/>
  <c r="Z84" i="39"/>
  <c r="J38" i="39"/>
  <c r="Z94" i="32"/>
  <c r="J72" i="43"/>
  <c r="M55" i="39"/>
  <c r="J16" i="43"/>
  <c r="J20" i="39"/>
  <c r="W55" i="40"/>
  <c r="M14" i="32"/>
  <c r="W17" i="43"/>
  <c r="P52" i="25"/>
  <c r="M71" i="43"/>
  <c r="K36" i="32"/>
  <c r="X36" i="32"/>
  <c r="W18" i="39"/>
  <c r="M32" i="39"/>
  <c r="Z85" i="32"/>
  <c r="W113" i="32"/>
  <c r="O55" i="39"/>
  <c r="AA150" i="27"/>
  <c r="AB150" i="27"/>
  <c r="AC150" i="27" s="1"/>
  <c r="J18" i="39"/>
  <c r="J90" i="32"/>
  <c r="O76" i="39"/>
  <c r="W82" i="32"/>
  <c r="O50" i="43"/>
  <c r="M6" i="43"/>
  <c r="K105" i="32"/>
  <c r="X105" i="32"/>
  <c r="J36" i="39"/>
  <c r="Z62" i="40"/>
  <c r="Z75" i="39"/>
  <c r="K113" i="32"/>
  <c r="X113" i="32"/>
  <c r="W83" i="32"/>
  <c r="K349" i="44"/>
  <c r="X5" i="40"/>
  <c r="K5" i="40"/>
  <c r="K7" i="40" s="1"/>
  <c r="M73" i="43"/>
  <c r="W44" i="43"/>
  <c r="W34" i="39"/>
  <c r="K92" i="43"/>
  <c r="X92" i="43"/>
  <c r="M32" i="50"/>
  <c r="M85" i="39"/>
  <c r="M6" i="32"/>
  <c r="W91" i="40"/>
  <c r="O153" i="27"/>
  <c r="AC144" i="27"/>
  <c r="J94" i="43"/>
  <c r="W66" i="39"/>
  <c r="W70" i="39" s="1"/>
  <c r="J61" i="39"/>
  <c r="X59" i="39"/>
  <c r="K59" i="39"/>
  <c r="Z61" i="40"/>
  <c r="Z65" i="40" s="1"/>
  <c r="W38" i="32"/>
  <c r="F224" i="29"/>
  <c r="M72" i="32"/>
  <c r="W34" i="32"/>
  <c r="AA154" i="27"/>
  <c r="X91" i="40"/>
  <c r="K91" i="40"/>
  <c r="H130" i="29"/>
  <c r="AC156" i="27"/>
  <c r="J74" i="39"/>
  <c r="W39" i="39"/>
  <c r="M80" i="43"/>
  <c r="W11" i="40"/>
  <c r="K31" i="39"/>
  <c r="X31" i="39"/>
  <c r="M37" i="43"/>
  <c r="M41" i="43" s="1"/>
  <c r="W37" i="32"/>
  <c r="W38" i="43"/>
  <c r="J76" i="40"/>
  <c r="AB48" i="52"/>
  <c r="W38" i="40"/>
  <c r="M62" i="40"/>
  <c r="E142" i="29"/>
  <c r="J37" i="43"/>
  <c r="J41" i="43" s="1"/>
  <c r="Z29" i="40"/>
  <c r="J11" i="43"/>
  <c r="J23" i="43"/>
  <c r="J32" i="39"/>
  <c r="M33" i="43"/>
  <c r="M34" i="43" s="1"/>
  <c r="N35" i="43" s="1"/>
  <c r="J84" i="40"/>
  <c r="W6" i="43"/>
  <c r="AA8" i="32"/>
  <c r="AB8" i="32" s="1"/>
  <c r="Z8" i="32"/>
  <c r="W5" i="40"/>
  <c r="AB68" i="40"/>
  <c r="AB73" i="40" s="1"/>
  <c r="K21" i="39"/>
  <c r="X21" i="39"/>
  <c r="X71" i="40"/>
  <c r="K71" i="40"/>
  <c r="Z39" i="32"/>
  <c r="M49" i="43"/>
  <c r="AB25" i="32"/>
  <c r="Z93" i="32"/>
  <c r="E196" i="29"/>
  <c r="CD196" i="29"/>
  <c r="M37" i="32"/>
  <c r="J57" i="40"/>
  <c r="AB117" i="32"/>
  <c r="AB119" i="32" s="1"/>
  <c r="M67" i="32"/>
  <c r="M69" i="43"/>
  <c r="F130" i="29"/>
  <c r="W45" i="40"/>
  <c r="AB92" i="40"/>
  <c r="W79" i="43"/>
  <c r="AB33" i="39"/>
  <c r="W94" i="32"/>
  <c r="W48" i="32"/>
  <c r="J17" i="43"/>
  <c r="J39" i="39"/>
  <c r="CF147" i="29"/>
  <c r="Z55" i="40"/>
  <c r="J103" i="39"/>
  <c r="AB90" i="40"/>
  <c r="AB88" i="43"/>
  <c r="AA22" i="39"/>
  <c r="AB22" i="39" s="1"/>
  <c r="Z22" i="39"/>
  <c r="AB65" i="32"/>
  <c r="AB16" i="43"/>
  <c r="J108" i="32"/>
  <c r="K80" i="43"/>
  <c r="X80" i="43"/>
  <c r="M97" i="43"/>
  <c r="K23" i="32"/>
  <c r="X23" i="32"/>
  <c r="J24" i="39"/>
  <c r="W46" i="32"/>
  <c r="K84" i="39"/>
  <c r="X84" i="39"/>
  <c r="AD349" i="44"/>
  <c r="AC146" i="27"/>
  <c r="Z106" i="32"/>
  <c r="N9" i="51"/>
  <c r="X10" i="43"/>
  <c r="K10" i="43"/>
  <c r="E145" i="29"/>
  <c r="AB92" i="32"/>
  <c r="J58" i="32"/>
  <c r="O34" i="39"/>
  <c r="M17" i="40"/>
  <c r="Z86" i="43"/>
  <c r="AF6" i="51"/>
  <c r="AB39" i="43"/>
  <c r="X85" i="32"/>
  <c r="K85" i="32"/>
  <c r="M95" i="43"/>
  <c r="AB86" i="40"/>
  <c r="M68" i="39"/>
  <c r="W85" i="43"/>
  <c r="Z104" i="32"/>
  <c r="O94" i="43"/>
  <c r="K45" i="43"/>
  <c r="X45" i="43"/>
  <c r="N150" i="27"/>
  <c r="O150" i="27" s="1"/>
  <c r="M150" i="27"/>
  <c r="N61" i="25"/>
  <c r="M35" i="39"/>
  <c r="N35" i="39"/>
  <c r="O35" i="39" s="1"/>
  <c r="AC158" i="27"/>
  <c r="J80" i="39"/>
  <c r="W24" i="32"/>
  <c r="X151" i="27"/>
  <c r="J5" i="32"/>
  <c r="M62" i="43"/>
  <c r="J72" i="40"/>
  <c r="W107" i="32"/>
  <c r="M62" i="39"/>
  <c r="K55" i="40"/>
  <c r="X55" i="40"/>
  <c r="M16" i="40"/>
  <c r="W47" i="39"/>
  <c r="X74" i="39"/>
  <c r="K74" i="39"/>
  <c r="J33" i="39"/>
  <c r="AB31" i="39"/>
  <c r="O68" i="40"/>
  <c r="Z21" i="39"/>
  <c r="W23" i="40"/>
  <c r="X68" i="39"/>
  <c r="K68" i="39"/>
  <c r="CF196" i="29"/>
  <c r="AB66" i="32"/>
  <c r="M50" i="40"/>
  <c r="AB18" i="32"/>
  <c r="K37" i="40"/>
  <c r="X37" i="40"/>
  <c r="J71" i="43"/>
  <c r="W13" i="39"/>
  <c r="J45" i="40"/>
  <c r="AB19" i="39"/>
  <c r="X154" i="27"/>
  <c r="M99" i="32"/>
  <c r="W58" i="32"/>
  <c r="O45" i="40"/>
  <c r="Z42" i="32"/>
  <c r="J21" i="32"/>
  <c r="O42" i="32"/>
  <c r="L53" i="52"/>
  <c r="W26" i="39"/>
  <c r="W105" i="32"/>
  <c r="Z48" i="32"/>
  <c r="AA48" i="32"/>
  <c r="AB48" i="32" s="1"/>
  <c r="O65" i="43"/>
  <c r="AB52" i="39"/>
  <c r="N6" i="51"/>
  <c r="W25" i="39"/>
  <c r="O78" i="40"/>
  <c r="Z52" i="39"/>
  <c r="M85" i="32"/>
  <c r="O13" i="32"/>
  <c r="X15" i="43"/>
  <c r="K15" i="43"/>
  <c r="F133" i="29"/>
  <c r="W49" i="40"/>
  <c r="W51" i="40" s="1"/>
  <c r="X27" i="39"/>
  <c r="K27" i="39"/>
  <c r="O50" i="40"/>
  <c r="J5" i="39"/>
  <c r="AB14" i="39"/>
  <c r="O20" i="47"/>
  <c r="M51" i="43"/>
  <c r="J231" i="27"/>
  <c r="AC232" i="27"/>
  <c r="X232" i="27"/>
  <c r="W69" i="43"/>
  <c r="AA230" i="27"/>
  <c r="CD285" i="29"/>
  <c r="M15" i="40"/>
  <c r="O77" i="43"/>
  <c r="O16" i="40"/>
  <c r="O158" i="27"/>
  <c r="X17" i="40"/>
  <c r="K17" i="40"/>
  <c r="W12" i="32"/>
  <c r="J92" i="40"/>
  <c r="J107" i="32"/>
  <c r="K37" i="39"/>
  <c r="X37" i="39"/>
  <c r="AB37" i="40"/>
  <c r="J151" i="27"/>
  <c r="CF192" i="29"/>
  <c r="Z78" i="40"/>
  <c r="J38" i="40"/>
  <c r="J147" i="27"/>
  <c r="AA40" i="32"/>
  <c r="AB40" i="32" s="1"/>
  <c r="Z40" i="32"/>
  <c r="AB27" i="40"/>
  <c r="AB77" i="40"/>
  <c r="K51" i="43"/>
  <c r="X51" i="43"/>
  <c r="K95" i="40"/>
  <c r="X95" i="40"/>
  <c r="O91" i="40"/>
  <c r="W84" i="39"/>
  <c r="W39" i="40"/>
  <c r="AA232" i="27"/>
  <c r="Z76" i="40"/>
  <c r="Z77" i="40"/>
  <c r="L60" i="25"/>
  <c r="K65" i="25"/>
  <c r="J5" i="43"/>
  <c r="J7" i="43" s="1"/>
  <c r="AA218" i="27"/>
  <c r="M221" i="27"/>
  <c r="W6" i="40"/>
  <c r="J224" i="27"/>
  <c r="Z44" i="52"/>
  <c r="AA152" i="27"/>
  <c r="G129" i="29"/>
  <c r="Z33" i="32"/>
  <c r="J75" i="39"/>
  <c r="AB14" i="32"/>
  <c r="J52" i="25"/>
  <c r="J46" i="39"/>
  <c r="J55" i="39"/>
  <c r="H136" i="29"/>
  <c r="F136" i="29"/>
  <c r="O66" i="32"/>
  <c r="H162" i="29"/>
  <c r="M69" i="39"/>
  <c r="X158" i="27"/>
  <c r="F135" i="29"/>
  <c r="M107" i="32"/>
  <c r="CE134" i="29"/>
  <c r="O54" i="39"/>
  <c r="Z88" i="39"/>
  <c r="J45" i="39"/>
  <c r="Z45" i="40"/>
  <c r="J42" i="32"/>
  <c r="J8" i="32"/>
  <c r="J27" i="32"/>
  <c r="O37" i="43"/>
  <c r="F168" i="29"/>
  <c r="O86" i="39"/>
  <c r="AB23" i="39"/>
  <c r="Z113" i="32"/>
  <c r="O94" i="32"/>
  <c r="CE142" i="29"/>
  <c r="Z93" i="43"/>
  <c r="AB50" i="40"/>
  <c r="X349" i="44"/>
  <c r="M22" i="43"/>
  <c r="W85" i="39"/>
  <c r="J63" i="43"/>
  <c r="Z69" i="43"/>
  <c r="O81" i="43"/>
  <c r="O84" i="39"/>
  <c r="O89" i="39" s="1"/>
  <c r="X147" i="27"/>
  <c r="W40" i="43"/>
  <c r="X98" i="39"/>
  <c r="K98" i="39"/>
  <c r="W44" i="40"/>
  <c r="W46" i="40" s="1"/>
  <c r="O14" i="39"/>
  <c r="O99" i="32"/>
  <c r="X219" i="27"/>
  <c r="AB62" i="40"/>
  <c r="G142" i="29"/>
  <c r="AB39" i="40"/>
  <c r="O67" i="39"/>
  <c r="K6" i="39"/>
  <c r="X6" i="39"/>
  <c r="W74" i="32"/>
  <c r="Z82" i="32"/>
  <c r="AB6" i="39"/>
  <c r="AB23" i="40"/>
  <c r="N26" i="39"/>
  <c r="O26" i="39" s="1"/>
  <c r="M26" i="39"/>
  <c r="W55" i="43"/>
  <c r="X37" i="32"/>
  <c r="K37" i="32"/>
  <c r="M223" i="27"/>
  <c r="W84" i="40"/>
  <c r="W37" i="40"/>
  <c r="AB80" i="32"/>
  <c r="X118" i="32"/>
  <c r="K118" i="32"/>
  <c r="O76" i="40"/>
  <c r="O104" i="32"/>
  <c r="G140" i="29"/>
  <c r="W78" i="40"/>
  <c r="AB27" i="39"/>
  <c r="Z51" i="52"/>
  <c r="X47" i="39"/>
  <c r="K47" i="39"/>
  <c r="X92" i="39"/>
  <c r="K92" i="39"/>
  <c r="K46" i="39"/>
  <c r="X46" i="39"/>
  <c r="J94" i="40"/>
  <c r="W45" i="43"/>
  <c r="K11" i="43"/>
  <c r="X11" i="43"/>
  <c r="X90" i="32"/>
  <c r="K90" i="32"/>
  <c r="E285" i="29"/>
  <c r="J69" i="40"/>
  <c r="O146" i="27"/>
  <c r="W97" i="43"/>
  <c r="AB7" i="32"/>
  <c r="O71" i="40"/>
  <c r="O100" i="32"/>
  <c r="CG256" i="29"/>
  <c r="X230" i="27"/>
  <c r="O80" i="32"/>
  <c r="AC148" i="27"/>
  <c r="AB94" i="43"/>
  <c r="N64" i="25"/>
  <c r="O6" i="43"/>
  <c r="W61" i="40"/>
  <c r="W65" i="40" s="1"/>
  <c r="O32" i="32"/>
  <c r="J104" i="32"/>
  <c r="J109" i="32" s="1"/>
  <c r="W28" i="43"/>
  <c r="AB67" i="32"/>
  <c r="AB95" i="43"/>
  <c r="M146" i="27"/>
  <c r="Z107" i="32"/>
  <c r="X65" i="32"/>
  <c r="K65" i="32"/>
  <c r="J68" i="39"/>
  <c r="AB17" i="43"/>
  <c r="M84" i="32"/>
  <c r="N224" i="27"/>
  <c r="O224" i="27" s="1"/>
  <c r="M224" i="27"/>
  <c r="M10" i="43"/>
  <c r="M12" i="43" s="1"/>
  <c r="K5" i="43"/>
  <c r="K7" i="43" s="1"/>
  <c r="X5" i="43"/>
  <c r="X35" i="39"/>
  <c r="K35" i="39"/>
  <c r="M73" i="32"/>
  <c r="N53" i="25"/>
  <c r="J65" i="32"/>
  <c r="W74" i="39"/>
  <c r="AB93" i="32"/>
  <c r="Z33" i="40"/>
  <c r="Z34" i="40" s="1"/>
  <c r="K13" i="32"/>
  <c r="X13" i="32"/>
  <c r="W61" i="32"/>
  <c r="X40" i="32"/>
  <c r="K40" i="32"/>
  <c r="J7" i="32"/>
  <c r="J49" i="40"/>
  <c r="J51" i="40" s="1"/>
  <c r="Z19" i="32"/>
  <c r="N48" i="14"/>
  <c r="O48" i="14" s="1"/>
  <c r="O49" i="14" s="1"/>
  <c r="M48" i="14"/>
  <c r="W23" i="39"/>
  <c r="X22" i="43"/>
  <c r="K22" i="43"/>
  <c r="X47" i="32"/>
  <c r="K47" i="32"/>
  <c r="K25" i="39"/>
  <c r="X25" i="39"/>
  <c r="O20" i="32"/>
  <c r="Y234" i="27"/>
  <c r="J54" i="32"/>
  <c r="J55" i="32" s="1"/>
  <c r="W55" i="39"/>
  <c r="X27" i="43"/>
  <c r="K27" i="43"/>
  <c r="M106" i="32"/>
  <c r="Z13" i="32"/>
  <c r="CA168" i="29"/>
  <c r="AB45" i="52"/>
  <c r="K80" i="32"/>
  <c r="X80" i="32"/>
  <c r="AB66" i="39"/>
  <c r="G132" i="29"/>
  <c r="X231" i="27"/>
  <c r="AA159" i="27"/>
  <c r="AB159" i="27"/>
  <c r="AC159" i="27" s="1"/>
  <c r="J58" i="43"/>
  <c r="Z45" i="43"/>
  <c r="M91" i="40"/>
  <c r="Z6" i="32"/>
  <c r="O18" i="32"/>
  <c r="O85" i="32"/>
  <c r="CB167" i="29"/>
  <c r="M20" i="39"/>
  <c r="N8" i="51"/>
  <c r="O98" i="32"/>
  <c r="K55" i="43"/>
  <c r="X55" i="43"/>
  <c r="W56" i="43"/>
  <c r="K97" i="43"/>
  <c r="X97" i="43"/>
  <c r="AB92" i="39"/>
  <c r="AB94" i="39" s="1"/>
  <c r="M39" i="40"/>
  <c r="M83" i="32"/>
  <c r="X159" i="27"/>
  <c r="CD143" i="29"/>
  <c r="N63" i="25"/>
  <c r="O80" i="43"/>
  <c r="L64" i="25"/>
  <c r="J25" i="32"/>
  <c r="G168" i="29"/>
  <c r="X218" i="27"/>
  <c r="J84" i="32"/>
  <c r="X22" i="32"/>
  <c r="K22" i="32"/>
  <c r="K7" i="32"/>
  <c r="X7" i="32"/>
  <c r="Z58" i="32"/>
  <c r="W72" i="32"/>
  <c r="Z26" i="39"/>
  <c r="AA26" i="39"/>
  <c r="AB26" i="39" s="1"/>
  <c r="J67" i="39"/>
  <c r="O152" i="27"/>
  <c r="W108" i="32"/>
  <c r="M347" i="44"/>
  <c r="M350" i="44" s="1"/>
  <c r="E136" i="27"/>
  <c r="F133" i="27" s="1"/>
  <c r="N8" i="39"/>
  <c r="O8" i="39" s="1"/>
  <c r="M8" i="39"/>
  <c r="J87" i="39"/>
  <c r="Z94" i="43"/>
  <c r="CB168" i="29"/>
  <c r="K21" i="43"/>
  <c r="X21" i="43"/>
  <c r="W60" i="32"/>
  <c r="AB74" i="39"/>
  <c r="W50" i="32"/>
  <c r="J32" i="32"/>
  <c r="Z347" i="44"/>
  <c r="W117" i="32"/>
  <c r="W119" i="32" s="1"/>
  <c r="J232" i="27"/>
  <c r="O156" i="27"/>
  <c r="W90" i="40"/>
  <c r="J38" i="32"/>
  <c r="AA220" i="27"/>
  <c r="Z72" i="43"/>
  <c r="CD257" i="29"/>
  <c r="Z38" i="43"/>
  <c r="AB18" i="39"/>
  <c r="O93" i="39"/>
  <c r="K81" i="32"/>
  <c r="X81" i="32"/>
  <c r="AB32" i="50"/>
  <c r="AB38" i="50" s="1"/>
  <c r="X60" i="32"/>
  <c r="K60" i="32"/>
  <c r="Z46" i="52"/>
  <c r="K94" i="43"/>
  <c r="X94" i="43"/>
  <c r="X90" i="40"/>
  <c r="K90" i="40"/>
  <c r="AB22" i="40"/>
  <c r="M14" i="39"/>
  <c r="O31" i="39"/>
  <c r="W46" i="39"/>
  <c r="AB78" i="43"/>
  <c r="F196" i="29"/>
  <c r="O85" i="40"/>
  <c r="AB84" i="40"/>
  <c r="AB79" i="32"/>
  <c r="AB87" i="32" s="1"/>
  <c r="W5" i="43"/>
  <c r="W7" i="43" s="1"/>
  <c r="M84" i="39"/>
  <c r="X86" i="39"/>
  <c r="K86" i="39"/>
  <c r="Z29" i="43"/>
  <c r="X45" i="39"/>
  <c r="K45" i="39"/>
  <c r="X227" i="27"/>
  <c r="J23" i="39"/>
  <c r="CG257" i="29"/>
  <c r="X32" i="32"/>
  <c r="K32" i="32"/>
  <c r="O219" i="27"/>
  <c r="M32" i="32"/>
  <c r="O149" i="27"/>
  <c r="O25" i="32"/>
  <c r="M97" i="39"/>
  <c r="M99" i="39" s="1"/>
  <c r="W92" i="40"/>
  <c r="O18" i="39"/>
  <c r="Z36" i="39"/>
  <c r="O49" i="43"/>
  <c r="O52" i="43" s="1"/>
  <c r="Z85" i="39"/>
  <c r="J66" i="32"/>
  <c r="J55" i="25"/>
  <c r="Y160" i="27"/>
  <c r="Z31" i="39"/>
  <c r="AA8" i="39"/>
  <c r="AB8" i="39" s="1"/>
  <c r="Z8" i="39"/>
  <c r="Z63" i="40"/>
  <c r="O38" i="32"/>
  <c r="W98" i="39"/>
  <c r="M15" i="43"/>
  <c r="M18" i="43" s="1"/>
  <c r="Z67" i="32"/>
  <c r="O23" i="32"/>
  <c r="M219" i="27"/>
  <c r="X32" i="39"/>
  <c r="K32" i="39"/>
  <c r="AA224" i="27"/>
  <c r="AB224" i="27"/>
  <c r="AC224" i="27" s="1"/>
  <c r="J88" i="39"/>
  <c r="H192" i="29"/>
  <c r="AB6" i="40"/>
  <c r="K14" i="32"/>
  <c r="X14" i="32"/>
  <c r="M27" i="43"/>
  <c r="M30" i="43" s="1"/>
  <c r="W27" i="39"/>
  <c r="M151" i="27"/>
  <c r="Z20" i="39"/>
  <c r="M92" i="39"/>
  <c r="M94" i="39" s="1"/>
  <c r="AB28" i="40"/>
  <c r="K8" i="39"/>
  <c r="X8" i="39"/>
  <c r="AB50" i="43"/>
  <c r="E192" i="29"/>
  <c r="CF129" i="29"/>
  <c r="AB10" i="40"/>
  <c r="AB12" i="40" s="1"/>
  <c r="K53" i="39"/>
  <c r="X53" i="39"/>
  <c r="P61" i="25"/>
  <c r="O95" i="43"/>
  <c r="O55" i="40"/>
  <c r="K45" i="40"/>
  <c r="X45" i="40"/>
  <c r="E161" i="29"/>
  <c r="O227" i="27"/>
  <c r="O98" i="39"/>
  <c r="Z117" i="32"/>
  <c r="Z119" i="32" s="1"/>
  <c r="W73" i="43"/>
  <c r="CD145" i="29"/>
  <c r="J28" i="43"/>
  <c r="J22" i="40"/>
  <c r="AB65" i="43"/>
  <c r="AB85" i="43"/>
  <c r="X92" i="32"/>
  <c r="K92" i="32"/>
  <c r="P8" i="51"/>
  <c r="AB93" i="39"/>
  <c r="J59" i="39"/>
  <c r="M100" i="32"/>
  <c r="J48" i="39"/>
  <c r="M66" i="39"/>
  <c r="M90" i="32"/>
  <c r="AB28" i="32"/>
  <c r="AD33" i="50"/>
  <c r="L44" i="52"/>
  <c r="L54" i="52" s="1"/>
  <c r="AB12" i="32"/>
  <c r="AB15" i="32" s="1"/>
  <c r="M46" i="32"/>
  <c r="M51" i="32" s="1"/>
  <c r="O58" i="43"/>
  <c r="O37" i="39"/>
  <c r="K29" i="40"/>
  <c r="X29" i="40"/>
  <c r="O38" i="43"/>
  <c r="X81" i="43"/>
  <c r="K81" i="43"/>
  <c r="O28" i="40"/>
  <c r="AB100" i="32"/>
  <c r="CD144" i="29"/>
  <c r="AB61" i="39"/>
  <c r="CE135" i="29"/>
  <c r="F261" i="29"/>
  <c r="M56" i="40"/>
  <c r="X75" i="39"/>
  <c r="K75" i="39"/>
  <c r="AA146" i="27"/>
  <c r="M21" i="47"/>
  <c r="N21" i="47"/>
  <c r="O21" i="47" s="1"/>
  <c r="M35" i="50"/>
  <c r="Z71" i="43"/>
  <c r="O15" i="43"/>
  <c r="M118" i="32"/>
  <c r="X28" i="32"/>
  <c r="K28" i="32"/>
  <c r="W27" i="32"/>
  <c r="K23" i="43"/>
  <c r="X23" i="43"/>
  <c r="K66" i="32"/>
  <c r="X66" i="32"/>
  <c r="W53" i="39"/>
  <c r="W100" i="32"/>
  <c r="O52" i="39"/>
  <c r="X220" i="27"/>
  <c r="AB44" i="52"/>
  <c r="AB5" i="40"/>
  <c r="J31" i="39"/>
  <c r="AF9" i="51"/>
  <c r="Z61" i="32"/>
  <c r="Z87" i="43"/>
  <c r="M60" i="32"/>
  <c r="O28" i="32"/>
  <c r="K36" i="39"/>
  <c r="X36" i="39"/>
  <c r="Z50" i="52"/>
  <c r="M22" i="32"/>
  <c r="N22" i="32"/>
  <c r="O22" i="32" s="1"/>
  <c r="CE256" i="29"/>
  <c r="W21" i="43"/>
  <c r="W24" i="43" s="1"/>
  <c r="O92" i="43"/>
  <c r="CA162" i="29"/>
  <c r="AB59" i="32"/>
  <c r="J86" i="39"/>
  <c r="J158" i="27"/>
  <c r="H135" i="29"/>
  <c r="Z74" i="39"/>
  <c r="Z69" i="39"/>
  <c r="X16" i="40"/>
  <c r="K16" i="40"/>
  <c r="W19" i="32"/>
  <c r="K78" i="40"/>
  <c r="X78" i="40"/>
  <c r="AB51" i="43"/>
  <c r="P6" i="51"/>
  <c r="P13" i="51" s="1"/>
  <c r="Z48" i="52"/>
  <c r="J48" i="32"/>
  <c r="BZ225" i="29"/>
  <c r="J78" i="39"/>
  <c r="O217" i="27"/>
  <c r="J78" i="40"/>
  <c r="W77" i="40"/>
  <c r="X24" i="32"/>
  <c r="K24" i="32"/>
  <c r="Z49" i="52"/>
  <c r="W99" i="32"/>
  <c r="O45" i="39"/>
  <c r="O54" i="32"/>
  <c r="O55" i="32" s="1"/>
  <c r="O21" i="43"/>
  <c r="Z39" i="43"/>
  <c r="K57" i="40"/>
  <c r="X57" i="40"/>
  <c r="CE133" i="29"/>
  <c r="AB77" i="39"/>
  <c r="W6" i="39"/>
  <c r="M87" i="43"/>
  <c r="J8" i="39"/>
  <c r="W28" i="32"/>
  <c r="O85" i="43"/>
  <c r="W95" i="40"/>
  <c r="M95" i="40"/>
  <c r="J221" i="27"/>
  <c r="AB67" i="39"/>
  <c r="AB56" i="40"/>
  <c r="J10" i="43"/>
  <c r="J12" i="43" s="1"/>
  <c r="M6" i="40"/>
  <c r="J105" i="32"/>
  <c r="J21" i="40"/>
  <c r="O157" i="27"/>
  <c r="O59" i="32"/>
  <c r="X6" i="32"/>
  <c r="K6" i="32"/>
  <c r="W66" i="32"/>
  <c r="AF8" i="51"/>
  <c r="Z14" i="32"/>
  <c r="J79" i="40"/>
  <c r="K44" i="43"/>
  <c r="X44" i="43"/>
  <c r="AB7" i="39"/>
  <c r="J93" i="32"/>
  <c r="I20" i="47"/>
  <c r="I22" i="47" s="1"/>
  <c r="CC224" i="29"/>
  <c r="K100" i="32"/>
  <c r="X100" i="32"/>
  <c r="AB94" i="40"/>
  <c r="CE143" i="29"/>
  <c r="AB32" i="32"/>
  <c r="W78" i="39"/>
  <c r="CG132" i="29"/>
  <c r="CE140" i="29"/>
  <c r="M93" i="43"/>
  <c r="W75" i="32"/>
  <c r="M83" i="40"/>
  <c r="M87" i="40" s="1"/>
  <c r="W90" i="32"/>
  <c r="W95" i="32" s="1"/>
  <c r="M68" i="32"/>
  <c r="J33" i="40"/>
  <c r="J34" i="40" s="1"/>
  <c r="X73" i="43"/>
  <c r="K73" i="43"/>
  <c r="O57" i="40"/>
  <c r="W21" i="40"/>
  <c r="W24" i="40" s="1"/>
  <c r="M28" i="40"/>
  <c r="O68" i="32"/>
  <c r="AB21" i="39"/>
  <c r="W13" i="32"/>
  <c r="N51" i="52"/>
  <c r="O19" i="32"/>
  <c r="AB98" i="39"/>
  <c r="Z97" i="43"/>
  <c r="Z75" i="32"/>
  <c r="N40" i="32"/>
  <c r="O40" i="32" s="1"/>
  <c r="M40" i="32"/>
  <c r="Z95" i="43"/>
  <c r="CD136" i="29"/>
  <c r="X26" i="32"/>
  <c r="K26" i="32"/>
  <c r="Z34" i="39"/>
  <c r="J13" i="39"/>
  <c r="AB102" i="39"/>
  <c r="AB104" i="39" s="1"/>
  <c r="K28" i="43"/>
  <c r="X28" i="43"/>
  <c r="K67" i="39"/>
  <c r="X67" i="39"/>
  <c r="W27" i="43"/>
  <c r="AC149" i="27"/>
  <c r="AB49" i="40"/>
  <c r="CD141" i="29"/>
  <c r="X104" i="32"/>
  <c r="K104" i="32"/>
  <c r="X44" i="40"/>
  <c r="K44" i="40"/>
  <c r="K46" i="40" s="1"/>
  <c r="K23" i="39"/>
  <c r="X23" i="39"/>
  <c r="X85" i="39"/>
  <c r="K85" i="39"/>
  <c r="W14" i="32"/>
  <c r="W29" i="40"/>
  <c r="H132" i="29"/>
  <c r="X64" i="40"/>
  <c r="K64" i="40"/>
  <c r="O19" i="39"/>
  <c r="J5" i="40"/>
  <c r="AB78" i="40"/>
  <c r="W68" i="40"/>
  <c r="AB93" i="43"/>
  <c r="O61" i="39"/>
  <c r="O16" i="43"/>
  <c r="J143" i="27"/>
  <c r="O34" i="50"/>
  <c r="O86" i="43"/>
  <c r="AB155" i="27"/>
  <c r="AC155" i="27" s="1"/>
  <c r="AA155" i="27"/>
  <c r="O73" i="39"/>
  <c r="CE145" i="29"/>
  <c r="M63" i="40"/>
  <c r="W70" i="43"/>
  <c r="AB112" i="32"/>
  <c r="M38" i="39"/>
  <c r="M27" i="39"/>
  <c r="M72" i="43"/>
  <c r="O108" i="32"/>
  <c r="O106" i="32"/>
  <c r="W54" i="32"/>
  <c r="W55" i="32" s="1"/>
  <c r="J146" i="27"/>
  <c r="N52" i="25"/>
  <c r="J112" i="32"/>
  <c r="J114" i="32" s="1"/>
  <c r="AB27" i="32"/>
  <c r="K57" i="43"/>
  <c r="X57" i="43"/>
  <c r="J28" i="32"/>
  <c r="J155" i="27"/>
  <c r="M232" i="27"/>
  <c r="AB22" i="43"/>
  <c r="P64" i="25"/>
  <c r="M81" i="43"/>
  <c r="O226" i="27"/>
  <c r="O347" i="44"/>
  <c r="O350" i="44" s="1"/>
  <c r="M233" i="27"/>
  <c r="N233" i="27"/>
  <c r="O233" i="27" s="1"/>
  <c r="AC218" i="27"/>
  <c r="X79" i="39"/>
  <c r="K79" i="39"/>
  <c r="AB10" i="43"/>
  <c r="AB12" i="43" s="1"/>
  <c r="K72" i="43"/>
  <c r="X72" i="43"/>
  <c r="AD8" i="51"/>
  <c r="E134" i="29"/>
  <c r="Z22" i="32"/>
  <c r="AA22" i="32"/>
  <c r="AB22" i="32" s="1"/>
  <c r="Z54" i="40"/>
  <c r="Z58" i="40" s="1"/>
  <c r="CF144" i="29"/>
  <c r="AB46" i="32"/>
  <c r="AB51" i="32" s="1"/>
  <c r="W10" i="43"/>
  <c r="W54" i="39"/>
  <c r="J225" i="27"/>
  <c r="O22" i="40"/>
  <c r="AC217" i="27"/>
  <c r="W21" i="32"/>
  <c r="J61" i="32"/>
  <c r="K86" i="43"/>
  <c r="X86" i="43"/>
  <c r="Z58" i="43"/>
  <c r="J19" i="39"/>
  <c r="J63" i="40"/>
  <c r="J26" i="32"/>
  <c r="K54" i="32"/>
  <c r="K55" i="32" s="1"/>
  <c r="X54" i="32"/>
  <c r="X55" i="32" s="1"/>
  <c r="Z84" i="40"/>
  <c r="O6" i="40"/>
  <c r="W87" i="39"/>
  <c r="W12" i="39"/>
  <c r="W15" i="39" s="1"/>
  <c r="K68" i="40"/>
  <c r="X68" i="40"/>
  <c r="K73" i="32"/>
  <c r="X73" i="32"/>
  <c r="O14" i="32"/>
  <c r="M66" i="32"/>
  <c r="J36" i="32"/>
  <c r="AB33" i="40"/>
  <c r="AB34" i="40" s="1"/>
  <c r="X48" i="32"/>
  <c r="K48" i="32"/>
  <c r="X38" i="43"/>
  <c r="K38" i="43"/>
  <c r="J86" i="43"/>
  <c r="O66" i="39"/>
  <c r="AB108" i="32"/>
  <c r="J218" i="27"/>
  <c r="I21" i="47"/>
  <c r="J118" i="32"/>
  <c r="W20" i="32"/>
  <c r="AA80" i="39"/>
  <c r="AB80" i="39" s="1"/>
  <c r="Z80" i="39"/>
  <c r="F145" i="29"/>
  <c r="J117" i="32"/>
  <c r="Z20" i="32"/>
  <c r="AB5" i="43"/>
  <c r="AB7" i="43" s="1"/>
  <c r="AA8" i="43" s="1"/>
  <c r="M39" i="32"/>
  <c r="M148" i="27"/>
  <c r="M93" i="32"/>
  <c r="AC157" i="27"/>
  <c r="O33" i="40"/>
  <c r="O34" i="40" s="1"/>
  <c r="W23" i="32"/>
  <c r="AC226" i="27"/>
  <c r="J86" i="32"/>
  <c r="K52" i="39"/>
  <c r="X52" i="39"/>
  <c r="F132" i="29"/>
  <c r="M23" i="43"/>
  <c r="CD134" i="29"/>
  <c r="Z40" i="40"/>
  <c r="AA223" i="27"/>
  <c r="W67" i="39"/>
  <c r="M73" i="39"/>
  <c r="AB45" i="39"/>
  <c r="M47" i="14"/>
  <c r="AB58" i="43"/>
  <c r="AB61" i="32"/>
  <c r="J156" i="27"/>
  <c r="M23" i="40"/>
  <c r="AB80" i="43"/>
  <c r="Z348" i="44"/>
  <c r="O62" i="39"/>
  <c r="O38" i="40"/>
  <c r="G141" i="29"/>
  <c r="O79" i="39"/>
  <c r="O107" i="32"/>
  <c r="J62" i="39"/>
  <c r="AB94" i="32"/>
  <c r="O24" i="39"/>
  <c r="AB233" i="27"/>
  <c r="AC233" i="27" s="1"/>
  <c r="AA233" i="27"/>
  <c r="AB64" i="40"/>
  <c r="J80" i="43"/>
  <c r="H224" i="29"/>
  <c r="K103" i="39"/>
  <c r="X103" i="39"/>
  <c r="AB73" i="32"/>
  <c r="M33" i="39"/>
  <c r="O72" i="40"/>
  <c r="G143" i="29"/>
  <c r="M87" i="39"/>
  <c r="AB21" i="40"/>
  <c r="AB24" i="40" s="1"/>
  <c r="Z79" i="40"/>
  <c r="M19" i="32"/>
  <c r="AD348" i="44"/>
  <c r="W5" i="32"/>
  <c r="W9" i="32" s="1"/>
  <c r="AB56" i="43"/>
  <c r="AB28" i="43"/>
  <c r="AB48" i="39"/>
  <c r="J98" i="32"/>
  <c r="J101" i="32" s="1"/>
  <c r="O37" i="32"/>
  <c r="W79" i="39"/>
  <c r="Z79" i="39"/>
  <c r="M157" i="27"/>
  <c r="J12" i="39"/>
  <c r="AC151" i="27"/>
  <c r="L50" i="52"/>
  <c r="Z81" i="32"/>
  <c r="Z79" i="32"/>
  <c r="CE257" i="29"/>
  <c r="J92" i="43"/>
  <c r="W93" i="43"/>
  <c r="J53" i="25"/>
  <c r="O27" i="39"/>
  <c r="O103" i="39"/>
  <c r="I348" i="44"/>
  <c r="AB113" i="32"/>
  <c r="M113" i="32"/>
  <c r="J76" i="39"/>
  <c r="J81" i="43"/>
  <c r="J95" i="40"/>
  <c r="X56" i="43"/>
  <c r="K56" i="43"/>
  <c r="X21" i="32"/>
  <c r="K21" i="32"/>
  <c r="Z11" i="43"/>
  <c r="Z49" i="43"/>
  <c r="Z52" i="43" s="1"/>
  <c r="M96" i="43"/>
  <c r="X37" i="43"/>
  <c r="X41" i="43" s="1"/>
  <c r="K37" i="43"/>
  <c r="W86" i="32"/>
  <c r="E162" i="29"/>
  <c r="Z68" i="32"/>
  <c r="W71" i="40"/>
  <c r="O24" i="32"/>
  <c r="CF145" i="29"/>
  <c r="CD289" i="29"/>
  <c r="AB59" i="39"/>
  <c r="M38" i="43"/>
  <c r="Z68" i="39"/>
  <c r="AA217" i="27"/>
  <c r="Z102" i="39"/>
  <c r="Z104" i="39" s="1"/>
  <c r="W32" i="39"/>
  <c r="J45" i="43"/>
  <c r="W83" i="40"/>
  <c r="W87" i="40" s="1"/>
  <c r="M48" i="39"/>
  <c r="H131" i="29"/>
  <c r="W20" i="39"/>
  <c r="J93" i="40"/>
  <c r="O78" i="43"/>
  <c r="X79" i="43"/>
  <c r="K79" i="43"/>
  <c r="W15" i="40"/>
  <c r="W18" i="40" s="1"/>
  <c r="I349" i="44"/>
  <c r="AB45" i="40"/>
  <c r="J55" i="43"/>
  <c r="J59" i="43" s="1"/>
  <c r="J51" i="25"/>
  <c r="Z62" i="43"/>
  <c r="Z66" i="43" s="1"/>
  <c r="M143" i="27"/>
  <c r="Z50" i="40"/>
  <c r="O29" i="40"/>
  <c r="J27" i="43"/>
  <c r="AC225" i="27"/>
  <c r="M103" i="39"/>
  <c r="M5" i="32"/>
  <c r="M9" i="32" s="1"/>
  <c r="N10" i="32" s="1"/>
  <c r="M63" i="43"/>
  <c r="Z60" i="39"/>
  <c r="J14" i="39"/>
  <c r="AB92" i="43"/>
  <c r="AB41" i="32"/>
  <c r="K13" i="39"/>
  <c r="X13" i="39"/>
  <c r="W76" i="40"/>
  <c r="AB86" i="43"/>
  <c r="O105" i="32"/>
  <c r="W19" i="39"/>
  <c r="Z16" i="40"/>
  <c r="X49" i="32"/>
  <c r="K49" i="32"/>
  <c r="W97" i="39"/>
  <c r="W99" i="39" s="1"/>
  <c r="K72" i="40"/>
  <c r="X72" i="40"/>
  <c r="J92" i="32"/>
  <c r="AB15" i="40"/>
  <c r="AB18" i="40" s="1"/>
  <c r="AD347" i="44"/>
  <c r="AD350" i="44" s="1"/>
  <c r="AB51" i="52"/>
  <c r="J64" i="43"/>
  <c r="Z25" i="32"/>
  <c r="J149" i="27"/>
  <c r="Z62" i="32" l="1"/>
  <c r="AB51" i="40"/>
  <c r="O24" i="43"/>
  <c r="J98" i="43"/>
  <c r="M81" i="39"/>
  <c r="W12" i="43"/>
  <c r="AB114" i="32"/>
  <c r="J24" i="40"/>
  <c r="AB28" i="39"/>
  <c r="X63" i="39"/>
  <c r="P65" i="25"/>
  <c r="Z96" i="40"/>
  <c r="AA97" i="40" s="1"/>
  <c r="L56" i="25"/>
  <c r="W63" i="39"/>
  <c r="W30" i="43"/>
  <c r="O89" i="43"/>
  <c r="AB7" i="40"/>
  <c r="AA120" i="32"/>
  <c r="W41" i="40"/>
  <c r="M18" i="40"/>
  <c r="Z56" i="39"/>
  <c r="AB56" i="39"/>
  <c r="J99" i="39"/>
  <c r="J7" i="40"/>
  <c r="O98" i="43"/>
  <c r="Z109" i="32"/>
  <c r="AB69" i="32"/>
  <c r="M119" i="32"/>
  <c r="N120" i="32" s="1"/>
  <c r="P117" i="32" s="1"/>
  <c r="J12" i="40"/>
  <c r="X56" i="39"/>
  <c r="K46" i="43"/>
  <c r="K43" i="32"/>
  <c r="AA35" i="40"/>
  <c r="AC33" i="40" s="1"/>
  <c r="K95" i="32"/>
  <c r="X18" i="43"/>
  <c r="X12" i="43"/>
  <c r="AC11" i="43" s="1"/>
  <c r="AE11" i="43" s="1"/>
  <c r="AB96" i="40"/>
  <c r="X98" i="43"/>
  <c r="J95" i="32"/>
  <c r="W28" i="39"/>
  <c r="N56" i="25"/>
  <c r="W81" i="39"/>
  <c r="Z69" i="32"/>
  <c r="AA70" i="32" s="1"/>
  <c r="P56" i="25"/>
  <c r="O51" i="32"/>
  <c r="N52" i="32" s="1"/>
  <c r="M87" i="32"/>
  <c r="K51" i="32"/>
  <c r="N54" i="52"/>
  <c r="M56" i="52" s="1"/>
  <c r="X82" i="43"/>
  <c r="AB82" i="43"/>
  <c r="AA25" i="40"/>
  <c r="X87" i="40"/>
  <c r="Z51" i="40"/>
  <c r="AA52" i="40" s="1"/>
  <c r="AC49" i="40" s="1"/>
  <c r="M114" i="32"/>
  <c r="N115" i="32" s="1"/>
  <c r="O46" i="40"/>
  <c r="Z29" i="32"/>
  <c r="X99" i="39"/>
  <c r="M49" i="39"/>
  <c r="O15" i="39"/>
  <c r="K12" i="40"/>
  <c r="W58" i="40"/>
  <c r="Z73" i="40"/>
  <c r="AA74" i="40" s="1"/>
  <c r="X15" i="39"/>
  <c r="AC50" i="40"/>
  <c r="AE50" i="40" s="1"/>
  <c r="O62" i="32"/>
  <c r="X24" i="40"/>
  <c r="AC23" i="40" s="1"/>
  <c r="AE23" i="40" s="1"/>
  <c r="O41" i="40"/>
  <c r="J18" i="40"/>
  <c r="O9" i="39"/>
  <c r="J41" i="40"/>
  <c r="J89" i="39"/>
  <c r="O160" i="27"/>
  <c r="X58" i="40"/>
  <c r="J58" i="40"/>
  <c r="M69" i="32"/>
  <c r="X70" i="39"/>
  <c r="AB52" i="43"/>
  <c r="AA53" i="43" s="1"/>
  <c r="Z12" i="43"/>
  <c r="AA13" i="43" s="1"/>
  <c r="K80" i="40"/>
  <c r="X114" i="32"/>
  <c r="Z114" i="32"/>
  <c r="AA115" i="32" s="1"/>
  <c r="AC112" i="32" s="1"/>
  <c r="W12" i="40"/>
  <c r="K34" i="43"/>
  <c r="P33" i="43" s="1"/>
  <c r="Z89" i="43"/>
  <c r="K66" i="43"/>
  <c r="K89" i="43"/>
  <c r="J94" i="39"/>
  <c r="K9" i="39"/>
  <c r="AB49" i="39"/>
  <c r="M30" i="40"/>
  <c r="Z46" i="43"/>
  <c r="AA47" i="43" s="1"/>
  <c r="O12" i="43"/>
  <c r="N13" i="43" s="1"/>
  <c r="Z76" i="32"/>
  <c r="Z51" i="32"/>
  <c r="AA52" i="32" s="1"/>
  <c r="AC50" i="32" s="1"/>
  <c r="AE50" i="32" s="1"/>
  <c r="Z18" i="40"/>
  <c r="AA19" i="40" s="1"/>
  <c r="N35" i="40"/>
  <c r="P47" i="32"/>
  <c r="R47" i="32" s="1"/>
  <c r="X7" i="43"/>
  <c r="AC5" i="43"/>
  <c r="K41" i="40"/>
  <c r="P49" i="32"/>
  <c r="R49" i="32" s="1"/>
  <c r="M160" i="27"/>
  <c r="K41" i="43"/>
  <c r="K56" i="39"/>
  <c r="J119" i="32"/>
  <c r="X46" i="40"/>
  <c r="J41" i="39"/>
  <c r="O56" i="39"/>
  <c r="M70" i="39"/>
  <c r="Z41" i="39"/>
  <c r="O28" i="39"/>
  <c r="X43" i="32"/>
  <c r="K96" i="40"/>
  <c r="W76" i="32"/>
  <c r="O101" i="32"/>
  <c r="K69" i="32"/>
  <c r="O43" i="32"/>
  <c r="X95" i="32"/>
  <c r="X94" i="39"/>
  <c r="O109" i="32"/>
  <c r="L65" i="25"/>
  <c r="Q64" i="25" s="1"/>
  <c r="S64" i="25" s="1"/>
  <c r="P63" i="29" s="1"/>
  <c r="I168" i="29" s="1"/>
  <c r="AB30" i="40"/>
  <c r="AB41" i="40"/>
  <c r="J9" i="39"/>
  <c r="AB29" i="32"/>
  <c r="O73" i="40"/>
  <c r="W89" i="43"/>
  <c r="AF13" i="51"/>
  <c r="J62" i="32"/>
  <c r="X89" i="39"/>
  <c r="M74" i="43"/>
  <c r="J80" i="40"/>
  <c r="X41" i="39"/>
  <c r="M76" i="32"/>
  <c r="K63" i="39"/>
  <c r="K98" i="43"/>
  <c r="AC113" i="32"/>
  <c r="AE113" i="32" s="1"/>
  <c r="J28" i="39"/>
  <c r="Z43" i="32"/>
  <c r="M234" i="27"/>
  <c r="O94" i="39"/>
  <c r="N95" i="39" s="1"/>
  <c r="J49" i="39"/>
  <c r="X101" i="32"/>
  <c r="O30" i="40"/>
  <c r="K9" i="32"/>
  <c r="P7" i="32" s="1"/>
  <c r="R7" i="32" s="1"/>
  <c r="M56" i="39"/>
  <c r="N57" i="39" s="1"/>
  <c r="P54" i="39" s="1"/>
  <c r="R54" i="39" s="1"/>
  <c r="J76" i="32"/>
  <c r="X51" i="32"/>
  <c r="M24" i="43"/>
  <c r="N25" i="43" s="1"/>
  <c r="P23" i="43" s="1"/>
  <c r="R23" i="43" s="1"/>
  <c r="K49" i="39"/>
  <c r="M96" i="40"/>
  <c r="M63" i="39"/>
  <c r="M98" i="43"/>
  <c r="N99" i="43" s="1"/>
  <c r="P95" i="43" s="1"/>
  <c r="R95" i="43" s="1"/>
  <c r="AC49" i="14"/>
  <c r="AD50" i="14" s="1"/>
  <c r="O7" i="40"/>
  <c r="O99" i="39"/>
  <c r="N100" i="39" s="1"/>
  <c r="P98" i="39" s="1"/>
  <c r="R98" i="39" s="1"/>
  <c r="K87" i="40"/>
  <c r="O30" i="43"/>
  <c r="N31" i="43" s="1"/>
  <c r="O95" i="32"/>
  <c r="O38" i="50"/>
  <c r="Z18" i="43"/>
  <c r="W82" i="43"/>
  <c r="I350" i="44"/>
  <c r="X62" i="32"/>
  <c r="AB95" i="32"/>
  <c r="Z87" i="40"/>
  <c r="O58" i="40"/>
  <c r="X350" i="44"/>
  <c r="K99" i="39"/>
  <c r="X52" i="43"/>
  <c r="AC49" i="43" s="1"/>
  <c r="X12" i="40"/>
  <c r="X87" i="32"/>
  <c r="AD13" i="51"/>
  <c r="AF14" i="51" s="1"/>
  <c r="M89" i="43"/>
  <c r="AB350" i="44"/>
  <c r="AD351" i="44" s="1"/>
  <c r="J46" i="40"/>
  <c r="J24" i="43"/>
  <c r="W104" i="39"/>
  <c r="M28" i="39"/>
  <c r="N29" i="39" s="1"/>
  <c r="M49" i="14"/>
  <c r="N50" i="14" s="1"/>
  <c r="AB99" i="39"/>
  <c r="AA100" i="39" s="1"/>
  <c r="AB81" i="39"/>
  <c r="W109" i="32"/>
  <c r="K30" i="40"/>
  <c r="K58" i="40"/>
  <c r="M52" i="43"/>
  <c r="N53" i="43" s="1"/>
  <c r="P93" i="43"/>
  <c r="R93" i="43" s="1"/>
  <c r="AB9" i="32"/>
  <c r="Z30" i="43"/>
  <c r="M41" i="40"/>
  <c r="N42" i="40" s="1"/>
  <c r="P39" i="40" s="1"/>
  <c r="R39" i="40" s="1"/>
  <c r="M46" i="40"/>
  <c r="N47" i="40" s="1"/>
  <c r="P44" i="40" s="1"/>
  <c r="J87" i="40"/>
  <c r="Z28" i="39"/>
  <c r="AA29" i="39" s="1"/>
  <c r="X80" i="40"/>
  <c r="J51" i="32"/>
  <c r="M73" i="40"/>
  <c r="N74" i="40" s="1"/>
  <c r="P70" i="40" s="1"/>
  <c r="R70" i="40" s="1"/>
  <c r="W94" i="39"/>
  <c r="Z95" i="32"/>
  <c r="AA96" i="32" s="1"/>
  <c r="AC91" i="32" s="1"/>
  <c r="AE91" i="32" s="1"/>
  <c r="AG21" i="47"/>
  <c r="AI21" i="47" s="1"/>
  <c r="AG20" i="47"/>
  <c r="X89" i="43"/>
  <c r="X9" i="39"/>
  <c r="W52" i="43"/>
  <c r="O104" i="39"/>
  <c r="AB41" i="43"/>
  <c r="Z24" i="43"/>
  <c r="W30" i="40"/>
  <c r="Z41" i="40"/>
  <c r="AA42" i="40" s="1"/>
  <c r="AC38" i="40" s="1"/>
  <c r="AE38" i="40" s="1"/>
  <c r="Z82" i="43"/>
  <c r="AA83" i="43" s="1"/>
  <c r="AC77" i="43" s="1"/>
  <c r="K104" i="39"/>
  <c r="J66" i="43"/>
  <c r="AB18" i="43"/>
  <c r="W66" i="43"/>
  <c r="O18" i="43"/>
  <c r="N19" i="43" s="1"/>
  <c r="J63" i="39"/>
  <c r="K24" i="43"/>
  <c r="K59" i="43"/>
  <c r="K94" i="39"/>
  <c r="AA105" i="39"/>
  <c r="O70" i="39"/>
  <c r="X73" i="40"/>
  <c r="AC68" i="40" s="1"/>
  <c r="O81" i="39"/>
  <c r="N82" i="39" s="1"/>
  <c r="AB43" i="32"/>
  <c r="O234" i="27"/>
  <c r="P45" i="40"/>
  <c r="R45" i="40" s="1"/>
  <c r="M43" i="32"/>
  <c r="M89" i="39"/>
  <c r="N90" i="39" s="1"/>
  <c r="O41" i="39"/>
  <c r="X96" i="40"/>
  <c r="W96" i="40"/>
  <c r="Z350" i="44"/>
  <c r="AE349" i="44" s="1"/>
  <c r="AG349" i="44" s="1"/>
  <c r="CS36" i="29" s="1"/>
  <c r="CO131" i="29" s="1"/>
  <c r="O29" i="32"/>
  <c r="K30" i="43"/>
  <c r="P28" i="43" s="1"/>
  <c r="R28" i="43" s="1"/>
  <c r="P22" i="43"/>
  <c r="R22" i="43" s="1"/>
  <c r="X69" i="32"/>
  <c r="AC68" i="32" s="1"/>
  <c r="AE68" i="32" s="1"/>
  <c r="O80" i="40"/>
  <c r="N81" i="40" s="1"/>
  <c r="Z74" i="43"/>
  <c r="Z54" i="52"/>
  <c r="W89" i="39"/>
  <c r="AC51" i="43"/>
  <c r="AE51" i="43" s="1"/>
  <c r="W15" i="32"/>
  <c r="W74" i="43"/>
  <c r="AB41" i="39"/>
  <c r="M66" i="43"/>
  <c r="K89" i="39"/>
  <c r="K41" i="39"/>
  <c r="X7" i="40"/>
  <c r="Z89" i="39"/>
  <c r="X29" i="32"/>
  <c r="O87" i="40"/>
  <c r="N88" i="40" s="1"/>
  <c r="K101" i="32"/>
  <c r="K81" i="39"/>
  <c r="AA160" i="27"/>
  <c r="O51" i="40"/>
  <c r="F134" i="27"/>
  <c r="AD38" i="50"/>
  <c r="AC39" i="50" s="1"/>
  <c r="K51" i="40"/>
  <c r="K34" i="40"/>
  <c r="P33" i="40" s="1"/>
  <c r="Z101" i="32"/>
  <c r="X9" i="32"/>
  <c r="Z59" i="43"/>
  <c r="W87" i="32"/>
  <c r="X28" i="39"/>
  <c r="AC18" i="39" s="1"/>
  <c r="AB101" i="32"/>
  <c r="N65" i="25"/>
  <c r="O66" i="25" s="1"/>
  <c r="K15" i="32"/>
  <c r="Z46" i="40"/>
  <c r="J234" i="27"/>
  <c r="M101" i="32"/>
  <c r="N102" i="32" s="1"/>
  <c r="W9" i="39"/>
  <c r="W69" i="32"/>
  <c r="P55" i="39"/>
  <c r="R55" i="39" s="1"/>
  <c r="O96" i="40"/>
  <c r="K74" i="43"/>
  <c r="W43" i="32"/>
  <c r="X49" i="39"/>
  <c r="W56" i="39"/>
  <c r="J56" i="39"/>
  <c r="M22" i="47"/>
  <c r="O87" i="32"/>
  <c r="J74" i="43"/>
  <c r="X119" i="32"/>
  <c r="AC118" i="32" s="1"/>
  <c r="AE118" i="32" s="1"/>
  <c r="K62" i="32"/>
  <c r="AB46" i="40"/>
  <c r="J104" i="39"/>
  <c r="M7" i="40"/>
  <c r="N8" i="40" s="1"/>
  <c r="P5" i="40" s="1"/>
  <c r="W18" i="43"/>
  <c r="AB87" i="40"/>
  <c r="K52" i="43"/>
  <c r="P49" i="43" s="1"/>
  <c r="Z30" i="40"/>
  <c r="AA31" i="40" s="1"/>
  <c r="W41" i="43"/>
  <c r="Z9" i="39"/>
  <c r="K87" i="32"/>
  <c r="O49" i="39"/>
  <c r="J73" i="40"/>
  <c r="X18" i="40"/>
  <c r="AC17" i="40" s="1"/>
  <c r="AE17" i="40" s="1"/>
  <c r="M7" i="43"/>
  <c r="AA56" i="32"/>
  <c r="AC54" i="32" s="1"/>
  <c r="Z15" i="32"/>
  <c r="AA16" i="32" s="1"/>
  <c r="AB59" i="43"/>
  <c r="P40" i="40"/>
  <c r="R40" i="40" s="1"/>
  <c r="M109" i="32"/>
  <c r="N110" i="32" s="1"/>
  <c r="J65" i="25"/>
  <c r="X30" i="40"/>
  <c r="Z94" i="39"/>
  <c r="AA95" i="39" s="1"/>
  <c r="AC69" i="40"/>
  <c r="AE69" i="40" s="1"/>
  <c r="Z70" i="39"/>
  <c r="Z98" i="43"/>
  <c r="AC70" i="40"/>
  <c r="AE70" i="40" s="1"/>
  <c r="K65" i="40"/>
  <c r="AB89" i="39"/>
  <c r="M12" i="40"/>
  <c r="N13" i="40" s="1"/>
  <c r="P10" i="40" s="1"/>
  <c r="J46" i="43"/>
  <c r="Z81" i="39"/>
  <c r="AA82" i="39" s="1"/>
  <c r="Z63" i="39"/>
  <c r="W98" i="43"/>
  <c r="Z49" i="39"/>
  <c r="AA50" i="39" s="1"/>
  <c r="O15" i="32"/>
  <c r="M41" i="39"/>
  <c r="N42" i="39" s="1"/>
  <c r="P31" i="39" s="1"/>
  <c r="N56" i="32"/>
  <c r="P54" i="32" s="1"/>
  <c r="X234" i="27"/>
  <c r="M24" i="40"/>
  <c r="X104" i="39"/>
  <c r="AC102" i="39" s="1"/>
  <c r="K76" i="32"/>
  <c r="O76" i="32"/>
  <c r="W29" i="32"/>
  <c r="AC16" i="40"/>
  <c r="AE16" i="40" s="1"/>
  <c r="M95" i="32"/>
  <c r="N96" i="32" s="1"/>
  <c r="P90" i="32" s="1"/>
  <c r="AC49" i="32"/>
  <c r="AE49" i="32" s="1"/>
  <c r="J30" i="43"/>
  <c r="AB63" i="39"/>
  <c r="P48" i="32"/>
  <c r="R48" i="32" s="1"/>
  <c r="AC23" i="39"/>
  <c r="AE23" i="39" s="1"/>
  <c r="K109" i="32"/>
  <c r="P104" i="32" s="1"/>
  <c r="W80" i="40"/>
  <c r="J56" i="25"/>
  <c r="AA234" i="27"/>
  <c r="Z87" i="32"/>
  <c r="AA88" i="32" s="1"/>
  <c r="J15" i="39"/>
  <c r="AC48" i="32"/>
  <c r="AE48" i="32" s="1"/>
  <c r="K73" i="40"/>
  <c r="AC234" i="27"/>
  <c r="J160" i="27"/>
  <c r="W73" i="40"/>
  <c r="X109" i="32"/>
  <c r="X46" i="43"/>
  <c r="AC44" i="43" s="1"/>
  <c r="P36" i="39"/>
  <c r="R36" i="39" s="1"/>
  <c r="AB54" i="52"/>
  <c r="P92" i="32"/>
  <c r="R92" i="32" s="1"/>
  <c r="P53" i="39"/>
  <c r="R53" i="39" s="1"/>
  <c r="J43" i="32"/>
  <c r="X24" i="43"/>
  <c r="N351" i="44"/>
  <c r="X59" i="43"/>
  <c r="AB70" i="39"/>
  <c r="X30" i="43"/>
  <c r="J69" i="32"/>
  <c r="AC47" i="39"/>
  <c r="AE47" i="39" s="1"/>
  <c r="W59" i="43"/>
  <c r="O41" i="43"/>
  <c r="N42" i="43" s="1"/>
  <c r="Z80" i="40"/>
  <c r="P37" i="39"/>
  <c r="R37" i="39" s="1"/>
  <c r="O82" i="43"/>
  <c r="O22" i="47"/>
  <c r="K18" i="43"/>
  <c r="P15" i="43" s="1"/>
  <c r="AA57" i="39"/>
  <c r="AC54" i="39" s="1"/>
  <c r="AE54" i="39" s="1"/>
  <c r="N13" i="51"/>
  <c r="O14" i="51" s="1"/>
  <c r="W62" i="32"/>
  <c r="X41" i="40"/>
  <c r="J9" i="32"/>
  <c r="K12" i="43"/>
  <c r="P10" i="43" s="1"/>
  <c r="W51" i="32"/>
  <c r="AC71" i="40"/>
  <c r="AE71" i="40" s="1"/>
  <c r="W7" i="40"/>
  <c r="M38" i="50"/>
  <c r="W46" i="43"/>
  <c r="P105" i="32"/>
  <c r="R105" i="32" s="1"/>
  <c r="K29" i="32"/>
  <c r="O24" i="40"/>
  <c r="J70" i="39"/>
  <c r="AB15" i="39"/>
  <c r="J82" i="43"/>
  <c r="X81" i="39"/>
  <c r="AC77" i="39" s="1"/>
  <c r="AE77" i="39" s="1"/>
  <c r="J87" i="32"/>
  <c r="M58" i="40"/>
  <c r="N59" i="40" s="1"/>
  <c r="P56" i="40" s="1"/>
  <c r="R56" i="40" s="1"/>
  <c r="AC78" i="43"/>
  <c r="AE78" i="43" s="1"/>
  <c r="Z9" i="32"/>
  <c r="J29" i="32"/>
  <c r="AB9" i="39"/>
  <c r="AA8" i="40"/>
  <c r="AC5" i="40" s="1"/>
  <c r="O59" i="43"/>
  <c r="K28" i="39"/>
  <c r="P23" i="39" s="1"/>
  <c r="R23" i="39" s="1"/>
  <c r="M9" i="39"/>
  <c r="N10" i="39" s="1"/>
  <c r="P5" i="39" s="1"/>
  <c r="X15" i="32"/>
  <c r="AC15" i="32" s="1"/>
  <c r="J81" i="39"/>
  <c r="AC6" i="43"/>
  <c r="AE6" i="43" s="1"/>
  <c r="AC34" i="43"/>
  <c r="AE33" i="43"/>
  <c r="X74" i="43"/>
  <c r="W41" i="39"/>
  <c r="K82" i="43"/>
  <c r="W101" i="32"/>
  <c r="AB74" i="43"/>
  <c r="M51" i="40"/>
  <c r="N52" i="40" s="1"/>
  <c r="P50" i="40" s="1"/>
  <c r="R50" i="40" s="1"/>
  <c r="P93" i="39"/>
  <c r="R93" i="39" s="1"/>
  <c r="O66" i="43"/>
  <c r="K119" i="32"/>
  <c r="P38" i="40"/>
  <c r="R38" i="40" s="1"/>
  <c r="W49" i="39"/>
  <c r="AB62" i="32"/>
  <c r="AA63" i="32" s="1"/>
  <c r="AB65" i="40"/>
  <c r="AA66" i="40" s="1"/>
  <c r="P88" i="39"/>
  <c r="R88" i="39" s="1"/>
  <c r="AB30" i="43"/>
  <c r="M65" i="40"/>
  <c r="N66" i="40" s="1"/>
  <c r="P61" i="40" s="1"/>
  <c r="AC67" i="32"/>
  <c r="AE67" i="32" s="1"/>
  <c r="M29" i="32"/>
  <c r="N30" i="32" s="1"/>
  <c r="P28" i="32" s="1"/>
  <c r="R28" i="32" s="1"/>
  <c r="AC19" i="39"/>
  <c r="AE19" i="39" s="1"/>
  <c r="X160" i="27"/>
  <c r="O74" i="43"/>
  <c r="M15" i="39"/>
  <c r="N16" i="39" s="1"/>
  <c r="P13" i="39" s="1"/>
  <c r="R13" i="39" s="1"/>
  <c r="Z41" i="43"/>
  <c r="AA42" i="43" s="1"/>
  <c r="AC37" i="43" s="1"/>
  <c r="K15" i="39"/>
  <c r="K18" i="40"/>
  <c r="M62" i="32"/>
  <c r="N63" i="32" s="1"/>
  <c r="P58" i="32" s="1"/>
  <c r="O63" i="39"/>
  <c r="W114" i="32"/>
  <c r="AC80" i="39"/>
  <c r="AE80" i="39" s="1"/>
  <c r="K24" i="40"/>
  <c r="J18" i="43"/>
  <c r="P26" i="39"/>
  <c r="R26" i="39" s="1"/>
  <c r="M46" i="43"/>
  <c r="M15" i="32"/>
  <c r="N16" i="32" s="1"/>
  <c r="P13" i="32" s="1"/>
  <c r="R13" i="32" s="1"/>
  <c r="P29" i="43"/>
  <c r="R29" i="43" s="1"/>
  <c r="J96" i="40"/>
  <c r="F135" i="27"/>
  <c r="O18" i="40"/>
  <c r="P91" i="32"/>
  <c r="R91" i="32" s="1"/>
  <c r="T133" i="27"/>
  <c r="T136" i="27" s="1"/>
  <c r="J15" i="32"/>
  <c r="K70" i="39"/>
  <c r="X65" i="40"/>
  <c r="AB109" i="32"/>
  <c r="AA110" i="32" s="1"/>
  <c r="M104" i="39"/>
  <c r="AB24" i="43"/>
  <c r="AB76" i="32"/>
  <c r="AC39" i="40"/>
  <c r="AE39" i="40" s="1"/>
  <c r="P6" i="40"/>
  <c r="R6" i="40" s="1"/>
  <c r="P50" i="32"/>
  <c r="R50" i="32" s="1"/>
  <c r="O69" i="32"/>
  <c r="K114" i="32"/>
  <c r="P112" i="32" s="1"/>
  <c r="AB80" i="40"/>
  <c r="AC160" i="27"/>
  <c r="O46" i="43"/>
  <c r="X66" i="43"/>
  <c r="AB58" i="40"/>
  <c r="AA59" i="40" s="1"/>
  <c r="AC55" i="40" s="1"/>
  <c r="AE55" i="40" s="1"/>
  <c r="P93" i="32"/>
  <c r="R93" i="32" s="1"/>
  <c r="Z12" i="40"/>
  <c r="AA13" i="40" s="1"/>
  <c r="AC10" i="40" s="1"/>
  <c r="O7" i="43"/>
  <c r="K350" i="44"/>
  <c r="M59" i="43"/>
  <c r="N60" i="43" s="1"/>
  <c r="P57" i="43" s="1"/>
  <c r="R57" i="43" s="1"/>
  <c r="J65" i="40"/>
  <c r="J89" i="43"/>
  <c r="P94" i="32"/>
  <c r="R94" i="32" s="1"/>
  <c r="X76" i="32"/>
  <c r="M82" i="43"/>
  <c r="N83" i="43" s="1"/>
  <c r="Z15" i="39"/>
  <c r="AA16" i="39" s="1"/>
  <c r="AC12" i="39" s="1"/>
  <c r="AU41" i="29"/>
  <c r="DU31" i="29"/>
  <c r="AW63" i="29"/>
  <c r="AP39" i="29"/>
  <c r="AP33" i="29"/>
  <c r="AE33" i="29"/>
  <c r="DE57" i="29"/>
  <c r="AT65" i="29"/>
  <c r="DE63" i="29"/>
  <c r="AH57" i="29"/>
  <c r="BA63" i="29"/>
  <c r="DR70" i="29"/>
  <c r="AS70" i="29"/>
  <c r="AB60" i="29"/>
  <c r="CW60" i="29"/>
  <c r="AW65" i="29"/>
  <c r="AH63" i="29"/>
  <c r="CV57" i="29"/>
  <c r="DM41" i="29"/>
  <c r="AU40" i="29"/>
  <c r="AE36" i="29"/>
  <c r="BA36" i="29"/>
  <c r="DM65" i="29"/>
  <c r="AF39" i="29"/>
  <c r="BA33" i="29"/>
  <c r="DB61" i="29"/>
  <c r="AI63" i="29"/>
  <c r="DE60" i="29"/>
  <c r="DM40" i="29"/>
  <c r="AW60" i="29"/>
  <c r="DF33" i="29"/>
  <c r="BB65" i="29"/>
  <c r="BA39" i="29"/>
  <c r="DK57" i="29"/>
  <c r="AM60" i="29"/>
  <c r="AU44" i="29"/>
  <c r="CU39" i="29"/>
  <c r="DB37" i="29"/>
  <c r="DK61" i="29"/>
  <c r="AT61" i="29"/>
  <c r="CT36" i="29"/>
  <c r="DP41" i="29"/>
  <c r="CZ60" i="29"/>
  <c r="AH60" i="29"/>
  <c r="DS33" i="29"/>
  <c r="AS61" i="29"/>
  <c r="AK39" i="29"/>
  <c r="DC60" i="29"/>
  <c r="AR63" i="29"/>
  <c r="AF36" i="29"/>
  <c r="CV60" i="29"/>
  <c r="AK63" i="29"/>
  <c r="AJ61" i="29"/>
  <c r="AR39" i="29"/>
  <c r="DM44" i="29"/>
  <c r="AQ41" i="29"/>
  <c r="CZ57" i="29"/>
  <c r="DV41" i="29"/>
  <c r="DO63" i="29"/>
  <c r="AS42" i="29"/>
  <c r="DP44" i="29"/>
  <c r="BC55" i="29"/>
  <c r="AC92" i="40" l="1"/>
  <c r="AE92" i="40" s="1"/>
  <c r="AC93" i="40"/>
  <c r="AE93" i="40" s="1"/>
  <c r="AC91" i="40"/>
  <c r="AE91" i="40" s="1"/>
  <c r="AC94" i="40"/>
  <c r="AE94" i="40" s="1"/>
  <c r="P349" i="44"/>
  <c r="R349" i="44" s="1"/>
  <c r="AA36" i="29" s="1"/>
  <c r="P131" i="29" s="1"/>
  <c r="AC103" i="39"/>
  <c r="AE103" i="39" s="1"/>
  <c r="P79" i="43"/>
  <c r="R79" i="43" s="1"/>
  <c r="N47" i="43"/>
  <c r="P45" i="43" s="1"/>
  <c r="R45" i="43" s="1"/>
  <c r="P34" i="39"/>
  <c r="R34" i="39" s="1"/>
  <c r="P51" i="43"/>
  <c r="R51" i="43" s="1"/>
  <c r="P8" i="32"/>
  <c r="R8" i="32" s="1"/>
  <c r="P100" i="32"/>
  <c r="R100" i="32" s="1"/>
  <c r="Q60" i="25"/>
  <c r="N44" i="32"/>
  <c r="P92" i="39"/>
  <c r="P16" i="43"/>
  <c r="R16" i="43" s="1"/>
  <c r="P22" i="39"/>
  <c r="R22" i="39" s="1"/>
  <c r="AC47" i="32"/>
  <c r="AE47" i="32" s="1"/>
  <c r="AC66" i="32"/>
  <c r="AE66" i="32" s="1"/>
  <c r="F136" i="27"/>
  <c r="P86" i="39"/>
  <c r="R86" i="39" s="1"/>
  <c r="P14" i="39"/>
  <c r="R14" i="39" s="1"/>
  <c r="P118" i="32"/>
  <c r="R118" i="32" s="1"/>
  <c r="AC75" i="39"/>
  <c r="AE75" i="39" s="1"/>
  <c r="AC90" i="40"/>
  <c r="P50" i="43"/>
  <c r="R50" i="43" s="1"/>
  <c r="N90" i="43"/>
  <c r="AC10" i="43"/>
  <c r="P40" i="39"/>
  <c r="R40" i="39" s="1"/>
  <c r="P347" i="44"/>
  <c r="N105" i="39"/>
  <c r="P103" i="39" s="1"/>
  <c r="R103" i="39" s="1"/>
  <c r="N19" i="40"/>
  <c r="AA10" i="32"/>
  <c r="AC8" i="32" s="1"/>
  <c r="AE8" i="32" s="1"/>
  <c r="N39" i="50"/>
  <c r="P72" i="40"/>
  <c r="R72" i="40" s="1"/>
  <c r="AB235" i="27"/>
  <c r="P85" i="39"/>
  <c r="R85" i="39" s="1"/>
  <c r="AC46" i="39"/>
  <c r="AE46" i="39" s="1"/>
  <c r="P106" i="32"/>
  <c r="R106" i="32" s="1"/>
  <c r="AC29" i="40"/>
  <c r="AE29" i="40" s="1"/>
  <c r="AC117" i="32"/>
  <c r="AA47" i="40"/>
  <c r="AC45" i="40" s="1"/>
  <c r="AE45" i="40" s="1"/>
  <c r="P87" i="39"/>
  <c r="R87" i="39" s="1"/>
  <c r="AE347" i="44"/>
  <c r="P21" i="43"/>
  <c r="AC24" i="39"/>
  <c r="AE24" i="39" s="1"/>
  <c r="N161" i="27"/>
  <c r="AC50" i="43"/>
  <c r="AE50" i="43" s="1"/>
  <c r="P46" i="32"/>
  <c r="AE12" i="39"/>
  <c r="R112" i="32"/>
  <c r="P15" i="40"/>
  <c r="P17" i="40"/>
  <c r="R17" i="40" s="1"/>
  <c r="P16" i="40"/>
  <c r="R16" i="40" s="1"/>
  <c r="R10" i="43"/>
  <c r="Q7" i="51"/>
  <c r="S7" i="51" s="1"/>
  <c r="S25" i="51" s="1"/>
  <c r="O33" i="29" s="1"/>
  <c r="O133" i="29" s="1"/>
  <c r="Q8" i="51"/>
  <c r="S8" i="51" s="1"/>
  <c r="S26" i="51" s="1"/>
  <c r="O36" i="29" s="1"/>
  <c r="O131" i="29" s="1"/>
  <c r="Q6" i="51"/>
  <c r="Q9" i="51"/>
  <c r="S9" i="51" s="1"/>
  <c r="S27" i="51" s="1"/>
  <c r="O37" i="29" s="1"/>
  <c r="O135" i="29" s="1"/>
  <c r="P39" i="43"/>
  <c r="R39" i="43" s="1"/>
  <c r="P37" i="43"/>
  <c r="P38" i="43"/>
  <c r="R38" i="43" s="1"/>
  <c r="P40" i="43"/>
  <c r="R40" i="43" s="1"/>
  <c r="R104" i="32"/>
  <c r="AE18" i="39"/>
  <c r="R21" i="43"/>
  <c r="P24" i="43"/>
  <c r="AE77" i="43"/>
  <c r="AC98" i="39"/>
  <c r="AE98" i="39" s="1"/>
  <c r="AC97" i="39"/>
  <c r="P51" i="32"/>
  <c r="R46" i="32"/>
  <c r="AE102" i="39"/>
  <c r="AC104" i="39"/>
  <c r="R10" i="40"/>
  <c r="AC93" i="39"/>
  <c r="AE93" i="39" s="1"/>
  <c r="AC92" i="39"/>
  <c r="R49" i="43"/>
  <c r="P52" i="43"/>
  <c r="P34" i="40"/>
  <c r="R33" i="40"/>
  <c r="R58" i="32"/>
  <c r="AE5" i="40"/>
  <c r="R90" i="32"/>
  <c r="P95" i="32"/>
  <c r="S60" i="25"/>
  <c r="P57" i="29" s="1"/>
  <c r="I144" i="29" s="1"/>
  <c r="P84" i="40"/>
  <c r="R84" i="40" s="1"/>
  <c r="P83" i="40"/>
  <c r="P85" i="40"/>
  <c r="R85" i="40" s="1"/>
  <c r="P86" i="40"/>
  <c r="R86" i="40" s="1"/>
  <c r="P79" i="40"/>
  <c r="R79" i="40" s="1"/>
  <c r="P76" i="40"/>
  <c r="P78" i="40"/>
  <c r="R78" i="40" s="1"/>
  <c r="P77" i="40"/>
  <c r="R77" i="40" s="1"/>
  <c r="P78" i="39"/>
  <c r="R78" i="39" s="1"/>
  <c r="P79" i="39"/>
  <c r="R79" i="39" s="1"/>
  <c r="P74" i="39"/>
  <c r="R74" i="39" s="1"/>
  <c r="P76" i="39"/>
  <c r="R76" i="39" s="1"/>
  <c r="P77" i="39"/>
  <c r="R77" i="39" s="1"/>
  <c r="P73" i="39"/>
  <c r="P75" i="39"/>
  <c r="R75" i="39" s="1"/>
  <c r="P80" i="39"/>
  <c r="R80" i="39" s="1"/>
  <c r="R92" i="39"/>
  <c r="P94" i="39"/>
  <c r="AC106" i="32"/>
  <c r="AE106" i="32" s="1"/>
  <c r="AC108" i="32"/>
  <c r="AE108" i="32" s="1"/>
  <c r="AC105" i="32"/>
  <c r="AE105" i="32" s="1"/>
  <c r="AC107" i="32"/>
  <c r="AE107" i="32" s="1"/>
  <c r="AC104" i="32"/>
  <c r="AC64" i="40"/>
  <c r="AE64" i="40" s="1"/>
  <c r="AC62" i="40"/>
  <c r="AE62" i="40" s="1"/>
  <c r="AC61" i="40"/>
  <c r="AC63" i="40"/>
  <c r="AE63" i="40" s="1"/>
  <c r="R5" i="39"/>
  <c r="R15" i="43"/>
  <c r="AE10" i="40"/>
  <c r="R61" i="40"/>
  <c r="AC58" i="32"/>
  <c r="AC61" i="32"/>
  <c r="AE61" i="32" s="1"/>
  <c r="AC59" i="32"/>
  <c r="AE59" i="32" s="1"/>
  <c r="AC60" i="32"/>
  <c r="AE60" i="32" s="1"/>
  <c r="AC82" i="32"/>
  <c r="AE82" i="32" s="1"/>
  <c r="AC80" i="32"/>
  <c r="AE80" i="32" s="1"/>
  <c r="AC85" i="32"/>
  <c r="AE85" i="32" s="1"/>
  <c r="AC83" i="32"/>
  <c r="AE83" i="32" s="1"/>
  <c r="AC81" i="32"/>
  <c r="AE81" i="32" s="1"/>
  <c r="AC86" i="32"/>
  <c r="AE86" i="32" s="1"/>
  <c r="AC79" i="32"/>
  <c r="AC84" i="32"/>
  <c r="AE84" i="32" s="1"/>
  <c r="AE90" i="40"/>
  <c r="AE68" i="40"/>
  <c r="AC52" i="43"/>
  <c r="AE49" i="43"/>
  <c r="AE10" i="43"/>
  <c r="AC12" i="43"/>
  <c r="R347" i="44"/>
  <c r="AA44" i="29" s="1"/>
  <c r="M256" i="29" s="1"/>
  <c r="R117" i="32"/>
  <c r="P119" i="32"/>
  <c r="P58" i="43"/>
  <c r="R58" i="43" s="1"/>
  <c r="AC14" i="32"/>
  <c r="AE14" i="32" s="1"/>
  <c r="P81" i="43"/>
  <c r="R81" i="43" s="1"/>
  <c r="AE44" i="43"/>
  <c r="P64" i="40"/>
  <c r="R64" i="40" s="1"/>
  <c r="N25" i="40"/>
  <c r="R31" i="39"/>
  <c r="AC55" i="32"/>
  <c r="AE54" i="32"/>
  <c r="P19" i="39"/>
  <c r="R19" i="39" s="1"/>
  <c r="AC119" i="32"/>
  <c r="AE117" i="32"/>
  <c r="P62" i="40"/>
  <c r="R62" i="40" s="1"/>
  <c r="P108" i="32"/>
  <c r="R108" i="32" s="1"/>
  <c r="P33" i="39"/>
  <c r="R33" i="39" s="1"/>
  <c r="P49" i="40"/>
  <c r="P63" i="40"/>
  <c r="R63" i="40" s="1"/>
  <c r="AA90" i="39"/>
  <c r="P23" i="32"/>
  <c r="R23" i="32" s="1"/>
  <c r="N67" i="43"/>
  <c r="P25" i="39"/>
  <c r="R25" i="39" s="1"/>
  <c r="AG347" i="44"/>
  <c r="CS44" i="29" s="1"/>
  <c r="CL256" i="29" s="1"/>
  <c r="P60" i="32"/>
  <c r="R60" i="32" s="1"/>
  <c r="AC53" i="39"/>
  <c r="AE53" i="39" s="1"/>
  <c r="AC79" i="39"/>
  <c r="AE79" i="39" s="1"/>
  <c r="Q62" i="25"/>
  <c r="S62" i="25" s="1"/>
  <c r="P60" i="29" s="1"/>
  <c r="I142" i="29" s="1"/>
  <c r="P102" i="39"/>
  <c r="P61" i="32"/>
  <c r="R61" i="32" s="1"/>
  <c r="P97" i="39"/>
  <c r="AA19" i="43"/>
  <c r="P20" i="39"/>
  <c r="R20" i="39" s="1"/>
  <c r="P35" i="32"/>
  <c r="R35" i="32" s="1"/>
  <c r="AC22" i="39"/>
  <c r="AE22" i="39" s="1"/>
  <c r="P5" i="32"/>
  <c r="AC39" i="43"/>
  <c r="AE39" i="43" s="1"/>
  <c r="AA44" i="32"/>
  <c r="P92" i="43"/>
  <c r="N77" i="32"/>
  <c r="AC25" i="39"/>
  <c r="AE25" i="39" s="1"/>
  <c r="AC44" i="40"/>
  <c r="AC79" i="43"/>
  <c r="AE79" i="43" s="1"/>
  <c r="AC72" i="40"/>
  <c r="AE72" i="40" s="1"/>
  <c r="AC95" i="40"/>
  <c r="AE95" i="40" s="1"/>
  <c r="AC94" i="32"/>
  <c r="AE94" i="32" s="1"/>
  <c r="P11" i="43"/>
  <c r="R11" i="43" s="1"/>
  <c r="P87" i="43"/>
  <c r="R87" i="43" s="1"/>
  <c r="AC54" i="40"/>
  <c r="AA30" i="32"/>
  <c r="AE49" i="40"/>
  <c r="AC51" i="40"/>
  <c r="AC80" i="43"/>
  <c r="AE80" i="43" s="1"/>
  <c r="P97" i="43"/>
  <c r="R97" i="43" s="1"/>
  <c r="P14" i="32"/>
  <c r="R14" i="32" s="1"/>
  <c r="P12" i="39"/>
  <c r="P24" i="32"/>
  <c r="R24" i="32" s="1"/>
  <c r="AC55" i="39"/>
  <c r="AE55" i="39" s="1"/>
  <c r="AC73" i="39"/>
  <c r="P34" i="50"/>
  <c r="R34" i="50" s="1"/>
  <c r="N36" i="29" s="1"/>
  <c r="N131" i="29" s="1"/>
  <c r="P33" i="50"/>
  <c r="R33" i="50" s="1"/>
  <c r="N32" i="29" s="1"/>
  <c r="N134" i="29" s="1"/>
  <c r="P36" i="50"/>
  <c r="R36" i="50" s="1"/>
  <c r="N31" i="29" s="1"/>
  <c r="N129" i="29" s="1"/>
  <c r="P35" i="50"/>
  <c r="R35" i="50" s="1"/>
  <c r="N37" i="29" s="1"/>
  <c r="P32" i="50"/>
  <c r="AA81" i="40"/>
  <c r="AC27" i="40"/>
  <c r="N8" i="43"/>
  <c r="AA10" i="39"/>
  <c r="AC76" i="39"/>
  <c r="AE76" i="39" s="1"/>
  <c r="P12" i="32"/>
  <c r="AA102" i="32"/>
  <c r="P78" i="43"/>
  <c r="R78" i="43" s="1"/>
  <c r="P84" i="39"/>
  <c r="P55" i="40"/>
  <c r="R55" i="40" s="1"/>
  <c r="P27" i="43"/>
  <c r="AC45" i="39"/>
  <c r="AE45" i="39" s="1"/>
  <c r="AC57" i="40"/>
  <c r="AE57" i="40" s="1"/>
  <c r="AC13" i="39"/>
  <c r="AE13" i="39" s="1"/>
  <c r="AI20" i="47"/>
  <c r="AG22" i="47"/>
  <c r="P69" i="40"/>
  <c r="R69" i="40" s="1"/>
  <c r="AC20" i="39"/>
  <c r="AE20" i="39" s="1"/>
  <c r="R44" i="40"/>
  <c r="P46" i="40"/>
  <c r="P54" i="40"/>
  <c r="P59" i="32"/>
  <c r="R59" i="32" s="1"/>
  <c r="AC56" i="40"/>
  <c r="AE56" i="40" s="1"/>
  <c r="AC78" i="39"/>
  <c r="AE78" i="39" s="1"/>
  <c r="P27" i="32"/>
  <c r="R27" i="32" s="1"/>
  <c r="AA88" i="40"/>
  <c r="P17" i="43"/>
  <c r="R17" i="43" s="1"/>
  <c r="N64" i="39"/>
  <c r="N97" i="40"/>
  <c r="P24" i="39"/>
  <c r="R24" i="39" s="1"/>
  <c r="P21" i="39"/>
  <c r="R21" i="39" s="1"/>
  <c r="AA42" i="39"/>
  <c r="P6" i="32"/>
  <c r="R6" i="32" s="1"/>
  <c r="AC38" i="43"/>
  <c r="AE38" i="43" s="1"/>
  <c r="P56" i="43"/>
  <c r="R56" i="43" s="1"/>
  <c r="P148" i="27"/>
  <c r="R148" i="27" s="1"/>
  <c r="H36" i="29" s="1"/>
  <c r="P143" i="27"/>
  <c r="P146" i="27"/>
  <c r="R146" i="27" s="1"/>
  <c r="H34" i="29" s="1"/>
  <c r="P149" i="27"/>
  <c r="R149" i="27" s="1"/>
  <c r="H39" i="29" s="1"/>
  <c r="P156" i="27"/>
  <c r="R156" i="27" s="1"/>
  <c r="P152" i="27"/>
  <c r="R152" i="27" s="1"/>
  <c r="H38" i="29" s="1"/>
  <c r="P159" i="27"/>
  <c r="R159" i="27" s="1"/>
  <c r="H46" i="29" s="1"/>
  <c r="P158" i="27"/>
  <c r="R158" i="27" s="1"/>
  <c r="H45" i="29" s="1"/>
  <c r="P145" i="27"/>
  <c r="R145" i="27" s="1"/>
  <c r="H33" i="29" s="1"/>
  <c r="P155" i="27"/>
  <c r="R155" i="27" s="1"/>
  <c r="H43" i="29" s="1"/>
  <c r="P150" i="27"/>
  <c r="R150" i="27" s="1"/>
  <c r="H40" i="29" s="1"/>
  <c r="P144" i="27"/>
  <c r="R144" i="27" s="1"/>
  <c r="H32" i="29" s="1"/>
  <c r="P154" i="27"/>
  <c r="R154" i="27" s="1"/>
  <c r="H42" i="29" s="1"/>
  <c r="P147" i="27"/>
  <c r="R147" i="27" s="1"/>
  <c r="H35" i="29" s="1"/>
  <c r="P151" i="27"/>
  <c r="R151" i="27" s="1"/>
  <c r="H37" i="29" s="1"/>
  <c r="P157" i="27"/>
  <c r="R157" i="27" s="1"/>
  <c r="H44" i="29" s="1"/>
  <c r="P153" i="27"/>
  <c r="R153" i="27" s="1"/>
  <c r="H41" i="29" s="1"/>
  <c r="P37" i="40"/>
  <c r="AC7" i="43"/>
  <c r="AE5" i="43"/>
  <c r="P94" i="43"/>
  <c r="R94" i="43" s="1"/>
  <c r="AC45" i="43"/>
  <c r="AE45" i="43" s="1"/>
  <c r="AC28" i="40"/>
  <c r="AE28" i="40" s="1"/>
  <c r="P34" i="43"/>
  <c r="R33" i="43"/>
  <c r="AE112" i="32"/>
  <c r="AC114" i="32"/>
  <c r="N70" i="32"/>
  <c r="AC21" i="40"/>
  <c r="P348" i="44"/>
  <c r="R348" i="44" s="1"/>
  <c r="AA41" i="29" s="1"/>
  <c r="M192" i="29" s="1"/>
  <c r="N88" i="32"/>
  <c r="Q61" i="25"/>
  <c r="S61" i="25" s="1"/>
  <c r="P56" i="29" s="1"/>
  <c r="I145" i="29" s="1"/>
  <c r="AC92" i="32"/>
  <c r="AE92" i="32" s="1"/>
  <c r="P44" i="43"/>
  <c r="AC52" i="39"/>
  <c r="P77" i="43"/>
  <c r="AD224" i="27"/>
  <c r="AF224" i="27" s="1"/>
  <c r="BZ64" i="29" s="1"/>
  <c r="AD231" i="27"/>
  <c r="AF231" i="27" s="1"/>
  <c r="BZ68" i="29" s="1"/>
  <c r="AD219" i="27"/>
  <c r="AF219" i="27" s="1"/>
  <c r="BZ57" i="29" s="1"/>
  <c r="AD220" i="27"/>
  <c r="AF220" i="27" s="1"/>
  <c r="BZ58" i="29" s="1"/>
  <c r="AD227" i="27"/>
  <c r="AF227" i="27" s="1"/>
  <c r="BZ65" i="29" s="1"/>
  <c r="AD223" i="27"/>
  <c r="AF223" i="27" s="1"/>
  <c r="BZ63" i="29" s="1"/>
  <c r="AD217" i="27"/>
  <c r="AD225" i="27"/>
  <c r="AF225" i="27" s="1"/>
  <c r="BZ61" i="29" s="1"/>
  <c r="AD230" i="27"/>
  <c r="AF230" i="27" s="1"/>
  <c r="AD232" i="27"/>
  <c r="AF232" i="27" s="1"/>
  <c r="BZ69" i="29" s="1"/>
  <c r="AD221" i="27"/>
  <c r="AF221" i="27" s="1"/>
  <c r="BZ59" i="29" s="1"/>
  <c r="AD226" i="27"/>
  <c r="AF226" i="27" s="1"/>
  <c r="BZ62" i="29" s="1"/>
  <c r="AD233" i="27"/>
  <c r="AF233" i="27" s="1"/>
  <c r="BZ70" i="29" s="1"/>
  <c r="AD222" i="27"/>
  <c r="AF222" i="27" s="1"/>
  <c r="BZ60" i="29" s="1"/>
  <c r="AD218" i="27"/>
  <c r="AF218" i="27" s="1"/>
  <c r="BZ56" i="29" s="1"/>
  <c r="P55" i="32"/>
  <c r="R54" i="32"/>
  <c r="AA64" i="39"/>
  <c r="AA71" i="39"/>
  <c r="AC15" i="40"/>
  <c r="R5" i="40"/>
  <c r="P7" i="40"/>
  <c r="AA60" i="43"/>
  <c r="AE32" i="50"/>
  <c r="AE35" i="50"/>
  <c r="AG35" i="50" s="1"/>
  <c r="CF37" i="29" s="1"/>
  <c r="CM135" i="29" s="1"/>
  <c r="AE36" i="50"/>
  <c r="AG36" i="50" s="1"/>
  <c r="CF31" i="29" s="1"/>
  <c r="CM129" i="29" s="1"/>
  <c r="AE33" i="50"/>
  <c r="AG33" i="50" s="1"/>
  <c r="CF32" i="29" s="1"/>
  <c r="CM134" i="29" s="1"/>
  <c r="AE34" i="50"/>
  <c r="AG34" i="50" s="1"/>
  <c r="CF36" i="29" s="1"/>
  <c r="CM131" i="29" s="1"/>
  <c r="AC74" i="39"/>
  <c r="AE74" i="39" s="1"/>
  <c r="AA56" i="52"/>
  <c r="P35" i="39"/>
  <c r="R35" i="39" s="1"/>
  <c r="AC6" i="32"/>
  <c r="AE6" i="32" s="1"/>
  <c r="P55" i="43"/>
  <c r="P8" i="39"/>
  <c r="R8" i="39" s="1"/>
  <c r="P99" i="32"/>
  <c r="R99" i="32" s="1"/>
  <c r="AA25" i="43"/>
  <c r="CI67" i="29"/>
  <c r="CI43" i="29"/>
  <c r="CH225" i="29" s="1"/>
  <c r="Q63" i="25"/>
  <c r="S63" i="25" s="1"/>
  <c r="P59" i="29" s="1"/>
  <c r="I143" i="29" s="1"/>
  <c r="P19" i="32"/>
  <c r="R19" i="32" s="1"/>
  <c r="P46" i="14"/>
  <c r="P48" i="14"/>
  <c r="R48" i="14" s="1"/>
  <c r="R43" i="29" s="1"/>
  <c r="M225" i="29" s="1"/>
  <c r="P47" i="14"/>
  <c r="R47" i="14" s="1"/>
  <c r="R42" i="29" s="1"/>
  <c r="M224" i="29" s="1"/>
  <c r="AG9" i="51"/>
  <c r="AI9" i="51" s="1"/>
  <c r="AI27" i="51" s="1"/>
  <c r="CG37" i="29" s="1"/>
  <c r="CN135" i="29" s="1"/>
  <c r="AG6" i="51"/>
  <c r="AG8" i="51"/>
  <c r="AI8" i="51" s="1"/>
  <c r="AI26" i="51" s="1"/>
  <c r="CG36" i="29" s="1"/>
  <c r="CN131" i="29" s="1"/>
  <c r="AG7" i="51"/>
  <c r="AI7" i="51" s="1"/>
  <c r="AI25" i="51" s="1"/>
  <c r="CG33" i="29" s="1"/>
  <c r="CN133" i="29" s="1"/>
  <c r="P38" i="32"/>
  <c r="R38" i="32" s="1"/>
  <c r="AF48" i="14"/>
  <c r="AH48" i="14" s="1"/>
  <c r="AF46" i="14"/>
  <c r="AF47" i="14"/>
  <c r="AH47" i="14" s="1"/>
  <c r="P33" i="32"/>
  <c r="R33" i="32" s="1"/>
  <c r="AC46" i="32"/>
  <c r="AC48" i="39"/>
  <c r="AE48" i="39" s="1"/>
  <c r="N75" i="43"/>
  <c r="P37" i="32"/>
  <c r="R37" i="32" s="1"/>
  <c r="AC90" i="32"/>
  <c r="P38" i="39"/>
  <c r="R38" i="39" s="1"/>
  <c r="AC93" i="32"/>
  <c r="AE93" i="32" s="1"/>
  <c r="P7" i="39"/>
  <c r="R7" i="39" s="1"/>
  <c r="P25" i="32"/>
  <c r="R25" i="32" s="1"/>
  <c r="P96" i="43"/>
  <c r="R96" i="43" s="1"/>
  <c r="P20" i="32"/>
  <c r="R20" i="32" s="1"/>
  <c r="AC14" i="39"/>
  <c r="AE14" i="39" s="1"/>
  <c r="O57" i="25"/>
  <c r="AC21" i="39"/>
  <c r="AE21" i="39" s="1"/>
  <c r="AC27" i="39"/>
  <c r="AE27" i="39" s="1"/>
  <c r="P32" i="32"/>
  <c r="AC81" i="43"/>
  <c r="AE81" i="43" s="1"/>
  <c r="AE37" i="43"/>
  <c r="AC12" i="32"/>
  <c r="AE12" i="32" s="1"/>
  <c r="P18" i="39"/>
  <c r="P18" i="32"/>
  <c r="P27" i="39"/>
  <c r="R27" i="39" s="1"/>
  <c r="P6" i="39"/>
  <c r="R6" i="39" s="1"/>
  <c r="AC7" i="32"/>
  <c r="AE7" i="32" s="1"/>
  <c r="P57" i="40"/>
  <c r="R57" i="40" s="1"/>
  <c r="P26" i="32"/>
  <c r="R26" i="32" s="1"/>
  <c r="P68" i="40"/>
  <c r="P21" i="32"/>
  <c r="R21" i="32" s="1"/>
  <c r="AC6" i="40"/>
  <c r="AE6" i="40" s="1"/>
  <c r="AC13" i="32"/>
  <c r="AE13" i="32" s="1"/>
  <c r="AC11" i="40"/>
  <c r="AE11" i="40" s="1"/>
  <c r="AC40" i="43"/>
  <c r="AE40" i="43" s="1"/>
  <c r="N23" i="47"/>
  <c r="AC44" i="39"/>
  <c r="P39" i="39"/>
  <c r="R39" i="39" s="1"/>
  <c r="AC5" i="32"/>
  <c r="AB211" i="27"/>
  <c r="P98" i="32"/>
  <c r="P71" i="40"/>
  <c r="R71" i="40" s="1"/>
  <c r="AA75" i="43"/>
  <c r="P32" i="39"/>
  <c r="R32" i="39" s="1"/>
  <c r="AC37" i="40"/>
  <c r="AA31" i="43"/>
  <c r="AC40" i="40"/>
  <c r="AE40" i="40" s="1"/>
  <c r="AE348" i="44"/>
  <c r="AG348" i="44" s="1"/>
  <c r="CS41" i="29" s="1"/>
  <c r="CO192" i="29" s="1"/>
  <c r="P11" i="40"/>
  <c r="R11" i="40" s="1"/>
  <c r="P107" i="32"/>
  <c r="R107" i="32" s="1"/>
  <c r="N235" i="27"/>
  <c r="P80" i="43"/>
  <c r="R80" i="43" s="1"/>
  <c r="P22" i="32"/>
  <c r="R22" i="32" s="1"/>
  <c r="N71" i="39"/>
  <c r="P52" i="39"/>
  <c r="O53" i="52"/>
  <c r="Q53" i="52" s="1"/>
  <c r="M34" i="29" s="1"/>
  <c r="M136" i="29" s="1"/>
  <c r="O48" i="52"/>
  <c r="Q48" i="52" s="1"/>
  <c r="M33" i="29" s="1"/>
  <c r="M133" i="29" s="1"/>
  <c r="O44" i="52"/>
  <c r="O47" i="52"/>
  <c r="Q47" i="52" s="1"/>
  <c r="M44" i="29" s="1"/>
  <c r="N256" i="29" s="1"/>
  <c r="O51" i="52"/>
  <c r="Q51" i="52" s="1"/>
  <c r="M37" i="29" s="1"/>
  <c r="M135" i="29" s="1"/>
  <c r="O50" i="52"/>
  <c r="Q50" i="52" s="1"/>
  <c r="M35" i="29" s="1"/>
  <c r="M132" i="29" s="1"/>
  <c r="O45" i="52"/>
  <c r="Q45" i="52" s="1"/>
  <c r="M36" i="29" s="1"/>
  <c r="M131" i="29" s="1"/>
  <c r="O46" i="52"/>
  <c r="Q46" i="52" s="1"/>
  <c r="M41" i="29" s="1"/>
  <c r="N192" i="29" s="1"/>
  <c r="O49" i="52"/>
  <c r="Q49" i="52" s="1"/>
  <c r="AA77" i="32"/>
  <c r="N31" i="40"/>
  <c r="AC26" i="39"/>
  <c r="AE26" i="39" s="1"/>
  <c r="N50" i="39"/>
  <c r="P113" i="32"/>
  <c r="R113" i="32" s="1"/>
  <c r="AC22" i="40"/>
  <c r="AE22" i="40" s="1"/>
  <c r="AC65" i="32"/>
  <c r="AE33" i="40"/>
  <c r="AC34" i="40"/>
  <c r="DH60" i="29"/>
  <c r="AT63" i="29"/>
  <c r="AS64" i="29"/>
  <c r="BA60" i="29"/>
  <c r="AT55" i="29"/>
  <c r="DI40" i="29"/>
  <c r="BA57" i="29"/>
  <c r="DH63" i="29"/>
  <c r="DV65" i="29"/>
  <c r="AJ37" i="29"/>
  <c r="AR65" i="29"/>
  <c r="AJ39" i="29"/>
  <c r="DM64" i="29"/>
  <c r="DA63" i="29"/>
  <c r="DK65" i="29"/>
  <c r="DH57" i="29"/>
  <c r="AN36" i="29"/>
  <c r="AQ40" i="29"/>
  <c r="DP39" i="29"/>
  <c r="BD41" i="29"/>
  <c r="BD65" i="29"/>
  <c r="AM61" i="29"/>
  <c r="DH59" i="29"/>
  <c r="AI39" i="29"/>
  <c r="BB42" i="29"/>
  <c r="AD33" i="29"/>
  <c r="DR60" i="29"/>
  <c r="CX63" i="29"/>
  <c r="DB39" i="29"/>
  <c r="AC36" i="29"/>
  <c r="AH33" i="29"/>
  <c r="DK56" i="29"/>
  <c r="DF32" i="29"/>
  <c r="AC60" i="29"/>
  <c r="AJ36" i="29"/>
  <c r="AW33" i="29"/>
  <c r="BA32" i="29"/>
  <c r="AO63" i="29"/>
  <c r="AN63" i="29"/>
  <c r="AZ63" i="29"/>
  <c r="BB63" i="29"/>
  <c r="DD63" i="29"/>
  <c r="CU60" i="29"/>
  <c r="DO41" i="29"/>
  <c r="DR33" i="29"/>
  <c r="DR46" i="29"/>
  <c r="DA36" i="29"/>
  <c r="AT56" i="29"/>
  <c r="AS57" i="29"/>
  <c r="DR61" i="29"/>
  <c r="DK64" i="29"/>
  <c r="DF36" i="29"/>
  <c r="AC39" i="29"/>
  <c r="DB60" i="29"/>
  <c r="AR41" i="29"/>
  <c r="AI60" i="29"/>
  <c r="DC63" i="29"/>
  <c r="AD36" i="29"/>
  <c r="AS63" i="29"/>
  <c r="AK36" i="29"/>
  <c r="CT33" i="29"/>
  <c r="DI36" i="29"/>
  <c r="AS33" i="29"/>
  <c r="AT41" i="29"/>
  <c r="AT33" i="29"/>
  <c r="AT37" i="29"/>
  <c r="AQ65" i="29"/>
  <c r="DJ65" i="29"/>
  <c r="DJ36" i="29"/>
  <c r="AQ60" i="29"/>
  <c r="CU63" i="29"/>
  <c r="AT70" i="29"/>
  <c r="AM63" i="29"/>
  <c r="DJ60" i="29"/>
  <c r="AH39" i="29"/>
  <c r="AU36" i="29"/>
  <c r="AZ61" i="29"/>
  <c r="AD32" i="29"/>
  <c r="AL60" i="29"/>
  <c r="DO36" i="29"/>
  <c r="DR37" i="29"/>
  <c r="DE56" i="29"/>
  <c r="AK37" i="29"/>
  <c r="AT60" i="29"/>
  <c r="AS37" i="29"/>
  <c r="DE61" i="29"/>
  <c r="AO35" i="29"/>
  <c r="AN33" i="29"/>
  <c r="DR63" i="29"/>
  <c r="AP36" i="29"/>
  <c r="DS36" i="29"/>
  <c r="AB57" i="29"/>
  <c r="DR57" i="29"/>
  <c r="AS44" i="29"/>
  <c r="DF41" i="29"/>
  <c r="DI41" i="29"/>
  <c r="AS39" i="29"/>
  <c r="CZ39" i="29"/>
  <c r="CZ63" i="29"/>
  <c r="AD60" i="29"/>
  <c r="AH36" i="29"/>
  <c r="AE32" i="29"/>
  <c r="DU55" i="29"/>
  <c r="DV60" i="29"/>
  <c r="DT65" i="29"/>
  <c r="CT57" i="29"/>
  <c r="AO59" i="29"/>
  <c r="AN60" i="29"/>
  <c r="AZ57" i="29"/>
  <c r="AZ60" i="29"/>
  <c r="DD59" i="29"/>
  <c r="DO39" i="29"/>
  <c r="DR39" i="29"/>
  <c r="DB36" i="29"/>
  <c r="DJ41" i="29"/>
  <c r="AL65" i="29"/>
  <c r="DV36" i="29"/>
  <c r="AW39" i="29"/>
  <c r="AS60" i="29"/>
  <c r="CZ36" i="29"/>
  <c r="DK68" i="29"/>
  <c r="DH65" i="29"/>
  <c r="DF39" i="29"/>
  <c r="AS41" i="29"/>
  <c r="DC61" i="29"/>
  <c r="AM57" i="29"/>
  <c r="AS31" i="29"/>
  <c r="AQ36" i="29"/>
  <c r="DA39" i="29"/>
  <c r="DU36" i="29"/>
  <c r="AQ64" i="29"/>
  <c r="DM68" i="29"/>
  <c r="AT68" i="29"/>
  <c r="AP35" i="29"/>
  <c r="DK63" i="29"/>
  <c r="AK61" i="29"/>
  <c r="CT60" i="29"/>
  <c r="AT57" i="29"/>
  <c r="AN39" i="29"/>
  <c r="BC36" i="29"/>
  <c r="AD57" i="29"/>
  <c r="AO65" i="29"/>
  <c r="AN57" i="29"/>
  <c r="AZ70" i="29"/>
  <c r="DD65" i="29"/>
  <c r="AQ56" i="29"/>
  <c r="DR36" i="29"/>
  <c r="DH56" i="29"/>
  <c r="CU36" i="29"/>
  <c r="BD36" i="29"/>
  <c r="AN41" i="29"/>
  <c r="DN44" i="29"/>
  <c r="AL63" i="29"/>
  <c r="AL59" i="29"/>
  <c r="AS68" i="29"/>
  <c r="DO60" i="29"/>
  <c r="AW41" i="29"/>
  <c r="AT39" i="29"/>
  <c r="DS39" i="29"/>
  <c r="AP41" i="29"/>
  <c r="DO65" i="29"/>
  <c r="AK60" i="29"/>
  <c r="DJ63" i="29"/>
  <c r="DK60" i="29"/>
  <c r="AW36" i="29"/>
  <c r="AS65" i="29"/>
  <c r="CZ33" i="29"/>
  <c r="CX60" i="29"/>
  <c r="AT64" i="29"/>
  <c r="BB41" i="29"/>
  <c r="AS36" i="29"/>
  <c r="DK55" i="29"/>
  <c r="CZ32" i="29"/>
  <c r="AS55" i="29"/>
  <c r="AS46" i="29"/>
  <c r="DJ39" i="29"/>
  <c r="AC63" i="29"/>
  <c r="AS40" i="29"/>
  <c r="BC31" i="29"/>
  <c r="CW57" i="29"/>
  <c r="DK70" i="29"/>
  <c r="P85" i="43" l="1"/>
  <c r="R85" i="43" s="1"/>
  <c r="P86" i="43"/>
  <c r="R86" i="43" s="1"/>
  <c r="P88" i="43"/>
  <c r="R88" i="43" s="1"/>
  <c r="P34" i="32"/>
  <c r="R34" i="32" s="1"/>
  <c r="P40" i="32"/>
  <c r="R40" i="32" s="1"/>
  <c r="P42" i="32"/>
  <c r="R42" i="32" s="1"/>
  <c r="P41" i="32"/>
  <c r="R41" i="32" s="1"/>
  <c r="P39" i="32"/>
  <c r="R39" i="32" s="1"/>
  <c r="P36" i="32"/>
  <c r="R36" i="32" s="1"/>
  <c r="T55" i="29"/>
  <c r="K140" i="29" s="1"/>
  <c r="S61" i="29"/>
  <c r="J146" i="29" s="1"/>
  <c r="CK61" i="29"/>
  <c r="CI146" i="29" s="1"/>
  <c r="T61" i="29"/>
  <c r="K146" i="29" s="1"/>
  <c r="T70" i="29"/>
  <c r="K289" i="29" s="1"/>
  <c r="P29" i="40"/>
  <c r="R29" i="40" s="1"/>
  <c r="P27" i="40"/>
  <c r="P28" i="40"/>
  <c r="R28" i="40" s="1"/>
  <c r="AC75" i="32"/>
  <c r="AE75" i="32" s="1"/>
  <c r="AC74" i="32"/>
  <c r="AE74" i="32" s="1"/>
  <c r="AC73" i="32"/>
  <c r="AE73" i="32" s="1"/>
  <c r="AC72" i="32"/>
  <c r="AE37" i="40"/>
  <c r="AC41" i="40"/>
  <c r="R98" i="32"/>
  <c r="P101" i="32"/>
  <c r="AE44" i="39"/>
  <c r="AC49" i="39"/>
  <c r="P70" i="43"/>
  <c r="R70" i="43" s="1"/>
  <c r="P71" i="43"/>
  <c r="R71" i="43" s="1"/>
  <c r="P69" i="43"/>
  <c r="P73" i="43"/>
  <c r="R73" i="43" s="1"/>
  <c r="P72" i="43"/>
  <c r="R72" i="43" s="1"/>
  <c r="CJ42" i="29"/>
  <c r="CI224" i="29" s="1"/>
  <c r="CJ66" i="29"/>
  <c r="EO66" i="29" s="1"/>
  <c r="AC56" i="43"/>
  <c r="AE56" i="43" s="1"/>
  <c r="AC57" i="43"/>
  <c r="AE57" i="43" s="1"/>
  <c r="AC55" i="43"/>
  <c r="AC58" i="43"/>
  <c r="AE58" i="43" s="1"/>
  <c r="AC66" i="39"/>
  <c r="AC69" i="39"/>
  <c r="AE69" i="39" s="1"/>
  <c r="AC68" i="39"/>
  <c r="AE68" i="39" s="1"/>
  <c r="AC67" i="39"/>
  <c r="AE67" i="39" s="1"/>
  <c r="CK145" i="29"/>
  <c r="CK143" i="29"/>
  <c r="EP59" i="29"/>
  <c r="EQ59" i="29"/>
  <c r="AF217" i="27"/>
  <c r="BZ55" i="29" s="1"/>
  <c r="AD234" i="27"/>
  <c r="CK144" i="29"/>
  <c r="AE52" i="39"/>
  <c r="AC56" i="39"/>
  <c r="P84" i="32"/>
  <c r="R84" i="32" s="1"/>
  <c r="P81" i="32"/>
  <c r="R81" i="32" s="1"/>
  <c r="P85" i="32"/>
  <c r="R85" i="32" s="1"/>
  <c r="P79" i="32"/>
  <c r="P82" i="32"/>
  <c r="R82" i="32" s="1"/>
  <c r="P86" i="32"/>
  <c r="R86" i="32" s="1"/>
  <c r="P80" i="32"/>
  <c r="R80" i="32" s="1"/>
  <c r="P83" i="32"/>
  <c r="R83" i="32" s="1"/>
  <c r="L135" i="29"/>
  <c r="L161" i="29"/>
  <c r="L285" i="29"/>
  <c r="L136" i="29"/>
  <c r="BE34" i="29"/>
  <c r="BG34" i="29"/>
  <c r="BF34" i="29"/>
  <c r="AC85" i="40"/>
  <c r="AE85" i="40" s="1"/>
  <c r="AC84" i="40"/>
  <c r="AE84" i="40" s="1"/>
  <c r="AC83" i="40"/>
  <c r="AC86" i="40"/>
  <c r="AE86" i="40" s="1"/>
  <c r="R12" i="32"/>
  <c r="P15" i="32"/>
  <c r="AE27" i="40"/>
  <c r="AC30" i="40"/>
  <c r="AC25" i="32"/>
  <c r="AE25" i="32" s="1"/>
  <c r="AC27" i="32"/>
  <c r="AE27" i="32" s="1"/>
  <c r="AC26" i="32"/>
  <c r="AE26" i="32" s="1"/>
  <c r="AC18" i="32"/>
  <c r="AC24" i="32"/>
  <c r="AE24" i="32" s="1"/>
  <c r="AC22" i="32"/>
  <c r="AE22" i="32" s="1"/>
  <c r="AC21" i="32"/>
  <c r="AE21" i="32" s="1"/>
  <c r="AC20" i="32"/>
  <c r="AE20" i="32" s="1"/>
  <c r="AC23" i="32"/>
  <c r="AE23" i="32" s="1"/>
  <c r="AC28" i="32"/>
  <c r="AE28" i="32" s="1"/>
  <c r="AC19" i="32"/>
  <c r="AE19" i="32" s="1"/>
  <c r="AE44" i="40"/>
  <c r="AC46" i="40"/>
  <c r="AC35" i="32"/>
  <c r="AE35" i="32" s="1"/>
  <c r="AC40" i="32"/>
  <c r="AE40" i="32" s="1"/>
  <c r="AC34" i="32"/>
  <c r="AE34" i="32" s="1"/>
  <c r="AC41" i="32"/>
  <c r="AE41" i="32" s="1"/>
  <c r="AC32" i="32"/>
  <c r="AC39" i="32"/>
  <c r="AE39" i="32" s="1"/>
  <c r="AC42" i="32"/>
  <c r="AE42" i="32" s="1"/>
  <c r="AC36" i="32"/>
  <c r="AE36" i="32" s="1"/>
  <c r="AC37" i="32"/>
  <c r="AE37" i="32" s="1"/>
  <c r="AC33" i="32"/>
  <c r="AE33" i="32" s="1"/>
  <c r="AC38" i="32"/>
  <c r="AE38" i="32" s="1"/>
  <c r="P23" i="40"/>
  <c r="R23" i="40" s="1"/>
  <c r="P22" i="40"/>
  <c r="R22" i="40" s="1"/>
  <c r="P21" i="40"/>
  <c r="AE58" i="32"/>
  <c r="AC62" i="32"/>
  <c r="AC12" i="40"/>
  <c r="Q65" i="25"/>
  <c r="AC7" i="40"/>
  <c r="AE92" i="39"/>
  <c r="AC94" i="39"/>
  <c r="AE97" i="39"/>
  <c r="AC99" i="39"/>
  <c r="P109" i="32"/>
  <c r="R37" i="43"/>
  <c r="P41" i="43"/>
  <c r="AD146" i="27"/>
  <c r="AF146" i="27" s="1"/>
  <c r="BZ34" i="29" s="1"/>
  <c r="AD149" i="27"/>
  <c r="AF149" i="27" s="1"/>
  <c r="BZ39" i="29" s="1"/>
  <c r="AD155" i="27"/>
  <c r="AF155" i="27" s="1"/>
  <c r="BZ43" i="29" s="1"/>
  <c r="AD150" i="27"/>
  <c r="AF150" i="27" s="1"/>
  <c r="BZ40" i="29" s="1"/>
  <c r="AD154" i="27"/>
  <c r="AF154" i="27" s="1"/>
  <c r="BZ42" i="29" s="1"/>
  <c r="AD157" i="27"/>
  <c r="AF157" i="27" s="1"/>
  <c r="BZ44" i="29" s="1"/>
  <c r="AD158" i="27"/>
  <c r="AF158" i="27" s="1"/>
  <c r="BZ45" i="29" s="1"/>
  <c r="AD153" i="27"/>
  <c r="AF153" i="27" s="1"/>
  <c r="BZ41" i="29" s="1"/>
  <c r="AD143" i="27"/>
  <c r="AD151" i="27"/>
  <c r="AF151" i="27" s="1"/>
  <c r="BZ37" i="29" s="1"/>
  <c r="AD147" i="27"/>
  <c r="AF147" i="27" s="1"/>
  <c r="BZ35" i="29" s="1"/>
  <c r="AD156" i="27"/>
  <c r="AF156" i="27" s="1"/>
  <c r="AD152" i="27"/>
  <c r="AF152" i="27" s="1"/>
  <c r="BZ38" i="29" s="1"/>
  <c r="AD148" i="27"/>
  <c r="AF148" i="27" s="1"/>
  <c r="BZ36" i="29" s="1"/>
  <c r="AD159" i="27"/>
  <c r="AF159" i="27" s="1"/>
  <c r="BZ46" i="29" s="1"/>
  <c r="AD145" i="27"/>
  <c r="AF145" i="27" s="1"/>
  <c r="BZ33" i="29" s="1"/>
  <c r="AD144" i="27"/>
  <c r="AF144" i="27" s="1"/>
  <c r="BZ32" i="29" s="1"/>
  <c r="P21" i="47"/>
  <c r="R21" i="47" s="1"/>
  <c r="Q43" i="29" s="1"/>
  <c r="L225" i="29" s="1"/>
  <c r="P20" i="47"/>
  <c r="R18" i="32"/>
  <c r="P29" i="32"/>
  <c r="AC41" i="43"/>
  <c r="AB96" i="43"/>
  <c r="AB98" i="43" s="1"/>
  <c r="AA99" i="43" s="1"/>
  <c r="AH46" i="14"/>
  <c r="AF49" i="14"/>
  <c r="AC46" i="52"/>
  <c r="AE46" i="52" s="1"/>
  <c r="CE41" i="29" s="1"/>
  <c r="CL192" i="29" s="1"/>
  <c r="AC48" i="52"/>
  <c r="AE48" i="52" s="1"/>
  <c r="CE33" i="29" s="1"/>
  <c r="CL133" i="29" s="1"/>
  <c r="AC44" i="52"/>
  <c r="AC47" i="52"/>
  <c r="AE47" i="52" s="1"/>
  <c r="CE44" i="29" s="1"/>
  <c r="CM256" i="29" s="1"/>
  <c r="AC49" i="52"/>
  <c r="AE49" i="52" s="1"/>
  <c r="AC45" i="52"/>
  <c r="AE45" i="52" s="1"/>
  <c r="CE36" i="29" s="1"/>
  <c r="CL131" i="29" s="1"/>
  <c r="AC51" i="52"/>
  <c r="AE51" i="52" s="1"/>
  <c r="CE37" i="29" s="1"/>
  <c r="CL135" i="29" s="1"/>
  <c r="AC50" i="52"/>
  <c r="AE50" i="52" s="1"/>
  <c r="CE35" i="29" s="1"/>
  <c r="CL132" i="29" s="1"/>
  <c r="AC53" i="52"/>
  <c r="AE53" i="52" s="1"/>
  <c r="CE34" i="29" s="1"/>
  <c r="CL136" i="29" s="1"/>
  <c r="AC59" i="39"/>
  <c r="AC62" i="39"/>
  <c r="AE62" i="39" s="1"/>
  <c r="AC61" i="39"/>
  <c r="AE61" i="39" s="1"/>
  <c r="AC60" i="39"/>
  <c r="AE60" i="39" s="1"/>
  <c r="CK142" i="29"/>
  <c r="CK261" i="29"/>
  <c r="EQ69" i="29"/>
  <c r="EO69" i="29"/>
  <c r="EP69" i="29"/>
  <c r="ER69" i="29" s="1"/>
  <c r="ET69" i="29" s="1"/>
  <c r="CT261" i="29" s="1"/>
  <c r="CG168" i="29"/>
  <c r="CK260" i="29"/>
  <c r="R44" i="43"/>
  <c r="P46" i="43"/>
  <c r="R37" i="40"/>
  <c r="P41" i="40"/>
  <c r="L132" i="29"/>
  <c r="BG35" i="29"/>
  <c r="BF35" i="29"/>
  <c r="K225" i="29"/>
  <c r="BE43" i="29"/>
  <c r="BG43" i="29"/>
  <c r="BF43" i="29"/>
  <c r="L130" i="29"/>
  <c r="BE38" i="29"/>
  <c r="BG38" i="29"/>
  <c r="BF38" i="29"/>
  <c r="P160" i="27"/>
  <c r="R143" i="27"/>
  <c r="H31" i="29" s="1"/>
  <c r="P94" i="40"/>
  <c r="R94" i="40" s="1"/>
  <c r="P90" i="40"/>
  <c r="P95" i="40"/>
  <c r="R95" i="40" s="1"/>
  <c r="P91" i="40"/>
  <c r="R91" i="40" s="1"/>
  <c r="P92" i="40"/>
  <c r="R92" i="40" s="1"/>
  <c r="P93" i="40"/>
  <c r="R93" i="40" s="1"/>
  <c r="R54" i="40"/>
  <c r="P58" i="40"/>
  <c r="R84" i="39"/>
  <c r="P89" i="39"/>
  <c r="AC79" i="40"/>
  <c r="AE79" i="40" s="1"/>
  <c r="AC76" i="40"/>
  <c r="AC78" i="40"/>
  <c r="AE78" i="40" s="1"/>
  <c r="AC77" i="40"/>
  <c r="AE77" i="40" s="1"/>
  <c r="AE54" i="40"/>
  <c r="AC58" i="40"/>
  <c r="R102" i="39"/>
  <c r="P104" i="39"/>
  <c r="P63" i="43"/>
  <c r="R63" i="43" s="1"/>
  <c r="P65" i="43"/>
  <c r="R65" i="43" s="1"/>
  <c r="P64" i="43"/>
  <c r="R64" i="43" s="1"/>
  <c r="P62" i="43"/>
  <c r="R49" i="40"/>
  <c r="P51" i="40"/>
  <c r="AC73" i="40"/>
  <c r="P65" i="40"/>
  <c r="P18" i="43"/>
  <c r="AE104" i="32"/>
  <c r="AC109" i="32"/>
  <c r="AC15" i="39"/>
  <c r="AE65" i="32"/>
  <c r="AC69" i="32"/>
  <c r="P56" i="39"/>
  <c r="R52" i="39"/>
  <c r="P219" i="27"/>
  <c r="R219" i="27" s="1"/>
  <c r="H57" i="29" s="1"/>
  <c r="P232" i="27"/>
  <c r="R232" i="27" s="1"/>
  <c r="H69" i="29" s="1"/>
  <c r="P223" i="27"/>
  <c r="R223" i="27" s="1"/>
  <c r="H63" i="29" s="1"/>
  <c r="P225" i="27"/>
  <c r="R225" i="27" s="1"/>
  <c r="H61" i="29" s="1"/>
  <c r="P230" i="27"/>
  <c r="R230" i="27" s="1"/>
  <c r="P220" i="27"/>
  <c r="R220" i="27" s="1"/>
  <c r="H58" i="29" s="1"/>
  <c r="P226" i="27"/>
  <c r="R226" i="27" s="1"/>
  <c r="H62" i="29" s="1"/>
  <c r="P221" i="27"/>
  <c r="R221" i="27" s="1"/>
  <c r="H59" i="29" s="1"/>
  <c r="P231" i="27"/>
  <c r="R231" i="27" s="1"/>
  <c r="H68" i="29" s="1"/>
  <c r="P218" i="27"/>
  <c r="R218" i="27" s="1"/>
  <c r="H56" i="29" s="1"/>
  <c r="P217" i="27"/>
  <c r="P222" i="27"/>
  <c r="R222" i="27" s="1"/>
  <c r="H60" i="29" s="1"/>
  <c r="P227" i="27"/>
  <c r="R227" i="27" s="1"/>
  <c r="H65" i="29" s="1"/>
  <c r="P224" i="27"/>
  <c r="R224" i="27" s="1"/>
  <c r="H64" i="29" s="1"/>
  <c r="P233" i="27"/>
  <c r="R233" i="27" s="1"/>
  <c r="H70" i="29" s="1"/>
  <c r="AC70" i="43"/>
  <c r="AE70" i="43" s="1"/>
  <c r="AC71" i="43"/>
  <c r="AE71" i="43" s="1"/>
  <c r="AC69" i="43"/>
  <c r="AC73" i="43"/>
  <c r="AE73" i="43" s="1"/>
  <c r="AC72" i="43"/>
  <c r="AE72" i="43" s="1"/>
  <c r="AE5" i="32"/>
  <c r="AC9" i="32"/>
  <c r="R18" i="39"/>
  <c r="P28" i="39"/>
  <c r="Q51" i="25"/>
  <c r="Q54" i="25"/>
  <c r="S54" i="25" s="1"/>
  <c r="P35" i="29" s="1"/>
  <c r="I132" i="29" s="1"/>
  <c r="Q55" i="25"/>
  <c r="S55" i="25" s="1"/>
  <c r="P39" i="29" s="1"/>
  <c r="I162" i="29" s="1"/>
  <c r="Q52" i="25"/>
  <c r="S52" i="25" s="1"/>
  <c r="P32" i="29" s="1"/>
  <c r="I134" i="29" s="1"/>
  <c r="Q53" i="25"/>
  <c r="S53" i="25" s="1"/>
  <c r="P36" i="29" s="1"/>
  <c r="I131" i="29" s="1"/>
  <c r="AE90" i="32"/>
  <c r="AC95" i="32"/>
  <c r="AE46" i="32"/>
  <c r="AC51" i="32"/>
  <c r="CJ67" i="29"/>
  <c r="EO67" i="29" s="1"/>
  <c r="CJ43" i="29"/>
  <c r="CI225" i="29" s="1"/>
  <c r="AI6" i="51"/>
  <c r="AI24" i="51" s="1"/>
  <c r="CG32" i="29" s="1"/>
  <c r="CN134" i="29" s="1"/>
  <c r="AG13" i="51"/>
  <c r="R46" i="14"/>
  <c r="R41" i="29" s="1"/>
  <c r="P192" i="29" s="1"/>
  <c r="P49" i="14"/>
  <c r="R55" i="43"/>
  <c r="P59" i="43"/>
  <c r="CK289" i="29"/>
  <c r="CK196" i="29"/>
  <c r="CG167" i="29"/>
  <c r="AE21" i="40"/>
  <c r="AC24" i="40"/>
  <c r="L192" i="29"/>
  <c r="K224" i="29"/>
  <c r="L133" i="29"/>
  <c r="L131" i="29"/>
  <c r="AC40" i="39"/>
  <c r="AE40" i="39" s="1"/>
  <c r="AC37" i="39"/>
  <c r="AE37" i="39" s="1"/>
  <c r="AC32" i="39"/>
  <c r="AE32" i="39" s="1"/>
  <c r="AC31" i="39"/>
  <c r="AC36" i="39"/>
  <c r="AE36" i="39" s="1"/>
  <c r="AC39" i="39"/>
  <c r="AE39" i="39" s="1"/>
  <c r="AC34" i="39"/>
  <c r="AE34" i="39" s="1"/>
  <c r="AC33" i="39"/>
  <c r="AE33" i="39" s="1"/>
  <c r="AC38" i="39"/>
  <c r="AE38" i="39" s="1"/>
  <c r="AC35" i="39"/>
  <c r="AE35" i="39" s="1"/>
  <c r="P59" i="39"/>
  <c r="P62" i="39"/>
  <c r="R62" i="39" s="1"/>
  <c r="P60" i="39"/>
  <c r="R60" i="39" s="1"/>
  <c r="P61" i="39"/>
  <c r="R61" i="39" s="1"/>
  <c r="AC8" i="39"/>
  <c r="AE8" i="39" s="1"/>
  <c r="AC7" i="39"/>
  <c r="AE7" i="39" s="1"/>
  <c r="AC5" i="39"/>
  <c r="AC6" i="39"/>
  <c r="AE6" i="39" s="1"/>
  <c r="P38" i="50"/>
  <c r="R32" i="50"/>
  <c r="N33" i="29" s="1"/>
  <c r="N133" i="29" s="1"/>
  <c r="R12" i="39"/>
  <c r="P15" i="39"/>
  <c r="AB87" i="43"/>
  <c r="AB89" i="43" s="1"/>
  <c r="AA90" i="43" s="1"/>
  <c r="P75" i="32"/>
  <c r="R75" i="32" s="1"/>
  <c r="P74" i="32"/>
  <c r="R74" i="32" s="1"/>
  <c r="P73" i="32"/>
  <c r="R73" i="32" s="1"/>
  <c r="P72" i="32"/>
  <c r="R5" i="32"/>
  <c r="P9" i="32"/>
  <c r="AC16" i="43"/>
  <c r="AE16" i="43" s="1"/>
  <c r="AC17" i="43"/>
  <c r="AE17" i="43" s="1"/>
  <c r="AC15" i="43"/>
  <c r="AE350" i="44"/>
  <c r="P41" i="39"/>
  <c r="AC46" i="43"/>
  <c r="P350" i="44"/>
  <c r="AE79" i="32"/>
  <c r="AC87" i="32"/>
  <c r="AC65" i="40"/>
  <c r="AE61" i="40"/>
  <c r="R73" i="39"/>
  <c r="P81" i="39"/>
  <c r="R76" i="40"/>
  <c r="P80" i="40"/>
  <c r="R83" i="40"/>
  <c r="P87" i="40"/>
  <c r="P62" i="32"/>
  <c r="P12" i="40"/>
  <c r="AC82" i="43"/>
  <c r="AC28" i="39"/>
  <c r="P12" i="43"/>
  <c r="R15" i="40"/>
  <c r="P18" i="40"/>
  <c r="P47" i="39"/>
  <c r="R47" i="39" s="1"/>
  <c r="P46" i="39"/>
  <c r="R46" i="39" s="1"/>
  <c r="P44" i="39"/>
  <c r="P45" i="39"/>
  <c r="R45" i="39" s="1"/>
  <c r="P48" i="39"/>
  <c r="R48" i="39" s="1"/>
  <c r="O54" i="52"/>
  <c r="Q44" i="52"/>
  <c r="M31" i="29" s="1"/>
  <c r="M129" i="29" s="1"/>
  <c r="P67" i="39"/>
  <c r="R67" i="39" s="1"/>
  <c r="P68" i="39"/>
  <c r="R68" i="39" s="1"/>
  <c r="P66" i="39"/>
  <c r="P69" i="39"/>
  <c r="R69" i="39" s="1"/>
  <c r="AC29" i="43"/>
  <c r="AE29" i="43" s="1"/>
  <c r="AC28" i="43"/>
  <c r="AE28" i="43" s="1"/>
  <c r="AC27" i="43"/>
  <c r="R68" i="40"/>
  <c r="P73" i="40"/>
  <c r="R32" i="32"/>
  <c r="P43" i="32"/>
  <c r="AC22" i="43"/>
  <c r="AE22" i="43" s="1"/>
  <c r="AC23" i="43"/>
  <c r="AE23" i="43" s="1"/>
  <c r="AC21" i="43"/>
  <c r="AG32" i="50"/>
  <c r="CF33" i="29" s="1"/>
  <c r="CM133" i="29" s="1"/>
  <c r="AE38" i="50"/>
  <c r="AC18" i="40"/>
  <c r="AE15" i="40"/>
  <c r="CK141" i="29"/>
  <c r="EQ62" i="29"/>
  <c r="ES62" i="29" s="1"/>
  <c r="EU62" i="29" s="1"/>
  <c r="CW141" i="29" s="1"/>
  <c r="EP62" i="29"/>
  <c r="EO62" i="29"/>
  <c r="CK146" i="29"/>
  <c r="CK147" i="29"/>
  <c r="EQ58" i="29"/>
  <c r="ES58" i="29" s="1"/>
  <c r="EU58" i="29" s="1"/>
  <c r="CW147" i="29" s="1"/>
  <c r="EO58" i="29"/>
  <c r="EP58" i="29"/>
  <c r="ER58" i="29" s="1"/>
  <c r="ET58" i="29" s="1"/>
  <c r="CV147" i="29" s="1"/>
  <c r="R77" i="43"/>
  <c r="P82" i="43"/>
  <c r="P68" i="32"/>
  <c r="R68" i="32" s="1"/>
  <c r="P66" i="32"/>
  <c r="R66" i="32" s="1"/>
  <c r="P65" i="32"/>
  <c r="P67" i="32"/>
  <c r="R67" i="32" s="1"/>
  <c r="L256" i="29"/>
  <c r="L134" i="29"/>
  <c r="L257" i="29"/>
  <c r="BE45" i="29"/>
  <c r="BG45" i="29"/>
  <c r="BF45" i="29"/>
  <c r="L162" i="29"/>
  <c r="CI65" i="29"/>
  <c r="CI41" i="29"/>
  <c r="CM192" i="29" s="1"/>
  <c r="P30" i="43"/>
  <c r="R27" i="43"/>
  <c r="AC98" i="32"/>
  <c r="AC100" i="32"/>
  <c r="AE100" i="32" s="1"/>
  <c r="AC99" i="32"/>
  <c r="AE99" i="32" s="1"/>
  <c r="P5" i="43"/>
  <c r="P6" i="43"/>
  <c r="R6" i="43" s="1"/>
  <c r="AE73" i="39"/>
  <c r="AC81" i="39"/>
  <c r="R92" i="43"/>
  <c r="P98" i="43"/>
  <c r="R97" i="39"/>
  <c r="P99" i="39"/>
  <c r="AC88" i="39"/>
  <c r="AE88" i="39" s="1"/>
  <c r="AC85" i="39"/>
  <c r="AE85" i="39" s="1"/>
  <c r="AC87" i="39"/>
  <c r="AE87" i="39" s="1"/>
  <c r="AC84" i="39"/>
  <c r="AC86" i="39"/>
  <c r="AE86" i="39" s="1"/>
  <c r="P89" i="43"/>
  <c r="AC96" i="40"/>
  <c r="P9" i="39"/>
  <c r="Q13" i="51"/>
  <c r="S6" i="51"/>
  <c r="S24" i="51" s="1"/>
  <c r="O32" i="29" s="1"/>
  <c r="O134" i="29" s="1"/>
  <c r="P114" i="32"/>
  <c r="AO36" i="29"/>
  <c r="AT46" i="29"/>
  <c r="AT40" i="29"/>
  <c r="AO39" i="29"/>
  <c r="AT42" i="29"/>
  <c r="AO41" i="29"/>
  <c r="AT31" i="29"/>
  <c r="AT36" i="29"/>
  <c r="AT44" i="29"/>
  <c r="DQ36" i="29"/>
  <c r="BB39" i="29"/>
  <c r="AM33" i="29"/>
  <c r="AM39" i="29"/>
  <c r="DC39" i="29"/>
  <c r="DQ63" i="29"/>
  <c r="AZ36" i="29"/>
  <c r="AZ46" i="29"/>
  <c r="DG63" i="29"/>
  <c r="DK31" i="29"/>
  <c r="DK40" i="29"/>
  <c r="DK42" i="29"/>
  <c r="DL39" i="29"/>
  <c r="DL37" i="29"/>
  <c r="AE57" i="29"/>
  <c r="AH32" i="29"/>
  <c r="AI36" i="29"/>
  <c r="AP65" i="29"/>
  <c r="AK56" i="29"/>
  <c r="DF63" i="29"/>
  <c r="DC56" i="29"/>
  <c r="AL39" i="29"/>
  <c r="AJ60" i="29"/>
  <c r="DP36" i="29"/>
  <c r="DE36" i="29"/>
  <c r="DI32" i="29"/>
  <c r="AK32" i="29"/>
  <c r="DL55" i="29"/>
  <c r="DL61" i="29"/>
  <c r="DL68" i="29"/>
  <c r="AX63" i="29"/>
  <c r="AR60" i="29"/>
  <c r="DR32" i="29"/>
  <c r="AZ56" i="29"/>
  <c r="AO60" i="29"/>
  <c r="AY60" i="29"/>
  <c r="CX39" i="29"/>
  <c r="CW36" i="29"/>
  <c r="AX44" i="29"/>
  <c r="AB36" i="29"/>
  <c r="DS57" i="29"/>
  <c r="DT42" i="29"/>
  <c r="AF60" i="29"/>
  <c r="AM36" i="29"/>
  <c r="DO57" i="29"/>
  <c r="AZ37" i="29"/>
  <c r="AZ33" i="29"/>
  <c r="CX56" i="29"/>
  <c r="DK46" i="29"/>
  <c r="DK39" i="29"/>
  <c r="DK33" i="29"/>
  <c r="DL46" i="29"/>
  <c r="DL44" i="29"/>
  <c r="DL33" i="29"/>
  <c r="DU60" i="29"/>
  <c r="AS32" i="29"/>
  <c r="DP68" i="29"/>
  <c r="AP57" i="29"/>
  <c r="AL41" i="29"/>
  <c r="DS32" i="29"/>
  <c r="DL65" i="29"/>
  <c r="DL70" i="29"/>
  <c r="DL64" i="29"/>
  <c r="AX65" i="29"/>
  <c r="DI60" i="29"/>
  <c r="AY36" i="29"/>
  <c r="CV33" i="29"/>
  <c r="AU65" i="29"/>
  <c r="AU68" i="29"/>
  <c r="CX36" i="29"/>
  <c r="AT32" i="29"/>
  <c r="CV56" i="29"/>
  <c r="AX39" i="29"/>
  <c r="DR56" i="29"/>
  <c r="BC60" i="29"/>
  <c r="DQ39" i="29"/>
  <c r="CZ56" i="29"/>
  <c r="DM60" i="29"/>
  <c r="DC37" i="29"/>
  <c r="DQ60" i="29"/>
  <c r="DG65" i="29"/>
  <c r="DK36" i="29"/>
  <c r="DA60" i="29"/>
  <c r="DL36" i="29"/>
  <c r="DL42" i="29"/>
  <c r="DL41" i="29"/>
  <c r="DO33" i="29"/>
  <c r="DP65" i="29"/>
  <c r="AH56" i="29"/>
  <c r="AP59" i="29"/>
  <c r="AP60" i="29"/>
  <c r="BA56" i="29"/>
  <c r="DF60" i="29"/>
  <c r="BD60" i="29"/>
  <c r="AL35" i="29"/>
  <c r="DE37" i="29"/>
  <c r="AS56" i="29"/>
  <c r="CW56" i="29"/>
  <c r="DL57" i="29"/>
  <c r="DL63" i="29"/>
  <c r="DI64" i="29"/>
  <c r="CV36" i="29"/>
  <c r="AN56" i="29"/>
  <c r="AU64" i="29"/>
  <c r="AN32" i="29"/>
  <c r="DT41" i="29"/>
  <c r="AF32" i="29"/>
  <c r="AP32" i="29"/>
  <c r="DS60" i="29"/>
  <c r="AF63" i="29"/>
  <c r="AM37" i="29"/>
  <c r="DC36" i="29"/>
  <c r="AZ39" i="29"/>
  <c r="DG59" i="29"/>
  <c r="AR36" i="29"/>
  <c r="DK44" i="29"/>
  <c r="DK41" i="29"/>
  <c r="DK37" i="29"/>
  <c r="DL31" i="29"/>
  <c r="DL40" i="29"/>
  <c r="AE60" i="29"/>
  <c r="DT63" i="29"/>
  <c r="DP63" i="29"/>
  <c r="AP63" i="29"/>
  <c r="DF57" i="29"/>
  <c r="AW57" i="29"/>
  <c r="DE33" i="29"/>
  <c r="DE39" i="29"/>
  <c r="DM36" i="29"/>
  <c r="DL60" i="29"/>
  <c r="AX68" i="29"/>
  <c r="DI65" i="29"/>
  <c r="AY39" i="29"/>
  <c r="AQ32" i="29"/>
  <c r="DD60" i="29"/>
  <c r="AD56" i="29"/>
  <c r="AY63" i="29"/>
  <c r="AM56" i="29"/>
  <c r="CW33" i="29"/>
  <c r="AX41" i="29"/>
  <c r="DS63" i="29"/>
  <c r="T31" i="29" l="1"/>
  <c r="K129" i="29" s="1"/>
  <c r="T42" i="29"/>
  <c r="T40" i="29"/>
  <c r="T41" i="29"/>
  <c r="K192" i="29" s="1"/>
  <c r="CL65" i="29"/>
  <c r="CJ196" i="29" s="1"/>
  <c r="CK57" i="29"/>
  <c r="S60" i="29"/>
  <c r="J142" i="29" s="1"/>
  <c r="CL37" i="29"/>
  <c r="CJ135" i="29" s="1"/>
  <c r="CL41" i="29"/>
  <c r="CJ192" i="29" s="1"/>
  <c r="CL44" i="29"/>
  <c r="CJ256" i="29" s="1"/>
  <c r="CK59" i="29"/>
  <c r="S37" i="29"/>
  <c r="S63" i="29"/>
  <c r="J168" i="29" s="1"/>
  <c r="T64" i="29"/>
  <c r="K167" i="29" s="1"/>
  <c r="CL64" i="29"/>
  <c r="CL63" i="29"/>
  <c r="T56" i="29"/>
  <c r="K145" i="29" s="1"/>
  <c r="S35" i="29"/>
  <c r="J132" i="29" s="1"/>
  <c r="S59" i="29"/>
  <c r="J143" i="29" s="1"/>
  <c r="CL36" i="29"/>
  <c r="CJ131" i="29" s="1"/>
  <c r="CK65" i="29"/>
  <c r="CI196" i="29" s="1"/>
  <c r="CK37" i="29"/>
  <c r="CI135" i="29" s="1"/>
  <c r="T39" i="29"/>
  <c r="T68" i="29"/>
  <c r="K260" i="29" s="1"/>
  <c r="T65" i="29"/>
  <c r="K196" i="29" s="1"/>
  <c r="CL70" i="29"/>
  <c r="S41" i="29"/>
  <c r="J192" i="29" s="1"/>
  <c r="CL46" i="29"/>
  <c r="CJ285" i="29" s="1"/>
  <c r="T37" i="29"/>
  <c r="T44" i="29"/>
  <c r="T63" i="29"/>
  <c r="K168" i="29" s="1"/>
  <c r="CL68" i="29"/>
  <c r="CL61" i="29"/>
  <c r="CL55" i="29"/>
  <c r="CJ140" i="29" s="1"/>
  <c r="S39" i="29"/>
  <c r="CK63" i="29"/>
  <c r="EO63" i="29" s="1"/>
  <c r="S65" i="29"/>
  <c r="J196" i="29" s="1"/>
  <c r="S57" i="29"/>
  <c r="J144" i="29" s="1"/>
  <c r="CL42" i="29"/>
  <c r="CF224" i="29" s="1"/>
  <c r="CL40" i="29"/>
  <c r="CF161" i="29" s="1"/>
  <c r="CL31" i="29"/>
  <c r="CJ129" i="29" s="1"/>
  <c r="T46" i="29"/>
  <c r="R5" i="43"/>
  <c r="P7" i="43"/>
  <c r="R44" i="39"/>
  <c r="P49" i="39"/>
  <c r="AE15" i="43"/>
  <c r="AC18" i="43"/>
  <c r="AE31" i="39"/>
  <c r="AC41" i="39"/>
  <c r="L142" i="29"/>
  <c r="L143" i="29"/>
  <c r="BG59" i="29"/>
  <c r="BF59" i="29"/>
  <c r="L146" i="29"/>
  <c r="BF61" i="29"/>
  <c r="BG61" i="29"/>
  <c r="BE61" i="29"/>
  <c r="R62" i="43"/>
  <c r="P66" i="43"/>
  <c r="R90" i="40"/>
  <c r="P96" i="40"/>
  <c r="BH38" i="29"/>
  <c r="BF91" i="29"/>
  <c r="BH43" i="29"/>
  <c r="BE35" i="29"/>
  <c r="CK131" i="29"/>
  <c r="EP36" i="29"/>
  <c r="EQ36" i="29"/>
  <c r="CK135" i="29"/>
  <c r="EP37" i="29"/>
  <c r="EQ37" i="29"/>
  <c r="EO37" i="29"/>
  <c r="CK256" i="29"/>
  <c r="EP44" i="29"/>
  <c r="EQ44" i="29"/>
  <c r="EO44" i="29"/>
  <c r="CG162" i="29"/>
  <c r="CK140" i="29"/>
  <c r="EP55" i="29"/>
  <c r="EQ55" i="29"/>
  <c r="EO55" i="29"/>
  <c r="AE66" i="39"/>
  <c r="AC70" i="39"/>
  <c r="BH45" i="29"/>
  <c r="AE84" i="39"/>
  <c r="AC89" i="39"/>
  <c r="BI45" i="29"/>
  <c r="R65" i="32"/>
  <c r="P69" i="32"/>
  <c r="AC30" i="43"/>
  <c r="AE27" i="43"/>
  <c r="R66" i="39"/>
  <c r="P70" i="39"/>
  <c r="R72" i="32"/>
  <c r="P76" i="32"/>
  <c r="AC85" i="43"/>
  <c r="AC86" i="43"/>
  <c r="AE86" i="43" s="1"/>
  <c r="AC87" i="43"/>
  <c r="AE87" i="43" s="1"/>
  <c r="AC88" i="43"/>
  <c r="AE88" i="43" s="1"/>
  <c r="R59" i="39"/>
  <c r="P63" i="39"/>
  <c r="L289" i="29"/>
  <c r="BF70" i="29"/>
  <c r="BE70" i="29"/>
  <c r="BG70" i="29"/>
  <c r="R217" i="27"/>
  <c r="H55" i="29" s="1"/>
  <c r="P234" i="27"/>
  <c r="L141" i="29"/>
  <c r="BF62" i="29"/>
  <c r="BE62" i="29"/>
  <c r="BG62" i="29"/>
  <c r="BG86" i="29" s="1"/>
  <c r="L168" i="29"/>
  <c r="BE63" i="29"/>
  <c r="BF63" i="29"/>
  <c r="BG63" i="29"/>
  <c r="AB64" i="43"/>
  <c r="AB66" i="43" s="1"/>
  <c r="AA67" i="43" s="1"/>
  <c r="BI38" i="29"/>
  <c r="BG91" i="29"/>
  <c r="BI43" i="29"/>
  <c r="BF83" i="29"/>
  <c r="BH35" i="29"/>
  <c r="BJ35" i="29" s="1"/>
  <c r="CC261" i="29"/>
  <c r="O19" i="49"/>
  <c r="CK134" i="29"/>
  <c r="CK130" i="29"/>
  <c r="EP38" i="29"/>
  <c r="EO38" i="29"/>
  <c r="EQ38" i="29"/>
  <c r="EZ38" i="29" s="1"/>
  <c r="AD160" i="27"/>
  <c r="AF143" i="27"/>
  <c r="BZ31" i="29" s="1"/>
  <c r="CG224" i="29"/>
  <c r="EP42" i="29"/>
  <c r="EO42" i="29"/>
  <c r="EQ42" i="29"/>
  <c r="CK136" i="29"/>
  <c r="EO34" i="29"/>
  <c r="EP34" i="29"/>
  <c r="EY34" i="29" s="1"/>
  <c r="EQ34" i="29"/>
  <c r="AE18" i="32"/>
  <c r="AC29" i="32"/>
  <c r="BH34" i="29"/>
  <c r="R79" i="32"/>
  <c r="P87" i="32"/>
  <c r="R69" i="43"/>
  <c r="P74" i="43"/>
  <c r="D257" i="29"/>
  <c r="C19" i="49"/>
  <c r="BJ45" i="29"/>
  <c r="O12" i="49"/>
  <c r="CC141" i="29"/>
  <c r="AE21" i="43"/>
  <c r="AC24" i="43"/>
  <c r="AC74" i="43"/>
  <c r="AE69" i="43"/>
  <c r="L167" i="29"/>
  <c r="BF64" i="29"/>
  <c r="BE64" i="29"/>
  <c r="BG64" i="29"/>
  <c r="L145" i="29"/>
  <c r="BF56" i="29"/>
  <c r="BG56" i="29"/>
  <c r="L147" i="29"/>
  <c r="BE58" i="29"/>
  <c r="BF58" i="29"/>
  <c r="BG58" i="29"/>
  <c r="L261" i="29"/>
  <c r="BG69" i="29"/>
  <c r="BE69" i="29"/>
  <c r="BE93" i="29" s="1"/>
  <c r="BF69" i="29"/>
  <c r="AE76" i="40"/>
  <c r="AC80" i="40"/>
  <c r="BG31" i="29"/>
  <c r="BF31" i="29"/>
  <c r="L129" i="29"/>
  <c r="BE31" i="29"/>
  <c r="D130" i="29"/>
  <c r="BJ38" i="29"/>
  <c r="C12" i="49"/>
  <c r="BE86" i="29"/>
  <c r="EX38" i="29"/>
  <c r="U12" i="49" s="1"/>
  <c r="BE91" i="29"/>
  <c r="D225" i="29"/>
  <c r="BJ43" i="29"/>
  <c r="BG83" i="29"/>
  <c r="ES69" i="29"/>
  <c r="EU69" i="29" s="1"/>
  <c r="CU261" i="29" s="1"/>
  <c r="AE44" i="52"/>
  <c r="CE31" i="29" s="1"/>
  <c r="CL129" i="29" s="1"/>
  <c r="AC54" i="52"/>
  <c r="CJ65" i="29"/>
  <c r="EP65" i="29" s="1"/>
  <c r="CJ41" i="29"/>
  <c r="CN192" i="29" s="1"/>
  <c r="CK133" i="29"/>
  <c r="CK192" i="29"/>
  <c r="CG161" i="29"/>
  <c r="EO40" i="29"/>
  <c r="EP40" i="29"/>
  <c r="EQ40" i="29"/>
  <c r="P24" i="40"/>
  <c r="R21" i="40"/>
  <c r="AE83" i="40"/>
  <c r="AC87" i="40"/>
  <c r="BG82" i="29"/>
  <c r="BI34" i="29"/>
  <c r="EZ34" i="29"/>
  <c r="AE55" i="43"/>
  <c r="AC59" i="43"/>
  <c r="AE72" i="32"/>
  <c r="AC76" i="32"/>
  <c r="AE98" i="32"/>
  <c r="AC101" i="32"/>
  <c r="O8" i="49"/>
  <c r="CC147" i="29"/>
  <c r="ER62" i="29"/>
  <c r="ET62" i="29" s="1"/>
  <c r="CV141" i="29" s="1"/>
  <c r="AE5" i="39"/>
  <c r="AC9" i="39"/>
  <c r="S51" i="25"/>
  <c r="P33" i="29" s="1"/>
  <c r="I133" i="29" s="1"/>
  <c r="Q56" i="25"/>
  <c r="L196" i="29"/>
  <c r="BF65" i="29"/>
  <c r="BG65" i="29"/>
  <c r="BE65" i="29"/>
  <c r="L260" i="29"/>
  <c r="BF68" i="29"/>
  <c r="BG68" i="29"/>
  <c r="BE68" i="29"/>
  <c r="L144" i="29"/>
  <c r="AE59" i="39"/>
  <c r="AC63" i="39"/>
  <c r="AC95" i="43"/>
  <c r="AE95" i="43" s="1"/>
  <c r="AC92" i="43"/>
  <c r="AC96" i="43"/>
  <c r="AE96" i="43" s="1"/>
  <c r="AC93" i="43"/>
  <c r="AE93" i="43" s="1"/>
  <c r="AC94" i="43"/>
  <c r="AE94" i="43" s="1"/>
  <c r="AC97" i="43"/>
  <c r="AE97" i="43" s="1"/>
  <c r="R20" i="47"/>
  <c r="Q41" i="29" s="1"/>
  <c r="P22" i="47"/>
  <c r="CK285" i="29"/>
  <c r="EO46" i="29"/>
  <c r="EQ46" i="29"/>
  <c r="EP46" i="29"/>
  <c r="CK132" i="29"/>
  <c r="EP35" i="29"/>
  <c r="EQ35" i="29"/>
  <c r="CK257" i="29"/>
  <c r="EQ45" i="29"/>
  <c r="EZ45" i="29" s="1"/>
  <c r="EP45" i="29"/>
  <c r="EY45" i="29" s="1"/>
  <c r="EO45" i="29"/>
  <c r="CG225" i="29"/>
  <c r="EP43" i="29"/>
  <c r="EY43" i="29" s="1"/>
  <c r="EQ43" i="29"/>
  <c r="EZ43" i="29" s="1"/>
  <c r="EO43" i="29"/>
  <c r="AE32" i="32"/>
  <c r="AC43" i="32"/>
  <c r="BE82" i="29"/>
  <c r="EX34" i="29"/>
  <c r="U8" i="49" s="1"/>
  <c r="D136" i="29"/>
  <c r="C8" i="49"/>
  <c r="BJ34" i="29"/>
  <c r="P30" i="40"/>
  <c r="R27" i="40"/>
  <c r="AP56" i="29"/>
  <c r="DQ57" i="29"/>
  <c r="DG39" i="29"/>
  <c r="DF56" i="29"/>
  <c r="DG60" i="29"/>
  <c r="DC32" i="29"/>
  <c r="DT39" i="29"/>
  <c r="DH41" i="29"/>
  <c r="AB33" i="29"/>
  <c r="CV32" i="29"/>
  <c r="DS56" i="29"/>
  <c r="AY33" i="29"/>
  <c r="DG35" i="29"/>
  <c r="AM32" i="29"/>
  <c r="DI56" i="29"/>
  <c r="DP60" i="29"/>
  <c r="DH35" i="29"/>
  <c r="AF56" i="29"/>
  <c r="AL36" i="29"/>
  <c r="CX32" i="29"/>
  <c r="DG41" i="29"/>
  <c r="AZ32" i="29"/>
  <c r="DQ33" i="29"/>
  <c r="DH33" i="29"/>
  <c r="AU60" i="29"/>
  <c r="DL56" i="29"/>
  <c r="AX36" i="29"/>
  <c r="AY57" i="29"/>
  <c r="AX60" i="29"/>
  <c r="DK32" i="29"/>
  <c r="CW32" i="29"/>
  <c r="DE32" i="29"/>
  <c r="AE56" i="29"/>
  <c r="DH39" i="29"/>
  <c r="DH36" i="29"/>
  <c r="DL32" i="29"/>
  <c r="EQ41" i="29" l="1"/>
  <c r="BE59" i="29"/>
  <c r="ER55" i="29"/>
  <c r="ET55" i="29" s="1"/>
  <c r="CV140" i="29" s="1"/>
  <c r="K161" i="29"/>
  <c r="BF40" i="29"/>
  <c r="BG40" i="29"/>
  <c r="BE40" i="29"/>
  <c r="J224" i="29"/>
  <c r="BE42" i="29"/>
  <c r="BF42" i="29"/>
  <c r="BG42" i="29"/>
  <c r="S56" i="29"/>
  <c r="CL32" i="29"/>
  <c r="T57" i="29"/>
  <c r="T36" i="29"/>
  <c r="T60" i="29"/>
  <c r="CK33" i="29"/>
  <c r="CL33" i="29"/>
  <c r="T32" i="29"/>
  <c r="S36" i="29"/>
  <c r="CL60" i="29"/>
  <c r="CL56" i="29"/>
  <c r="S32" i="29"/>
  <c r="T33" i="29"/>
  <c r="S33" i="29"/>
  <c r="J133" i="29" s="1"/>
  <c r="CL39" i="29"/>
  <c r="CK60" i="29"/>
  <c r="CK56" i="29"/>
  <c r="CL57" i="29"/>
  <c r="BI86" i="29"/>
  <c r="D254" i="29"/>
  <c r="I19" i="49"/>
  <c r="BI68" i="29"/>
  <c r="BI65" i="29"/>
  <c r="BK34" i="29"/>
  <c r="BY161" i="29"/>
  <c r="L14" i="49"/>
  <c r="D222" i="29"/>
  <c r="U130" i="29"/>
  <c r="BH31" i="29"/>
  <c r="EY69" i="29"/>
  <c r="BH69" i="29"/>
  <c r="BI58" i="29"/>
  <c r="EZ58" i="29"/>
  <c r="BG88" i="29"/>
  <c r="BI64" i="29"/>
  <c r="L12" i="49"/>
  <c r="EO86" i="29"/>
  <c r="CC130" i="29"/>
  <c r="BH63" i="29"/>
  <c r="BJ63" i="29" s="1"/>
  <c r="EX62" i="29"/>
  <c r="X12" i="49" s="1"/>
  <c r="F12" i="49"/>
  <c r="D141" i="29"/>
  <c r="L140" i="29"/>
  <c r="BE55" i="29"/>
  <c r="BF55" i="29"/>
  <c r="BF79" i="29" s="1"/>
  <c r="BG55" i="29"/>
  <c r="AE85" i="43"/>
  <c r="AC89" i="43"/>
  <c r="BF93" i="29"/>
  <c r="O5" i="49"/>
  <c r="CC140" i="29"/>
  <c r="ES44" i="29"/>
  <c r="EU44" i="29" s="1"/>
  <c r="CU256" i="29" s="1"/>
  <c r="ES37" i="29"/>
  <c r="EU37" i="29" s="1"/>
  <c r="CW135" i="29" s="1"/>
  <c r="BH61" i="29"/>
  <c r="EZ59" i="29"/>
  <c r="BI59" i="29"/>
  <c r="K285" i="29"/>
  <c r="BE46" i="29"/>
  <c r="BG46" i="29"/>
  <c r="EZ46" i="29" s="1"/>
  <c r="BF46" i="29"/>
  <c r="K162" i="29"/>
  <c r="BG39" i="29"/>
  <c r="BF39" i="29"/>
  <c r="CI143" i="29"/>
  <c r="EO59" i="29"/>
  <c r="V8" i="49"/>
  <c r="W8" i="49"/>
  <c r="BY225" i="29"/>
  <c r="EO91" i="29"/>
  <c r="BY222" i="29" s="1"/>
  <c r="CC257" i="29"/>
  <c r="L19" i="49"/>
  <c r="EO93" i="29"/>
  <c r="ER46" i="29"/>
  <c r="ET46" i="29" s="1"/>
  <c r="CO285" i="29" s="1"/>
  <c r="BH68" i="29"/>
  <c r="EY65" i="29"/>
  <c r="BH65" i="29"/>
  <c r="Q8" i="49"/>
  <c r="P8" i="49"/>
  <c r="BI82" i="29"/>
  <c r="R225" i="29"/>
  <c r="W12" i="49"/>
  <c r="BI31" i="29"/>
  <c r="BG79" i="29"/>
  <c r="EX69" i="29"/>
  <c r="X19" i="49" s="1"/>
  <c r="F19" i="49"/>
  <c r="D261" i="29"/>
  <c r="EY58" i="29"/>
  <c r="BH58" i="29"/>
  <c r="FA58" i="29" s="1"/>
  <c r="BE88" i="29"/>
  <c r="F14" i="49"/>
  <c r="D167" i="29"/>
  <c r="EX45" i="29"/>
  <c r="U19" i="49" s="1"/>
  <c r="EQ82" i="29"/>
  <c r="EZ82" i="29" s="1"/>
  <c r="ES34" i="29"/>
  <c r="EU34" i="29" s="1"/>
  <c r="CW136" i="29" s="1"/>
  <c r="EQ90" i="29"/>
  <c r="ES42" i="29"/>
  <c r="EU42" i="29" s="1"/>
  <c r="CO224" i="29" s="1"/>
  <c r="CK129" i="29"/>
  <c r="EQ31" i="29"/>
  <c r="EP31" i="29"/>
  <c r="EY31" i="29" s="1"/>
  <c r="EO31" i="29"/>
  <c r="EP86" i="29"/>
  <c r="ER86" i="29" s="1"/>
  <c r="ET86" i="29" s="1"/>
  <c r="BZ106" i="29" s="1"/>
  <c r="ER38" i="29"/>
  <c r="ET38" i="29" s="1"/>
  <c r="CV130" i="29" s="1"/>
  <c r="U132" i="29"/>
  <c r="BK43" i="29"/>
  <c r="D168" i="29"/>
  <c r="F13" i="49"/>
  <c r="EX63" i="29"/>
  <c r="X13" i="49" s="1"/>
  <c r="BH62" i="29"/>
  <c r="EY62" i="29"/>
  <c r="BG94" i="29"/>
  <c r="BI70" i="29"/>
  <c r="ES55" i="29"/>
  <c r="EU55" i="29" s="1"/>
  <c r="CW140" i="29" s="1"/>
  <c r="ER37" i="29"/>
  <c r="ET37" i="29" s="1"/>
  <c r="CV135" i="29" s="1"/>
  <c r="BF86" i="29"/>
  <c r="K135" i="29"/>
  <c r="BG37" i="29"/>
  <c r="BF37" i="29"/>
  <c r="CF168" i="29"/>
  <c r="EP63" i="29"/>
  <c r="ER63" i="29" s="1"/>
  <c r="ET63" i="29" s="1"/>
  <c r="CO168" i="29" s="1"/>
  <c r="EQ63" i="29"/>
  <c r="ES63" i="29" s="1"/>
  <c r="EU63" i="29" s="1"/>
  <c r="CQ168" i="29" s="1"/>
  <c r="U136" i="29"/>
  <c r="I8" i="49"/>
  <c r="D112" i="29"/>
  <c r="ES43" i="29"/>
  <c r="EU43" i="29" s="1"/>
  <c r="CO225" i="29" s="1"/>
  <c r="EQ91" i="29"/>
  <c r="ER45" i="29"/>
  <c r="ET45" i="29" s="1"/>
  <c r="CT257" i="29" s="1"/>
  <c r="EP93" i="29"/>
  <c r="ER93" i="29" s="1"/>
  <c r="ET93" i="29" s="1"/>
  <c r="BZ254" i="29" s="1"/>
  <c r="EQ83" i="29"/>
  <c r="ES46" i="29"/>
  <c r="EU46" i="29" s="1"/>
  <c r="CQ285" i="29" s="1"/>
  <c r="O192" i="29"/>
  <c r="BG41" i="29"/>
  <c r="BE41" i="29"/>
  <c r="BF41" i="29"/>
  <c r="ES40" i="29"/>
  <c r="EU40" i="29" s="1"/>
  <c r="CQ161" i="29" s="1"/>
  <c r="I12" i="49"/>
  <c r="D106" i="29"/>
  <c r="EX86" i="29"/>
  <c r="D129" i="29"/>
  <c r="EX31" i="29"/>
  <c r="U5" i="49" s="1"/>
  <c r="C5" i="49"/>
  <c r="BE79" i="29"/>
  <c r="BJ31" i="29"/>
  <c r="BI69" i="29"/>
  <c r="EZ69" i="29"/>
  <c r="EX58" i="29"/>
  <c r="X8" i="49" s="1"/>
  <c r="D147" i="29"/>
  <c r="F8" i="49"/>
  <c r="BF88" i="29"/>
  <c r="BH64" i="29"/>
  <c r="BJ64" i="29" s="1"/>
  <c r="EQ65" i="29"/>
  <c r="P12" i="49"/>
  <c r="Q12" i="49"/>
  <c r="U257" i="29"/>
  <c r="EZ40" i="29"/>
  <c r="BF82" i="29"/>
  <c r="ER34" i="29"/>
  <c r="ET34" i="29" s="1"/>
  <c r="CV136" i="29" s="1"/>
  <c r="EP82" i="29"/>
  <c r="L16" i="49"/>
  <c r="EO90" i="29"/>
  <c r="BY224" i="29"/>
  <c r="EZ91" i="29"/>
  <c r="BI91" i="29"/>
  <c r="AC64" i="43"/>
  <c r="AE64" i="43" s="1"/>
  <c r="AC62" i="43"/>
  <c r="AC63" i="43"/>
  <c r="AE63" i="43" s="1"/>
  <c r="AC65" i="43"/>
  <c r="AE65" i="43" s="1"/>
  <c r="F20" i="49"/>
  <c r="D289" i="29"/>
  <c r="BK45" i="29"/>
  <c r="BH91" i="29"/>
  <c r="D146" i="29"/>
  <c r="F11" i="49"/>
  <c r="BJ61" i="29"/>
  <c r="EY59" i="29"/>
  <c r="BH59" i="29"/>
  <c r="BJ59" i="29" s="1"/>
  <c r="EO65" i="29"/>
  <c r="BE33" i="29"/>
  <c r="BY168" i="29"/>
  <c r="O13" i="49"/>
  <c r="CJ146" i="29"/>
  <c r="EO61" i="29"/>
  <c r="EQ61" i="29"/>
  <c r="EQ85" i="29" s="1"/>
  <c r="EP61" i="29"/>
  <c r="CJ289" i="29"/>
  <c r="EO70" i="29"/>
  <c r="EX70" i="29" s="1"/>
  <c r="X20" i="49" s="1"/>
  <c r="EQ70" i="29"/>
  <c r="EP70" i="29"/>
  <c r="CF167" i="29"/>
  <c r="EP64" i="29"/>
  <c r="ER64" i="29" s="1"/>
  <c r="ET64" i="29" s="1"/>
  <c r="CO167" i="29" s="1"/>
  <c r="EO64" i="29"/>
  <c r="EX64" i="29" s="1"/>
  <c r="X14" i="49" s="1"/>
  <c r="EQ64" i="29"/>
  <c r="ES64" i="29" s="1"/>
  <c r="EU64" i="29" s="1"/>
  <c r="CQ167" i="29" s="1"/>
  <c r="CI144" i="29"/>
  <c r="EO57" i="29"/>
  <c r="D8" i="49"/>
  <c r="E8" i="49"/>
  <c r="EP91" i="29"/>
  <c r="ER91" i="29" s="1"/>
  <c r="ET91" i="29" s="1"/>
  <c r="BZ222" i="29" s="1"/>
  <c r="ER43" i="29"/>
  <c r="ET43" i="29" s="1"/>
  <c r="CN225" i="29" s="1"/>
  <c r="EQ93" i="29"/>
  <c r="ES93" i="29" s="1"/>
  <c r="EU93" i="29" s="1"/>
  <c r="CA254" i="29" s="1"/>
  <c r="ES45" i="29"/>
  <c r="EU45" i="29" s="1"/>
  <c r="CU257" i="29" s="1"/>
  <c r="EP83" i="29"/>
  <c r="EY83" i="29" s="1"/>
  <c r="L20" i="49"/>
  <c r="CC285" i="29"/>
  <c r="AC98" i="43"/>
  <c r="AE92" i="43"/>
  <c r="F18" i="49"/>
  <c r="D260" i="29"/>
  <c r="BJ68" i="29"/>
  <c r="D196" i="29"/>
  <c r="EX65" i="29"/>
  <c r="X15" i="49" s="1"/>
  <c r="F15" i="49"/>
  <c r="BJ65" i="29"/>
  <c r="ER40" i="29"/>
  <c r="ET40" i="29" s="1"/>
  <c r="CO161" i="29" s="1"/>
  <c r="EP41" i="29"/>
  <c r="EZ35" i="29"/>
  <c r="EX43" i="29"/>
  <c r="E12" i="49"/>
  <c r="D12" i="49"/>
  <c r="D19" i="49"/>
  <c r="E19" i="49"/>
  <c r="CC136" i="29"/>
  <c r="L8" i="49"/>
  <c r="EO82" i="29"/>
  <c r="ER42" i="29"/>
  <c r="ET42" i="29" s="1"/>
  <c r="CN224" i="29" s="1"/>
  <c r="EP90" i="29"/>
  <c r="ER90" i="29" s="1"/>
  <c r="ET90" i="29" s="1"/>
  <c r="BZ221" i="29" s="1"/>
  <c r="ES38" i="29"/>
  <c r="EU38" i="29" s="1"/>
  <c r="CW130" i="29" s="1"/>
  <c r="EQ86" i="29"/>
  <c r="ES86" i="29" s="1"/>
  <c r="EU86" i="29" s="1"/>
  <c r="CA106" i="29" s="1"/>
  <c r="Q19" i="49"/>
  <c r="P19" i="49"/>
  <c r="EY35" i="29"/>
  <c r="BK38" i="29"/>
  <c r="BG87" i="29"/>
  <c r="BI63" i="29"/>
  <c r="EZ63" i="29"/>
  <c r="BI62" i="29"/>
  <c r="EZ62" i="29"/>
  <c r="BH70" i="29"/>
  <c r="EY70" i="29"/>
  <c r="EX42" i="29"/>
  <c r="U16" i="49" s="1"/>
  <c r="BG93" i="29"/>
  <c r="FA45" i="29"/>
  <c r="ER44" i="29"/>
  <c r="ET44" i="29" s="1"/>
  <c r="CT256" i="29" s="1"/>
  <c r="L18" i="49"/>
  <c r="CC256" i="29"/>
  <c r="L11" i="49"/>
  <c r="CC135" i="29"/>
  <c r="BI35" i="29"/>
  <c r="D132" i="29"/>
  <c r="C9" i="49"/>
  <c r="BE83" i="29"/>
  <c r="BI83" i="29" s="1"/>
  <c r="EY38" i="29"/>
  <c r="V12" i="49" s="1"/>
  <c r="BI61" i="29"/>
  <c r="EZ61" i="29"/>
  <c r="D143" i="29"/>
  <c r="EX59" i="29"/>
  <c r="X9" i="49" s="1"/>
  <c r="F9" i="49"/>
  <c r="EY42" i="29"/>
  <c r="J162" i="29"/>
  <c r="BE39" i="29"/>
  <c r="CJ260" i="29"/>
  <c r="EQ68" i="29"/>
  <c r="EQ92" i="29" s="1"/>
  <c r="EP68" i="29"/>
  <c r="EY68" i="29" s="1"/>
  <c r="EO68" i="29"/>
  <c r="EX68" i="29" s="1"/>
  <c r="X18" i="49" s="1"/>
  <c r="K256" i="29"/>
  <c r="BF44" i="29"/>
  <c r="BG44" i="29"/>
  <c r="BG92" i="29" s="1"/>
  <c r="BE44" i="29"/>
  <c r="J135" i="29"/>
  <c r="BE37" i="29"/>
  <c r="DD39" i="29"/>
  <c r="DH32" i="29"/>
  <c r="DG36" i="29"/>
  <c r="DD41" i="29"/>
  <c r="DD35" i="29"/>
  <c r="BJ58" i="29" l="1"/>
  <c r="ES91" i="29"/>
  <c r="EU91" i="29" s="1"/>
  <c r="CA222" i="29" s="1"/>
  <c r="ER70" i="29"/>
  <c r="ET70" i="29" s="1"/>
  <c r="CO289" i="29" s="1"/>
  <c r="ER61" i="29"/>
  <c r="ET61" i="29" s="1"/>
  <c r="CV146" i="29" s="1"/>
  <c r="BG90" i="29"/>
  <c r="EZ42" i="29"/>
  <c r="BI42" i="29"/>
  <c r="EX40" i="29"/>
  <c r="U14" i="49" s="1"/>
  <c r="W14" i="49" s="1"/>
  <c r="C14" i="49"/>
  <c r="D161" i="29"/>
  <c r="BF90" i="29"/>
  <c r="BH42" i="29"/>
  <c r="BJ42" i="29" s="1"/>
  <c r="BI40" i="29"/>
  <c r="BE90" i="29"/>
  <c r="D224" i="29"/>
  <c r="C16" i="49"/>
  <c r="EY40" i="29"/>
  <c r="BH40" i="29"/>
  <c r="BJ40" i="29" s="1"/>
  <c r="CK35" i="29"/>
  <c r="CK41" i="29"/>
  <c r="CK32" i="29"/>
  <c r="CK39" i="29"/>
  <c r="EO39" i="29" s="1"/>
  <c r="EZ92" i="29"/>
  <c r="BK83" i="29"/>
  <c r="U143" i="29"/>
  <c r="FC64" i="29"/>
  <c r="Q167" i="29"/>
  <c r="BH79" i="29"/>
  <c r="Y18" i="49"/>
  <c r="EY44" i="29"/>
  <c r="BF92" i="29"/>
  <c r="BH44" i="29"/>
  <c r="FA44" i="29" s="1"/>
  <c r="BK35" i="29"/>
  <c r="Y15" i="49"/>
  <c r="G18" i="49"/>
  <c r="H18" i="49"/>
  <c r="CC144" i="29"/>
  <c r="O7" i="49"/>
  <c r="EO94" i="29"/>
  <c r="O20" i="49"/>
  <c r="CC289" i="29"/>
  <c r="EO85" i="29"/>
  <c r="O11" i="49"/>
  <c r="CC146" i="29"/>
  <c r="C7" i="49"/>
  <c r="D133" i="29"/>
  <c r="FC61" i="29"/>
  <c r="U146" i="29"/>
  <c r="FA91" i="29"/>
  <c r="H20" i="49"/>
  <c r="G20" i="49"/>
  <c r="ER82" i="29"/>
  <c r="ET82" i="29" s="1"/>
  <c r="BZ112" i="29" s="1"/>
  <c r="EQ89" i="29"/>
  <c r="ES65" i="29"/>
  <c r="EU65" i="29" s="1"/>
  <c r="CW196" i="29" s="1"/>
  <c r="U129" i="29"/>
  <c r="J12" i="49"/>
  <c r="K12" i="49"/>
  <c r="FA40" i="29"/>
  <c r="BG89" i="29"/>
  <c r="EZ41" i="29"/>
  <c r="BI41" i="29"/>
  <c r="BK70" i="29"/>
  <c r="Q168" i="29"/>
  <c r="FC63" i="29"/>
  <c r="FD43" i="29"/>
  <c r="S225" i="29"/>
  <c r="EQ79" i="29"/>
  <c r="ES31" i="29"/>
  <c r="EU31" i="29" s="1"/>
  <c r="CW129" i="29" s="1"/>
  <c r="G14" i="49"/>
  <c r="H14" i="49"/>
  <c r="BI79" i="29"/>
  <c r="FC43" i="29"/>
  <c r="R19" i="49"/>
  <c r="BY254" i="29"/>
  <c r="EY46" i="29"/>
  <c r="BH46" i="29"/>
  <c r="BF94" i="29"/>
  <c r="FA42" i="29"/>
  <c r="EY61" i="29"/>
  <c r="D140" i="29"/>
  <c r="F5" i="49"/>
  <c r="EX55" i="29"/>
  <c r="X5" i="49" s="1"/>
  <c r="Z12" i="49"/>
  <c r="Y12" i="49"/>
  <c r="R12" i="49"/>
  <c r="BY106" i="29"/>
  <c r="BK64" i="29"/>
  <c r="FB64" i="29"/>
  <c r="BK65" i="29"/>
  <c r="FB65" i="29"/>
  <c r="EZ86" i="29"/>
  <c r="CF162" i="29"/>
  <c r="EP39" i="29"/>
  <c r="EQ39" i="29"/>
  <c r="J134" i="29"/>
  <c r="BE32" i="29"/>
  <c r="K134" i="29"/>
  <c r="BG32" i="29"/>
  <c r="BF32" i="29"/>
  <c r="K131" i="29"/>
  <c r="BF36" i="29"/>
  <c r="BG36" i="29"/>
  <c r="C11" i="49"/>
  <c r="BE85" i="29"/>
  <c r="EX37" i="29"/>
  <c r="U11" i="49" s="1"/>
  <c r="D135" i="29"/>
  <c r="ES68" i="29"/>
  <c r="EU68" i="29" s="1"/>
  <c r="CU260" i="29" s="1"/>
  <c r="EO92" i="29"/>
  <c r="EZ93" i="29"/>
  <c r="BI93" i="29"/>
  <c r="I9" i="49"/>
  <c r="D108" i="29"/>
  <c r="N18" i="49"/>
  <c r="M18" i="49"/>
  <c r="V16" i="49"/>
  <c r="W16" i="49"/>
  <c r="FB62" i="29"/>
  <c r="BK62" i="29"/>
  <c r="FB38" i="29"/>
  <c r="EP88" i="29"/>
  <c r="M20" i="49"/>
  <c r="N20" i="49"/>
  <c r="O15" i="49"/>
  <c r="CC196" i="29"/>
  <c r="EX61" i="29"/>
  <c r="X11" i="49" s="1"/>
  <c r="EY91" i="29"/>
  <c r="BK91" i="29"/>
  <c r="FB91" i="29"/>
  <c r="FC45" i="29"/>
  <c r="EY64" i="29"/>
  <c r="Y14" i="49" s="1"/>
  <c r="Z8" i="49"/>
  <c r="Y8" i="49"/>
  <c r="I5" i="49"/>
  <c r="D105" i="29"/>
  <c r="BJ79" i="29"/>
  <c r="FC40" i="29"/>
  <c r="Q161" i="29"/>
  <c r="FC34" i="29"/>
  <c r="BF85" i="29"/>
  <c r="EY37" i="29"/>
  <c r="BH37" i="29"/>
  <c r="EY90" i="29"/>
  <c r="EP85" i="29"/>
  <c r="Z13" i="49"/>
  <c r="FB43" i="29"/>
  <c r="ES82" i="29"/>
  <c r="EU82" i="29" s="1"/>
  <c r="CA112" i="29" s="1"/>
  <c r="I14" i="49"/>
  <c r="D156" i="29"/>
  <c r="G19" i="49"/>
  <c r="H19" i="49"/>
  <c r="BK31" i="29"/>
  <c r="FB31" i="29"/>
  <c r="N19" i="49"/>
  <c r="M19" i="49"/>
  <c r="EY39" i="29"/>
  <c r="BF87" i="29"/>
  <c r="BH39" i="29"/>
  <c r="BK59" i="29"/>
  <c r="FA38" i="29"/>
  <c r="EY63" i="29"/>
  <c r="Y13" i="49" s="1"/>
  <c r="M12" i="49"/>
  <c r="N12" i="49"/>
  <c r="BI88" i="29"/>
  <c r="BK58" i="29"/>
  <c r="FB58" i="29"/>
  <c r="BJ91" i="29"/>
  <c r="EZ83" i="29"/>
  <c r="EO88" i="29"/>
  <c r="EZ65" i="29"/>
  <c r="Z15" i="49" s="1"/>
  <c r="EX93" i="29"/>
  <c r="CJ144" i="29"/>
  <c r="EQ57" i="29"/>
  <c r="ES57" i="29" s="1"/>
  <c r="EU57" i="29" s="1"/>
  <c r="CW144" i="29" s="1"/>
  <c r="EP57" i="29"/>
  <c r="ER57" i="29" s="1"/>
  <c r="ET57" i="29" s="1"/>
  <c r="CV144" i="29" s="1"/>
  <c r="CJ145" i="29"/>
  <c r="EQ56" i="29"/>
  <c r="EP56" i="29"/>
  <c r="CJ133" i="29"/>
  <c r="EP33" i="29"/>
  <c r="EQ33" i="29"/>
  <c r="K144" i="29"/>
  <c r="BG57" i="29"/>
  <c r="BF57" i="29"/>
  <c r="BE57" i="29"/>
  <c r="O18" i="49"/>
  <c r="CC260" i="29"/>
  <c r="G9" i="49"/>
  <c r="H9" i="49"/>
  <c r="BK61" i="29"/>
  <c r="M11" i="49"/>
  <c r="N11" i="49"/>
  <c r="BY112" i="29"/>
  <c r="R8" i="49"/>
  <c r="U196" i="29"/>
  <c r="U260" i="29"/>
  <c r="Q13" i="49"/>
  <c r="P13" i="49"/>
  <c r="G11" i="49"/>
  <c r="H11" i="49"/>
  <c r="FB45" i="29"/>
  <c r="Y20" i="49"/>
  <c r="R16" i="49"/>
  <c r="BY221" i="29"/>
  <c r="EY82" i="29"/>
  <c r="BH82" i="29"/>
  <c r="FA64" i="29"/>
  <c r="FC58" i="29"/>
  <c r="U147" i="29"/>
  <c r="D5" i="49"/>
  <c r="E5" i="49"/>
  <c r="EY106" i="29"/>
  <c r="AA12" i="49"/>
  <c r="EY41" i="29"/>
  <c r="BH41" i="29"/>
  <c r="BJ41" i="29" s="1"/>
  <c r="BF89" i="29"/>
  <c r="K8" i="49"/>
  <c r="J8" i="49"/>
  <c r="EZ37" i="29"/>
  <c r="BG85" i="29"/>
  <c r="BI37" i="29"/>
  <c r="BH86" i="29"/>
  <c r="EY86" i="29"/>
  <c r="EX90" i="29"/>
  <c r="G13" i="49"/>
  <c r="H13" i="49"/>
  <c r="L5" i="49"/>
  <c r="EO79" i="29"/>
  <c r="CC129" i="29"/>
  <c r="W19" i="49"/>
  <c r="V19" i="49"/>
  <c r="Z19" i="49"/>
  <c r="Y19" i="49"/>
  <c r="FB82" i="29"/>
  <c r="BK82" i="29"/>
  <c r="EP94" i="29"/>
  <c r="ER94" i="29" s="1"/>
  <c r="ET94" i="29" s="1"/>
  <c r="BZ283" i="29" s="1"/>
  <c r="EZ39" i="29"/>
  <c r="BI46" i="29"/>
  <c r="BE94" i="29"/>
  <c r="BI94" i="29" s="1"/>
  <c r="EX46" i="29"/>
  <c r="U20" i="49" s="1"/>
  <c r="D285" i="29"/>
  <c r="C20" i="49"/>
  <c r="FA43" i="29"/>
  <c r="P5" i="49"/>
  <c r="Q5" i="49"/>
  <c r="BI55" i="29"/>
  <c r="EZ55" i="29"/>
  <c r="Z5" i="49" s="1"/>
  <c r="FA63" i="29"/>
  <c r="FA34" i="29"/>
  <c r="BJ69" i="29"/>
  <c r="FA69" i="29"/>
  <c r="FB34" i="29"/>
  <c r="BK68" i="29"/>
  <c r="FB68" i="29"/>
  <c r="ER65" i="29"/>
  <c r="ET65" i="29" s="1"/>
  <c r="CV196" i="29" s="1"/>
  <c r="CI145" i="29"/>
  <c r="EO56" i="29"/>
  <c r="CJ142" i="29"/>
  <c r="EP60" i="29"/>
  <c r="EQ60" i="29"/>
  <c r="CI133" i="29"/>
  <c r="EO33" i="29"/>
  <c r="CJ134" i="29"/>
  <c r="EP32" i="29"/>
  <c r="EQ32" i="29"/>
  <c r="D256" i="29"/>
  <c r="EX44" i="29"/>
  <c r="U18" i="49" s="1"/>
  <c r="C18" i="49"/>
  <c r="BJ44" i="29"/>
  <c r="BE92" i="29"/>
  <c r="BI39" i="29"/>
  <c r="D162" i="29"/>
  <c r="BE87" i="29"/>
  <c r="BJ39" i="29"/>
  <c r="C13" i="49"/>
  <c r="EX39" i="29"/>
  <c r="U13" i="49" s="1"/>
  <c r="E9" i="49"/>
  <c r="D9" i="49"/>
  <c r="FD38" i="29"/>
  <c r="V130" i="29"/>
  <c r="EZ44" i="29"/>
  <c r="BI44" i="29"/>
  <c r="ER68" i="29"/>
  <c r="ET68" i="29" s="1"/>
  <c r="CT260" i="29" s="1"/>
  <c r="Z9" i="49"/>
  <c r="Y9" i="49"/>
  <c r="BJ70" i="29"/>
  <c r="FA70" i="29"/>
  <c r="BK63" i="29"/>
  <c r="FB63" i="29"/>
  <c r="M8" i="49"/>
  <c r="N8" i="49"/>
  <c r="EP89" i="29"/>
  <c r="H15" i="49"/>
  <c r="G15" i="49"/>
  <c r="BY167" i="29"/>
  <c r="O14" i="49"/>
  <c r="EQ94" i="29"/>
  <c r="ES94" i="29" s="1"/>
  <c r="EU94" i="29" s="1"/>
  <c r="CA283" i="29" s="1"/>
  <c r="ES70" i="29"/>
  <c r="EU70" i="29" s="1"/>
  <c r="CQ289" i="29" s="1"/>
  <c r="ES61" i="29"/>
  <c r="EU61" i="29" s="1"/>
  <c r="CW146" i="29" s="1"/>
  <c r="FD45" i="29"/>
  <c r="V257" i="29"/>
  <c r="AE62" i="43"/>
  <c r="AC66" i="43"/>
  <c r="BH83" i="29"/>
  <c r="BJ83" i="29" s="1"/>
  <c r="M16" i="49"/>
  <c r="N16" i="49"/>
  <c r="EY88" i="29"/>
  <c r="BH88" i="29"/>
  <c r="H8" i="49"/>
  <c r="G8" i="49"/>
  <c r="BK69" i="29"/>
  <c r="FB69" i="29"/>
  <c r="V5" i="49"/>
  <c r="EQ88" i="29"/>
  <c r="ES88" i="29" s="1"/>
  <c r="EU88" i="29" s="1"/>
  <c r="CA156" i="29" s="1"/>
  <c r="C15" i="49"/>
  <c r="BE89" i="29"/>
  <c r="D192" i="29"/>
  <c r="EX82" i="29"/>
  <c r="EP92" i="29"/>
  <c r="ER92" i="29" s="1"/>
  <c r="ET92" i="29" s="1"/>
  <c r="BZ253" i="29" s="1"/>
  <c r="EZ70" i="29"/>
  <c r="Z20" i="49" s="1"/>
  <c r="BJ62" i="29"/>
  <c r="FA62" i="29"/>
  <c r="EP79" i="29"/>
  <c r="ER79" i="29" s="1"/>
  <c r="ET79" i="29" s="1"/>
  <c r="BZ105" i="29" s="1"/>
  <c r="ER31" i="29"/>
  <c r="ET31" i="29" s="1"/>
  <c r="CV129" i="29" s="1"/>
  <c r="ES90" i="29"/>
  <c r="EU90" i="29" s="1"/>
  <c r="CA221" i="29" s="1"/>
  <c r="EZ90" i="29"/>
  <c r="EZ31" i="29"/>
  <c r="W5" i="49" s="1"/>
  <c r="CC143" i="29"/>
  <c r="O9" i="49"/>
  <c r="ES59" i="29"/>
  <c r="EU59" i="29" s="1"/>
  <c r="CW143" i="29" s="1"/>
  <c r="ER59" i="29"/>
  <c r="ET59" i="29" s="1"/>
  <c r="CV143" i="29" s="1"/>
  <c r="FA61" i="29"/>
  <c r="BH93" i="29"/>
  <c r="EY93" i="29"/>
  <c r="BH55" i="29"/>
  <c r="FA55" i="29" s="1"/>
  <c r="EY55" i="29"/>
  <c r="G12" i="49"/>
  <c r="H12" i="49"/>
  <c r="EZ64" i="29"/>
  <c r="Z14" i="49" s="1"/>
  <c r="FC38" i="29"/>
  <c r="EX91" i="29"/>
  <c r="EX222" i="29" s="1"/>
  <c r="N14" i="49"/>
  <c r="M14" i="49"/>
  <c r="V136" i="29"/>
  <c r="FD34" i="29"/>
  <c r="EZ68" i="29"/>
  <c r="Z18" i="49" s="1"/>
  <c r="J19" i="49"/>
  <c r="K19" i="49"/>
  <c r="FB86" i="29"/>
  <c r="BK86" i="29"/>
  <c r="CI142" i="29"/>
  <c r="EO60" i="29"/>
  <c r="K133" i="29"/>
  <c r="BF33" i="29"/>
  <c r="BG33" i="29"/>
  <c r="J131" i="29"/>
  <c r="BE36" i="29"/>
  <c r="K142" i="29"/>
  <c r="BG60" i="29"/>
  <c r="BF60" i="29"/>
  <c r="BE60" i="29"/>
  <c r="J145" i="29"/>
  <c r="BE56" i="29"/>
  <c r="DD36" i="29"/>
  <c r="R224" i="29" l="1"/>
  <c r="FC42" i="29"/>
  <c r="BH85" i="29"/>
  <c r="D221" i="29"/>
  <c r="I16" i="49"/>
  <c r="BH90" i="29"/>
  <c r="BK42" i="29"/>
  <c r="FB42" i="29"/>
  <c r="V14" i="49"/>
  <c r="E16" i="49"/>
  <c r="D16" i="49"/>
  <c r="FB40" i="29"/>
  <c r="BK40" i="29"/>
  <c r="D14" i="49"/>
  <c r="E14" i="49"/>
  <c r="BI90" i="29"/>
  <c r="BK90" i="29" s="1"/>
  <c r="CK36" i="29"/>
  <c r="FB94" i="29"/>
  <c r="BK94" i="29"/>
  <c r="BH33" i="29"/>
  <c r="EY33" i="29"/>
  <c r="BF81" i="29"/>
  <c r="FD86" i="29"/>
  <c r="FA106" i="29" s="1"/>
  <c r="F106" i="29"/>
  <c r="EY112" i="29"/>
  <c r="AA8" i="49"/>
  <c r="E15" i="49"/>
  <c r="D15" i="49"/>
  <c r="E108" i="29"/>
  <c r="P14" i="49"/>
  <c r="Q14" i="49"/>
  <c r="T289" i="29"/>
  <c r="FC70" i="29"/>
  <c r="BK44" i="29"/>
  <c r="FB44" i="29"/>
  <c r="Q162" i="29"/>
  <c r="BI92" i="29"/>
  <c r="EX92" i="29"/>
  <c r="D253" i="29"/>
  <c r="I18" i="49"/>
  <c r="L7" i="49"/>
  <c r="EO81" i="29"/>
  <c r="CC133" i="29"/>
  <c r="U261" i="29"/>
  <c r="FC69" i="29"/>
  <c r="BK55" i="29"/>
  <c r="FB55" i="29"/>
  <c r="D20" i="49"/>
  <c r="E20" i="49"/>
  <c r="BK46" i="29"/>
  <c r="FB46" i="29"/>
  <c r="FD82" i="29"/>
  <c r="FA112" i="29" s="1"/>
  <c r="F112" i="29"/>
  <c r="N5" i="49"/>
  <c r="M5" i="49"/>
  <c r="U192" i="29"/>
  <c r="S16" i="49"/>
  <c r="T16" i="49"/>
  <c r="FB61" i="29"/>
  <c r="P18" i="49"/>
  <c r="Q18" i="49"/>
  <c r="ER56" i="29"/>
  <c r="ET56" i="29" s="1"/>
  <c r="CV145" i="29" s="1"/>
  <c r="EY56" i="29"/>
  <c r="R14" i="49"/>
  <c r="BY156" i="29"/>
  <c r="V147" i="29"/>
  <c r="FD58" i="29"/>
  <c r="V143" i="29"/>
  <c r="FD59" i="29"/>
  <c r="K14" i="49"/>
  <c r="J14" i="49"/>
  <c r="BJ37" i="29"/>
  <c r="FA37" i="29"/>
  <c r="V11" i="49"/>
  <c r="W11" i="49"/>
  <c r="EY36" i="29"/>
  <c r="BH36" i="29"/>
  <c r="BJ36" i="29" s="1"/>
  <c r="BF84" i="29"/>
  <c r="EP87" i="29"/>
  <c r="ER39" i="29"/>
  <c r="FA39" i="29" s="1"/>
  <c r="V196" i="29"/>
  <c r="FD65" i="29"/>
  <c r="BJ55" i="29"/>
  <c r="ES79" i="29"/>
  <c r="EU79" i="29" s="1"/>
  <c r="CA105" i="29" s="1"/>
  <c r="EX33" i="29"/>
  <c r="U7" i="49" s="1"/>
  <c r="Q11" i="49"/>
  <c r="P11" i="49"/>
  <c r="P20" i="49"/>
  <c r="Q20" i="49"/>
  <c r="EY79" i="29"/>
  <c r="BY162" i="29"/>
  <c r="L13" i="49"/>
  <c r="EO87" i="29"/>
  <c r="ET39" i="29"/>
  <c r="CO162" i="29" s="1"/>
  <c r="EX60" i="29"/>
  <c r="X10" i="49" s="1"/>
  <c r="F10" i="49"/>
  <c r="D142" i="29"/>
  <c r="BE84" i="29"/>
  <c r="C10" i="49"/>
  <c r="D131" i="29"/>
  <c r="BJ93" i="29"/>
  <c r="FA93" i="29"/>
  <c r="Q9" i="49"/>
  <c r="P9" i="49"/>
  <c r="U141" i="29"/>
  <c r="FC62" i="29"/>
  <c r="V261" i="29"/>
  <c r="FD69" i="29"/>
  <c r="BI87" i="29"/>
  <c r="D157" i="29"/>
  <c r="I13" i="49"/>
  <c r="FC44" i="29"/>
  <c r="U256" i="29"/>
  <c r="EQ80" i="29"/>
  <c r="CC145" i="29"/>
  <c r="O6" i="49"/>
  <c r="FD68" i="29"/>
  <c r="V260" i="29"/>
  <c r="FA86" i="29"/>
  <c r="BJ86" i="29"/>
  <c r="BJ82" i="29"/>
  <c r="FA82" i="29"/>
  <c r="EX57" i="29"/>
  <c r="X7" i="49" s="1"/>
  <c r="F7" i="49"/>
  <c r="D144" i="29"/>
  <c r="ES33" i="29"/>
  <c r="EU33" i="29" s="1"/>
  <c r="CW133" i="29" s="1"/>
  <c r="EQ81" i="29"/>
  <c r="ES81" i="29" s="1"/>
  <c r="EU81" i="29" s="1"/>
  <c r="CA109" i="29" s="1"/>
  <c r="ES56" i="29"/>
  <c r="EU56" i="29" s="1"/>
  <c r="CW145" i="29" s="1"/>
  <c r="EZ56" i="29"/>
  <c r="EZ88" i="29"/>
  <c r="BJ88" i="29"/>
  <c r="J5" i="49"/>
  <c r="K5" i="49"/>
  <c r="Y11" i="49"/>
  <c r="Z11" i="49"/>
  <c r="BY253" i="29"/>
  <c r="R18" i="49"/>
  <c r="EX85" i="29"/>
  <c r="I11" i="49"/>
  <c r="D111" i="29"/>
  <c r="BJ85" i="29"/>
  <c r="D134" i="29"/>
  <c r="BE80" i="29"/>
  <c r="C6" i="49"/>
  <c r="FA31" i="29"/>
  <c r="T12" i="49"/>
  <c r="S12" i="49"/>
  <c r="Y5" i="49"/>
  <c r="EZ79" i="29"/>
  <c r="F221" i="29"/>
  <c r="FD90" i="29"/>
  <c r="EZ221" i="29" s="1"/>
  <c r="FB70" i="29"/>
  <c r="EZ89" i="29"/>
  <c r="BI89" i="29"/>
  <c r="E7" i="49"/>
  <c r="D7" i="49"/>
  <c r="R11" i="49"/>
  <c r="BY111" i="29"/>
  <c r="BY283" i="29"/>
  <c r="R20" i="49"/>
  <c r="V132" i="29"/>
  <c r="CI134" i="29"/>
  <c r="EO32" i="29"/>
  <c r="ES32" i="29" s="1"/>
  <c r="EU32" i="29" s="1"/>
  <c r="CW134" i="29" s="1"/>
  <c r="EY60" i="29"/>
  <c r="BH60" i="29"/>
  <c r="BJ60" i="29" s="1"/>
  <c r="O10" i="49"/>
  <c r="CC142" i="29"/>
  <c r="R168" i="29"/>
  <c r="FD63" i="29"/>
  <c r="W13" i="49"/>
  <c r="V13" i="49"/>
  <c r="E18" i="49"/>
  <c r="D18" i="49"/>
  <c r="EP80" i="29"/>
  <c r="ES60" i="29"/>
  <c r="EU60" i="29" s="1"/>
  <c r="CW142" i="29" s="1"/>
  <c r="EQ84" i="29"/>
  <c r="W20" i="49"/>
  <c r="V20" i="49"/>
  <c r="BK37" i="29"/>
  <c r="FB37" i="29"/>
  <c r="AB12" i="49"/>
  <c r="AC12" i="49"/>
  <c r="FA59" i="29"/>
  <c r="FC68" i="29"/>
  <c r="BH57" i="29"/>
  <c r="FA57" i="29" s="1"/>
  <c r="EY57" i="29"/>
  <c r="EP81" i="29"/>
  <c r="ER81" i="29" s="1"/>
  <c r="ET81" i="29" s="1"/>
  <c r="BZ109" i="29" s="1"/>
  <c r="ER33" i="29"/>
  <c r="ET33" i="29" s="1"/>
  <c r="CV133" i="29" s="1"/>
  <c r="EX254" i="29"/>
  <c r="AA19" i="49"/>
  <c r="E222" i="29"/>
  <c r="FC91" i="29"/>
  <c r="EY222" i="29" s="1"/>
  <c r="BK88" i="29"/>
  <c r="FB88" i="29"/>
  <c r="BH87" i="29"/>
  <c r="BJ87" i="29" s="1"/>
  <c r="EX88" i="29"/>
  <c r="EY85" i="29"/>
  <c r="ER85" i="29"/>
  <c r="ET85" i="29" s="1"/>
  <c r="BZ111" i="29" s="1"/>
  <c r="FA85" i="29"/>
  <c r="FC79" i="29"/>
  <c r="EZ105" i="29" s="1"/>
  <c r="E105" i="29"/>
  <c r="ER88" i="29"/>
  <c r="ET88" i="29" s="1"/>
  <c r="BZ156" i="29" s="1"/>
  <c r="FD62" i="29"/>
  <c r="V141" i="29"/>
  <c r="K9" i="49"/>
  <c r="J9" i="49"/>
  <c r="E11" i="49"/>
  <c r="D11" i="49"/>
  <c r="EY32" i="29"/>
  <c r="BH32" i="29"/>
  <c r="BF80" i="29"/>
  <c r="H5" i="49"/>
  <c r="G5" i="49"/>
  <c r="BH94" i="29"/>
  <c r="FA94" i="29" s="1"/>
  <c r="EY94" i="29"/>
  <c r="T19" i="49"/>
  <c r="S19" i="49"/>
  <c r="BK79" i="29"/>
  <c r="FB79" i="29"/>
  <c r="FB90" i="29"/>
  <c r="U289" i="29"/>
  <c r="FD70" i="29"/>
  <c r="FC31" i="29"/>
  <c r="BE81" i="29"/>
  <c r="P7" i="49"/>
  <c r="Q7" i="49"/>
  <c r="ES92" i="29"/>
  <c r="EU92" i="29" s="1"/>
  <c r="CA253" i="29" s="1"/>
  <c r="F108" i="29"/>
  <c r="CI192" i="29"/>
  <c r="EO41" i="29"/>
  <c r="EX56" i="29"/>
  <c r="X6" i="49" s="1"/>
  <c r="D145" i="29"/>
  <c r="F6" i="49"/>
  <c r="BI56" i="29"/>
  <c r="BH56" i="29"/>
  <c r="FA56" i="29" s="1"/>
  <c r="EZ60" i="29"/>
  <c r="BI60" i="29"/>
  <c r="BI33" i="29"/>
  <c r="BG81" i="29"/>
  <c r="EZ33" i="29"/>
  <c r="I15" i="49"/>
  <c r="D189" i="29"/>
  <c r="E13" i="49"/>
  <c r="D13" i="49"/>
  <c r="BK39" i="29"/>
  <c r="V18" i="49"/>
  <c r="W18" i="49"/>
  <c r="ER60" i="29"/>
  <c r="ET60" i="29" s="1"/>
  <c r="CV142" i="29" s="1"/>
  <c r="EP84" i="29"/>
  <c r="I20" i="49"/>
  <c r="EX94" i="29"/>
  <c r="D283" i="29"/>
  <c r="BJ94" i="29"/>
  <c r="FA65" i="29"/>
  <c r="R5" i="49"/>
  <c r="BY105" i="29"/>
  <c r="AA16" i="49"/>
  <c r="EX221" i="29"/>
  <c r="EZ85" i="29"/>
  <c r="BI85" i="29"/>
  <c r="BH89" i="29"/>
  <c r="BJ89" i="29" s="1"/>
  <c r="EY89" i="29"/>
  <c r="FC65" i="29"/>
  <c r="S8" i="49"/>
  <c r="T8" i="49"/>
  <c r="V146" i="29"/>
  <c r="FD61" i="29"/>
  <c r="BI57" i="29"/>
  <c r="EZ57" i="29"/>
  <c r="FB59" i="29"/>
  <c r="FD31" i="29"/>
  <c r="V129" i="29"/>
  <c r="EZ94" i="29"/>
  <c r="EX79" i="29"/>
  <c r="F222" i="29"/>
  <c r="FD91" i="29"/>
  <c r="EZ222" i="29" s="1"/>
  <c r="Q15" i="49"/>
  <c r="P15" i="49"/>
  <c r="FB93" i="29"/>
  <c r="BK93" i="29"/>
  <c r="EZ36" i="29"/>
  <c r="BG84" i="29"/>
  <c r="BI36" i="29"/>
  <c r="BI32" i="29"/>
  <c r="BG80" i="29"/>
  <c r="EZ32" i="29"/>
  <c r="EQ87" i="29"/>
  <c r="ES39" i="29"/>
  <c r="EU39" i="29" s="1"/>
  <c r="CQ162" i="29" s="1"/>
  <c r="R167" i="29"/>
  <c r="FD64" i="29"/>
  <c r="BJ46" i="29"/>
  <c r="FA46" i="29"/>
  <c r="FA68" i="29"/>
  <c r="BK41" i="29"/>
  <c r="BH92" i="29"/>
  <c r="FA92" i="29" s="1"/>
  <c r="EY92" i="29"/>
  <c r="FA79" i="29"/>
  <c r="ES85" i="29"/>
  <c r="EU85" i="29" s="1"/>
  <c r="CA111" i="29" s="1"/>
  <c r="FC59" i="29"/>
  <c r="CI132" i="29"/>
  <c r="EO35" i="29"/>
  <c r="BJ56" i="29" l="1"/>
  <c r="FD42" i="29"/>
  <c r="S224" i="29"/>
  <c r="FA90" i="29"/>
  <c r="BJ90" i="29"/>
  <c r="FD40" i="29"/>
  <c r="R161" i="29"/>
  <c r="J16" i="49"/>
  <c r="K16" i="49"/>
  <c r="FC60" i="29"/>
  <c r="U142" i="29"/>
  <c r="E157" i="29"/>
  <c r="EZ80" i="29"/>
  <c r="BI80" i="29"/>
  <c r="AC16" i="49"/>
  <c r="AB16" i="49"/>
  <c r="FC94" i="29"/>
  <c r="EY283" i="29" s="1"/>
  <c r="E283" i="29"/>
  <c r="FB39" i="29"/>
  <c r="H6" i="49"/>
  <c r="G6" i="49"/>
  <c r="FD79" i="29"/>
  <c r="FA105" i="29" s="1"/>
  <c r="F105" i="29"/>
  <c r="FA32" i="29"/>
  <c r="AC19" i="49"/>
  <c r="AB19" i="49"/>
  <c r="ER32" i="29"/>
  <c r="ET32" i="29" s="1"/>
  <c r="CV134" i="29" s="1"/>
  <c r="S11" i="49"/>
  <c r="T11" i="49"/>
  <c r="I6" i="49"/>
  <c r="D110" i="29"/>
  <c r="K11" i="49"/>
  <c r="J11" i="49"/>
  <c r="BJ57" i="29"/>
  <c r="U140" i="29"/>
  <c r="FC55" i="29"/>
  <c r="EY87" i="29"/>
  <c r="ER87" i="29"/>
  <c r="ET87" i="29" s="1"/>
  <c r="BZ157" i="29" s="1"/>
  <c r="BJ92" i="29"/>
  <c r="FB92" i="29"/>
  <c r="BK92" i="29"/>
  <c r="V256" i="29"/>
  <c r="FD44" i="29"/>
  <c r="BJ33" i="29"/>
  <c r="FA33" i="29"/>
  <c r="BK32" i="29"/>
  <c r="FB32" i="29"/>
  <c r="FD93" i="29"/>
  <c r="EZ254" i="29" s="1"/>
  <c r="F254" i="29"/>
  <c r="FB57" i="29"/>
  <c r="BK57" i="29"/>
  <c r="FB85" i="29"/>
  <c r="BK85" i="29"/>
  <c r="R162" i="29"/>
  <c r="FD39" i="29"/>
  <c r="E189" i="29"/>
  <c r="EZ81" i="29"/>
  <c r="BI81" i="29"/>
  <c r="F156" i="29"/>
  <c r="FD88" i="29"/>
  <c r="EZ156" i="29" s="1"/>
  <c r="CC134" i="29"/>
  <c r="EO80" i="29"/>
  <c r="ER80" i="29" s="1"/>
  <c r="ET80" i="29" s="1"/>
  <c r="BZ110" i="29" s="1"/>
  <c r="L6" i="49"/>
  <c r="T20" i="49"/>
  <c r="S20" i="49"/>
  <c r="EX32" i="29"/>
  <c r="U6" i="49" s="1"/>
  <c r="AA11" i="49"/>
  <c r="EY111" i="29"/>
  <c r="E112" i="29"/>
  <c r="FC82" i="29"/>
  <c r="EZ112" i="29" s="1"/>
  <c r="ES80" i="29"/>
  <c r="EU80" i="29" s="1"/>
  <c r="CA110" i="29" s="1"/>
  <c r="K13" i="49"/>
  <c r="J13" i="49"/>
  <c r="EX87" i="29"/>
  <c r="BY157" i="29"/>
  <c r="R13" i="49"/>
  <c r="W7" i="49"/>
  <c r="V7" i="49"/>
  <c r="BH84" i="29"/>
  <c r="BJ84" i="29" s="1"/>
  <c r="EY84" i="29"/>
  <c r="J18" i="49"/>
  <c r="K18" i="49"/>
  <c r="FC39" i="29"/>
  <c r="F283" i="29"/>
  <c r="FD94" i="29"/>
  <c r="EZ283" i="29" s="1"/>
  <c r="FC46" i="29"/>
  <c r="T285" i="29"/>
  <c r="EZ87" i="29"/>
  <c r="ES87" i="29"/>
  <c r="EU87" i="29" s="1"/>
  <c r="CA157" i="29" s="1"/>
  <c r="BK36" i="29"/>
  <c r="T5" i="49"/>
  <c r="S5" i="49"/>
  <c r="AA20" i="49"/>
  <c r="EX283" i="29"/>
  <c r="BK33" i="29"/>
  <c r="FB33" i="29"/>
  <c r="BK56" i="29"/>
  <c r="FB56" i="29"/>
  <c r="Y6" i="49"/>
  <c r="Z6" i="49"/>
  <c r="D109" i="29"/>
  <c r="I7" i="49"/>
  <c r="EX81" i="29"/>
  <c r="AA14" i="49"/>
  <c r="EX156" i="29"/>
  <c r="P10" i="49"/>
  <c r="Q10" i="49"/>
  <c r="BJ32" i="29"/>
  <c r="FC85" i="29"/>
  <c r="EZ111" i="29" s="1"/>
  <c r="E111" i="29"/>
  <c r="T18" i="49"/>
  <c r="S18" i="49"/>
  <c r="FC88" i="29"/>
  <c r="EY156" i="29" s="1"/>
  <c r="E156" i="29"/>
  <c r="G7" i="49"/>
  <c r="H7" i="49"/>
  <c r="E106" i="29"/>
  <c r="FC86" i="29"/>
  <c r="EZ106" i="29" s="1"/>
  <c r="P6" i="49"/>
  <c r="Q6" i="49"/>
  <c r="E10" i="49"/>
  <c r="D10" i="49"/>
  <c r="G10" i="49"/>
  <c r="H10" i="49"/>
  <c r="M13" i="49"/>
  <c r="N13" i="49"/>
  <c r="U131" i="29"/>
  <c r="U285" i="29"/>
  <c r="FD46" i="29"/>
  <c r="FD55" i="29"/>
  <c r="V140" i="29"/>
  <c r="BY109" i="29"/>
  <c r="R7" i="49"/>
  <c r="AB8" i="49"/>
  <c r="AC8" i="49"/>
  <c r="BH81" i="29"/>
  <c r="FA81" i="29" s="1"/>
  <c r="EY81" i="29"/>
  <c r="CC132" i="29"/>
  <c r="EO83" i="29"/>
  <c r="L9" i="49"/>
  <c r="ES35" i="29"/>
  <c r="ER35" i="29"/>
  <c r="FA35" i="29" s="1"/>
  <c r="EX35" i="29"/>
  <c r="U9" i="49" s="1"/>
  <c r="V192" i="29"/>
  <c r="EZ84" i="29"/>
  <c r="BI84" i="29"/>
  <c r="EY105" i="29"/>
  <c r="AA5" i="49"/>
  <c r="J20" i="49"/>
  <c r="K20" i="49"/>
  <c r="J15" i="49"/>
  <c r="K15" i="49"/>
  <c r="BK60" i="29"/>
  <c r="FB60" i="29"/>
  <c r="FC56" i="29"/>
  <c r="U145" i="29"/>
  <c r="EO89" i="29"/>
  <c r="CC192" i="29"/>
  <c r="L15" i="49"/>
  <c r="ES41" i="29"/>
  <c r="ER41" i="29"/>
  <c r="FA41" i="29" s="1"/>
  <c r="EX41" i="29"/>
  <c r="U15" i="49" s="1"/>
  <c r="BH80" i="29"/>
  <c r="EY80" i="29"/>
  <c r="FA87" i="29"/>
  <c r="FD37" i="29"/>
  <c r="V135" i="29"/>
  <c r="FA60" i="29"/>
  <c r="BK89" i="29"/>
  <c r="E6" i="49"/>
  <c r="D6" i="49"/>
  <c r="CB253" i="29"/>
  <c r="Y7" i="49"/>
  <c r="Z7" i="49"/>
  <c r="BK87" i="29"/>
  <c r="FB87" i="29"/>
  <c r="FC93" i="29"/>
  <c r="EY254" i="29" s="1"/>
  <c r="E254" i="29"/>
  <c r="I10" i="49"/>
  <c r="D107" i="29"/>
  <c r="Y10" i="49"/>
  <c r="Z10" i="49"/>
  <c r="U135" i="29"/>
  <c r="FC37" i="29"/>
  <c r="S14" i="49"/>
  <c r="T14" i="49"/>
  <c r="M7" i="49"/>
  <c r="N7" i="49"/>
  <c r="AA18" i="49"/>
  <c r="EX253" i="29"/>
  <c r="FA88" i="29"/>
  <c r="CI131" i="29"/>
  <c r="EO36" i="29"/>
  <c r="ET35" i="29" l="1"/>
  <c r="CV132" i="29" s="1"/>
  <c r="E221" i="29"/>
  <c r="FC90" i="29"/>
  <c r="EY221" i="29" s="1"/>
  <c r="F189" i="29"/>
  <c r="BK84" i="29"/>
  <c r="W9" i="49"/>
  <c r="V9" i="49"/>
  <c r="N9" i="49"/>
  <c r="M9" i="49"/>
  <c r="EY109" i="29"/>
  <c r="AA7" i="49"/>
  <c r="V133" i="29"/>
  <c r="FD33" i="29"/>
  <c r="T13" i="49"/>
  <c r="S13" i="49"/>
  <c r="V134" i="29"/>
  <c r="FD32" i="29"/>
  <c r="FC57" i="29"/>
  <c r="U144" i="29"/>
  <c r="FC87" i="29"/>
  <c r="EY157" i="29" s="1"/>
  <c r="J10" i="49"/>
  <c r="K10" i="49"/>
  <c r="F157" i="29"/>
  <c r="FD87" i="29"/>
  <c r="EZ157" i="29" s="1"/>
  <c r="EU41" i="29"/>
  <c r="FB41" i="29"/>
  <c r="BY189" i="29"/>
  <c r="R15" i="49"/>
  <c r="ES89" i="29"/>
  <c r="ER89" i="29"/>
  <c r="FA89" i="29" s="1"/>
  <c r="EX89" i="29"/>
  <c r="V142" i="29"/>
  <c r="FD60" i="29"/>
  <c r="R9" i="49"/>
  <c r="BY108" i="29"/>
  <c r="ES83" i="29"/>
  <c r="ER83" i="29"/>
  <c r="FA83" i="29" s="1"/>
  <c r="EX83" i="29"/>
  <c r="U134" i="29"/>
  <c r="FC32" i="29"/>
  <c r="J7" i="49"/>
  <c r="K7" i="49"/>
  <c r="E107" i="29"/>
  <c r="AC11" i="49"/>
  <c r="AB11" i="49"/>
  <c r="N6" i="49"/>
  <c r="M6" i="49"/>
  <c r="F111" i="29"/>
  <c r="FD85" i="29"/>
  <c r="FA111" i="29" s="1"/>
  <c r="FD92" i="29"/>
  <c r="EZ253" i="29" s="1"/>
  <c r="F253" i="29"/>
  <c r="K6" i="49"/>
  <c r="J6" i="49"/>
  <c r="L10" i="49"/>
  <c r="CC131" i="29"/>
  <c r="EO84" i="29"/>
  <c r="ES36" i="29"/>
  <c r="ER36" i="29"/>
  <c r="FA36" i="29" s="1"/>
  <c r="EX36" i="29"/>
  <c r="U10" i="49" s="1"/>
  <c r="AB18" i="49"/>
  <c r="AC18" i="49"/>
  <c r="FA80" i="29"/>
  <c r="ET41" i="29"/>
  <c r="AB5" i="49"/>
  <c r="AC5" i="49"/>
  <c r="EU35" i="29"/>
  <c r="FB35" i="29"/>
  <c r="AC14" i="49"/>
  <c r="AB14" i="49"/>
  <c r="V145" i="29"/>
  <c r="FD56" i="29"/>
  <c r="AB20" i="49"/>
  <c r="AC20" i="49"/>
  <c r="V131" i="29"/>
  <c r="AA13" i="49"/>
  <c r="EX157" i="29"/>
  <c r="V6" i="49"/>
  <c r="W6" i="49"/>
  <c r="EX80" i="29"/>
  <c r="BY110" i="29"/>
  <c r="R6" i="49"/>
  <c r="U133" i="29"/>
  <c r="FC33" i="29"/>
  <c r="BK80" i="29"/>
  <c r="FB80" i="29"/>
  <c r="V15" i="49"/>
  <c r="W15" i="49"/>
  <c r="N15" i="49"/>
  <c r="M15" i="49"/>
  <c r="FC35" i="29"/>
  <c r="T7" i="49"/>
  <c r="S7" i="49"/>
  <c r="BJ81" i="29"/>
  <c r="BK81" i="29"/>
  <c r="FB81" i="29"/>
  <c r="V144" i="29"/>
  <c r="FD57" i="29"/>
  <c r="E253" i="29"/>
  <c r="FC92" i="29"/>
  <c r="EY253" i="29" s="1"/>
  <c r="BJ80" i="29"/>
  <c r="ET89" i="29" l="1"/>
  <c r="ET36" i="29"/>
  <c r="F110" i="29"/>
  <c r="FD80" i="29"/>
  <c r="FA110" i="29" s="1"/>
  <c r="EU36" i="29"/>
  <c r="FB36" i="29"/>
  <c r="N10" i="49"/>
  <c r="M10" i="49"/>
  <c r="ET83" i="29"/>
  <c r="BZ189" i="29"/>
  <c r="FC89" i="29"/>
  <c r="EY189" i="29" s="1"/>
  <c r="CW192" i="29"/>
  <c r="FD41" i="29"/>
  <c r="AA6" i="49"/>
  <c r="EY110" i="29"/>
  <c r="AB13" i="49"/>
  <c r="AC13" i="49"/>
  <c r="CV131" i="29"/>
  <c r="FC36" i="29"/>
  <c r="EY108" i="29"/>
  <c r="AA9" i="49"/>
  <c r="EX189" i="29"/>
  <c r="AA15" i="49"/>
  <c r="S15" i="49"/>
  <c r="T15" i="49"/>
  <c r="F107" i="29"/>
  <c r="FC81" i="29"/>
  <c r="EZ109" i="29" s="1"/>
  <c r="E109" i="29"/>
  <c r="CV192" i="29"/>
  <c r="FC41" i="29"/>
  <c r="V10" i="49"/>
  <c r="W10" i="49"/>
  <c r="R10" i="49"/>
  <c r="BY107" i="29"/>
  <c r="ET84" i="29"/>
  <c r="EX84" i="29"/>
  <c r="ER84" i="29"/>
  <c r="FA84" i="29" s="1"/>
  <c r="ES84" i="29"/>
  <c r="S9" i="49"/>
  <c r="T9" i="49"/>
  <c r="AC7" i="49"/>
  <c r="AB7" i="49"/>
  <c r="F109" i="29"/>
  <c r="FD81" i="29"/>
  <c r="FA109" i="29" s="1"/>
  <c r="E110" i="29"/>
  <c r="FC80" i="29"/>
  <c r="EZ110" i="29" s="1"/>
  <c r="T6" i="49"/>
  <c r="S6" i="49"/>
  <c r="CW132" i="29"/>
  <c r="FD35" i="29"/>
  <c r="EU83" i="29"/>
  <c r="FB83" i="29"/>
  <c r="EU89" i="29"/>
  <c r="FB89" i="29"/>
  <c r="CA189" i="29" l="1"/>
  <c r="FD89" i="29"/>
  <c r="EZ189" i="29" s="1"/>
  <c r="S10" i="49"/>
  <c r="T10" i="49"/>
  <c r="AB6" i="49"/>
  <c r="AC6" i="49"/>
  <c r="EY107" i="29"/>
  <c r="AA10" i="49"/>
  <c r="AB9" i="49"/>
  <c r="AC9" i="49"/>
  <c r="BZ108" i="29"/>
  <c r="FC83" i="29"/>
  <c r="EZ108" i="29" s="1"/>
  <c r="CW131" i="29"/>
  <c r="FD36" i="29"/>
  <c r="BZ107" i="29"/>
  <c r="FC84" i="29"/>
  <c r="EZ107" i="29" s="1"/>
  <c r="CA108" i="29"/>
  <c r="FD83" i="29"/>
  <c r="FA108" i="29" s="1"/>
  <c r="EU84" i="29"/>
  <c r="FB84" i="29"/>
  <c r="AB15" i="49"/>
  <c r="AC15" i="49"/>
  <c r="AC10" i="49" l="1"/>
  <c r="AB10" i="49"/>
  <c r="CA107" i="29"/>
  <c r="FD84" i="29"/>
  <c r="FA107"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tc={3B9E0E27-92D1-4845-B26B-1F0EB0BE9F45}</author>
  </authors>
  <commentList>
    <comment ref="B58" authorId="0" shapeId="0" xr:uid="{3B9E0E27-92D1-4845-B26B-1F0EB0BE9F45}">
      <text>
        <t>[Threaded comment]
Your version of Excel allows you to read this threaded comment; however, any edits to it will get removed if the file is opened in a newer version of Excel. Learn more: https://go.microsoft.com/fwlink/?linkid=870924
Comment:
    https://www.itv.com/news/2022-08-09/which-water-companies-are-leaking-the-most-as-areas-are-hit-by-hosepipe-bans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tc={A9B58DBE-4F85-436C-BB55-9614EF929A09}</author>
  </authors>
  <commentList>
    <comment ref="D1" authorId="0" shapeId="0" xr:uid="{A9B58DBE-4F85-436C-BB55-9614EF929A09}">
      <text>
        <t>[Threaded comment]
Your version of Excel allows you to read this threaded comment; however, any edits to it will get removed if the file is opened in a newer version of Excel. Learn more: https://go.microsoft.com/fwlink/?linkid=870924
Comment:
    Adapted from the original workings - all additions or updates marked in red with white text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 Metcalfe</author>
  </authors>
  <commentList>
    <comment ref="G21" authorId="0" shapeId="0" xr:uid="{00000000-0006-0000-0A00-000001000000}">
      <text>
        <r>
          <rPr>
            <b/>
            <sz val="9"/>
            <color indexed="81"/>
            <rFont val="Tahoma"/>
            <family val="2"/>
          </rPr>
          <t>Paul Metcalfe:</t>
        </r>
        <r>
          <rPr>
            <sz val="9"/>
            <color indexed="81"/>
            <rFont val="Tahoma"/>
            <family val="2"/>
          </rPr>
          <t xml:space="preserve">
Service level consistent with 'Attribute grid' page, whereas 'WTP (Current bill)' page said 1/13 not 1/15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 Metcalfe</author>
  </authors>
  <commentList>
    <comment ref="G14" authorId="0" shapeId="0" xr:uid="{00000000-0006-0000-0B00-000001000000}">
      <text>
        <r>
          <rPr>
            <b/>
            <sz val="9"/>
            <color indexed="81"/>
            <rFont val="Tahoma"/>
            <family val="2"/>
          </rPr>
          <t>Paul Metcalfe:</t>
        </r>
        <r>
          <rPr>
            <sz val="9"/>
            <color indexed="81"/>
            <rFont val="Tahoma"/>
            <family val="2"/>
          </rPr>
          <t xml:space="preserve">
Service level consistent with 'Attribute grid' page, whereas 'WTP (Current bill)' page said 1/13 not 1/15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tc={2ED305E7-17AB-487E-978E-71C89D25813B}</author>
    <author>tc={4F62E993-B3B8-4425-B79C-C96C8467CEC3}</author>
    <author>tc={1978EEFA-EC2F-4C58-86A9-04FA89F939EB}</author>
    <author>tc={89E08950-5693-4A76-A317-5B0D845CCD09}</author>
    <author>tc={D431C054-0933-48D2-9DAE-6FB8660745D4}</author>
    <author>tc={380D5478-C82C-4FD3-A5FD-A2731AE8641F}</author>
  </authors>
  <commentList>
    <comment ref="J48" authorId="0" shapeId="0" xr:uid="{2ED305E7-17AB-487E-978E-71C89D25813B}">
      <text>
        <t>[Threaded comment]
Your version of Excel allows you to read this threaded comment; however, any edits to it will get removed if the file is opened in a newer version of Excel. Learn more: https://go.microsoft.com/fwlink/?linkid=870924
Comment:
    Past priorities weighted against Safety value</t>
      </text>
    </comment>
    <comment ref="X48" authorId="1" shapeId="0" xr:uid="{4F62E993-B3B8-4425-B79C-C96C8467CEC3}">
      <text>
        <t>[Threaded comment]
Your version of Excel allows you to read this threaded comment; however, any edits to it will get removed if the file is opened in a newer version of Excel. Learn more: https://go.microsoft.com/fwlink/?linkid=870924
Comment:
    Past priorities weighted against Safety value</t>
      </text>
    </comment>
    <comment ref="J49" authorId="2" shapeId="0" xr:uid="{1978EEFA-EC2F-4C58-86A9-04FA89F939EB}">
      <text>
        <t>[Threaded comment]
Your version of Excel allows you to read this threaded comment; however, any edits to it will get removed if the file is opened in a newer version of Excel. Learn more: https://go.microsoft.com/fwlink/?linkid=870924
Comment:
    Year 1 priorities weighted against Safety value</t>
      </text>
    </comment>
    <comment ref="X49" authorId="3" shapeId="0" xr:uid="{89E08950-5693-4A76-A317-5B0D845CCD09}">
      <text>
        <t>[Threaded comment]
Your version of Excel allows you to read this threaded comment; however, any edits to it will get removed if the file is opened in a newer version of Excel. Learn more: https://go.microsoft.com/fwlink/?linkid=870924
Comment:
    Year 1 priorities weighted against Safety value</t>
      </text>
    </comment>
    <comment ref="J53" authorId="4" shapeId="0" xr:uid="{D431C054-0933-48D2-9DAE-6FB8660745D4}">
      <text>
        <t>[Threaded comment]
Your version of Excel allows you to read this threaded comment; however, any edits to it will get removed if the file is opened in a newer version of Excel. Learn more: https://go.microsoft.com/fwlink/?linkid=870924
Comment:
    Past priorities weighted against Safety value</t>
      </text>
    </comment>
    <comment ref="X53" authorId="5" shapeId="0" xr:uid="{380D5478-C82C-4FD3-A5FD-A2731AE8641F}">
      <text>
        <t>[Threaded comment]
Your version of Excel allows you to read this threaded comment; however, any edits to it will get removed if the file is opened in a newer version of Excel. Learn more: https://go.microsoft.com/fwlink/?linkid=870924
Comment:
    Past priorities weighted against Safety value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tc={950AE9F8-CBC5-441C-95CF-923140C99E75}</author>
  </authors>
  <commentList>
    <comment ref="S1" authorId="0" shapeId="0" xr:uid="{950AE9F8-CBC5-441C-95CF-923140C99E75}">
      <text>
        <t>[Threaded comment]
Your version of Excel allows you to read this threaded comment; however, any edits to it will get removed if the file is opened in a newer version of Excel. Learn more: https://go.microsoft.com/fwlink/?linkid=870924
Comment:
    Updates not available for CAM</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tc={D88A701B-2918-459B-ACF2-95F741F553A9}</author>
    <author>tc={7661C860-AAFB-450D-8BFC-6090501CC42B}</author>
    <author>tc={8FCD3F26-3040-435C-BC7F-924198301F1B}</author>
  </authors>
  <commentList>
    <comment ref="T1" authorId="0" shapeId="0" xr:uid="{D88A701B-2918-459B-ACF2-95F741F553A9}">
      <text>
        <t>[Threaded comment]
Your version of Excel allows you to read this threaded comment; however, any edits to it will get removed if the file is opened in a newer version of Excel. Learn more: https://go.microsoft.com/fwlink/?linkid=870924
Comment:
    Updates not available for CAM</t>
      </text>
    </comment>
    <comment ref="D4" authorId="1" shapeId="0" xr:uid="{7661C860-AAFB-450D-8BFC-6090501CC42B}">
      <text>
        <t>[Threaded comment]
Your version of Excel allows you to read this threaded comment; however, any edits to it will get removed if the file is opened in a newer version of Excel. Learn more: https://go.microsoft.com/fwlink/?linkid=870924
Comment:
    Option to also use Effort score, but this captures the driver relationship best</t>
      </text>
    </comment>
    <comment ref="K6" authorId="2" shapeId="0" xr:uid="{8FCD3F26-3040-435C-BC7F-924198301F1B}">
      <text>
        <t>[Threaded comment]
Your version of Excel allows you to read this threaded comment; however, any edits to it will get removed if the file is opened in a newer version of Excel. Learn more: https://go.microsoft.com/fwlink/?linkid=870924
Comment:
    =MAX(-D6,0)</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Paul Metcalfe</author>
  </authors>
  <commentList>
    <comment ref="J349" authorId="0" shapeId="0" xr:uid="{00000000-0006-0000-1000-000001000000}">
      <text>
        <r>
          <rPr>
            <b/>
            <sz val="9"/>
            <color indexed="81"/>
            <rFont val="Tahoma"/>
            <family val="2"/>
          </rPr>
          <t>Paul Metcalfe:</t>
        </r>
        <r>
          <rPr>
            <sz val="9"/>
            <color indexed="81"/>
            <rFont val="Tahoma"/>
            <family val="2"/>
          </rPr>
          <t xml:space="preserve">
Assumes i unterruption=</t>
        </r>
      </text>
    </comment>
  </commentList>
</comments>
</file>

<file path=xl/sharedStrings.xml><?xml version="1.0" encoding="utf-8"?>
<sst xmlns="http://schemas.openxmlformats.org/spreadsheetml/2006/main" count="7495" uniqueCount="1283">
  <si>
    <t>v14</t>
  </si>
  <si>
    <t>Note: Similar to v13 except for the following change:</t>
  </si>
  <si>
    <t>Corrected named ranges in the WTP Main sheet</t>
  </si>
  <si>
    <t>Last modified by</t>
  </si>
  <si>
    <t>Paul Metcalfe</t>
  </si>
  <si>
    <t>Contact:</t>
  </si>
  <si>
    <t>paul@pjmeconomics.co.uk</t>
  </si>
  <si>
    <t>Tel: +44 1202 831316</t>
  </si>
  <si>
    <t>Mob: +44 7786 656834</t>
  </si>
  <si>
    <t>www.pjmeconomics.co.uk</t>
  </si>
  <si>
    <t>Notes</t>
  </si>
  <si>
    <t>This spreadsheet contains the triangulation results for the SSC (SSW and CAM) WRMP priorities and WTP values.</t>
  </si>
  <si>
    <t>The "General Inputs" sheet contains information on the Number of properties and average bill amounts for both SSW and CAM as well as the weights to be given to different RAG ratings. All of these inputs may be changed by the user.</t>
  </si>
  <si>
    <t>The "Sources" sheet contains details of the data sources used for triangulation</t>
  </si>
  <si>
    <t>The main triangulation results for WTP priorities are contained in the "WTP Main" sheet</t>
  </si>
  <si>
    <t>All other sheets contain raw data and calculations for the various data sources that have been used for triangulation</t>
  </si>
  <si>
    <t>All cells in black font are hard-coded and the cells in blue font are calculated</t>
  </si>
  <si>
    <t xml:space="preserve">The user can change all cells marked in yellow in the "General Inputs" sheet and the RAG ratings on the "WRMP Main" and "WTP Main" sheets (marked in yellow) to do sensitivity checks. </t>
  </si>
  <si>
    <t>None of the other cells should be changed</t>
  </si>
  <si>
    <t>General Inputs</t>
  </si>
  <si>
    <t>PROPERTIES</t>
  </si>
  <si>
    <t>HH</t>
  </si>
  <si>
    <t>NHH</t>
  </si>
  <si>
    <t>All</t>
  </si>
  <si>
    <t>SSW</t>
  </si>
  <si>
    <t>DBP: Updated 11/11/22</t>
  </si>
  <si>
    <t>CAM</t>
  </si>
  <si>
    <t>AVERAGE BILLS (£/prop/yr)</t>
  </si>
  <si>
    <t>RAG WEIGHTS</t>
  </si>
  <si>
    <t>Overall RAG Rating</t>
  </si>
  <si>
    <t>Weight to be applied</t>
  </si>
  <si>
    <t>Test 1</t>
  </si>
  <si>
    <t>Test 2</t>
  </si>
  <si>
    <t>Green</t>
  </si>
  <si>
    <r>
      <rPr>
        <b/>
        <sz val="11"/>
        <color rgb="FF00B050"/>
        <rFont val="Calibri"/>
        <family val="2"/>
        <scheme val="minor"/>
      </rPr>
      <t xml:space="preserve">Green </t>
    </r>
    <r>
      <rPr>
        <b/>
        <sz val="11"/>
        <color theme="1"/>
        <rFont val="Calibri"/>
        <family val="2"/>
        <scheme val="minor"/>
      </rPr>
      <t xml:space="preserve">/ </t>
    </r>
    <r>
      <rPr>
        <b/>
        <sz val="11"/>
        <color rgb="FFFFC000"/>
        <rFont val="Calibri"/>
        <family val="2"/>
        <scheme val="minor"/>
      </rPr>
      <t>Amber</t>
    </r>
  </si>
  <si>
    <t>Amber</t>
  </si>
  <si>
    <r>
      <rPr>
        <b/>
        <sz val="11"/>
        <color rgb="FFFFC000"/>
        <rFont val="Calibri"/>
        <family val="2"/>
        <scheme val="minor"/>
      </rPr>
      <t>Amber</t>
    </r>
    <r>
      <rPr>
        <b/>
        <sz val="11"/>
        <color theme="1"/>
        <rFont val="Calibri"/>
        <family val="2"/>
        <scheme val="minor"/>
      </rPr>
      <t xml:space="preserve"> / </t>
    </r>
    <r>
      <rPr>
        <b/>
        <sz val="11"/>
        <color rgb="FFFF0000"/>
        <rFont val="Calibri"/>
        <family val="2"/>
        <scheme val="minor"/>
      </rPr>
      <t>Red</t>
    </r>
  </si>
  <si>
    <t>Red</t>
  </si>
  <si>
    <t>BILL IMPACT (£/customer for S0 to S2)</t>
  </si>
  <si>
    <t>Source: Dan Haire (SSW)</t>
  </si>
  <si>
    <t>Leakage</t>
  </si>
  <si>
    <t>Water metering</t>
  </si>
  <si>
    <t>Smart metering</t>
  </si>
  <si>
    <t>Leakage per year (ML/D)</t>
  </si>
  <si>
    <t>WTP Main</t>
  </si>
  <si>
    <t>Summary</t>
  </si>
  <si>
    <t xml:space="preserve">South Staff Water </t>
  </si>
  <si>
    <t>Cambridge Water</t>
  </si>
  <si>
    <t>COMBINED (South Staffs &amp; Cambridge Water)</t>
  </si>
  <si>
    <t>Sources / RAG ratings</t>
  </si>
  <si>
    <t>Notes:</t>
  </si>
  <si>
    <t>PR19</t>
  </si>
  <si>
    <t>WTP core_DCE</t>
  </si>
  <si>
    <t>Green / amber</t>
  </si>
  <si>
    <t>WTP core_Maxdiff</t>
  </si>
  <si>
    <t>Green / Amber</t>
  </si>
  <si>
    <t>WTPCore_DCE2</t>
  </si>
  <si>
    <t>Weight applies to SSW HH, SSW NHH and CAM HH</t>
  </si>
  <si>
    <t>WTPCore_DCE2a</t>
  </si>
  <si>
    <t>Weight applies to CAM NHH (Zero weight to CAM NHH due to very low sample size). Included in range to test sensitivity but not to influence central value</t>
  </si>
  <si>
    <t>WTPCore_DCE2_LowBill</t>
  </si>
  <si>
    <t>Included in range to test sensitivity but not to influence central value</t>
  </si>
  <si>
    <t>WTP core_DCE_Private</t>
  </si>
  <si>
    <t>Priorities</t>
  </si>
  <si>
    <t>Updated inputs</t>
  </si>
  <si>
    <t>Contacts</t>
  </si>
  <si>
    <t>Satisfaction</t>
  </si>
  <si>
    <t>WTPPR14</t>
  </si>
  <si>
    <t>WRMP online</t>
  </si>
  <si>
    <t>Amber / Red</t>
  </si>
  <si>
    <t>WRMP workshops</t>
  </si>
  <si>
    <t>ExternalWTP14</t>
  </si>
  <si>
    <t>ExternalWTP19</t>
  </si>
  <si>
    <t>PC Slider</t>
  </si>
  <si>
    <t>WRMP MCDA</t>
  </si>
  <si>
    <t>SRO</t>
  </si>
  <si>
    <t>WTP PR24 SSC</t>
  </si>
  <si>
    <t>Set to red when caclulating pre-PR24 values</t>
  </si>
  <si>
    <t>WTP PR24 WW/YW</t>
  </si>
  <si>
    <t>WTA ODI SSC</t>
  </si>
  <si>
    <t>WTA National</t>
  </si>
  <si>
    <t>Triangulation Calculations-HH</t>
  </si>
  <si>
    <t>ExternalWTP14: Company values</t>
  </si>
  <si>
    <t>ExternalWTP19:Company values</t>
  </si>
  <si>
    <t>ExternalWTP14:Company values</t>
  </si>
  <si>
    <t>WTPCore_DCE: Low</t>
  </si>
  <si>
    <t>WTPCore_DCE: High</t>
  </si>
  <si>
    <t>WTPCore_DCE2: Low</t>
  </si>
  <si>
    <t>WTPCore_DCE2: High</t>
  </si>
  <si>
    <t>A</t>
  </si>
  <si>
    <t>B</t>
  </si>
  <si>
    <t>C</t>
  </si>
  <si>
    <t>D</t>
  </si>
  <si>
    <t>E</t>
  </si>
  <si>
    <t>F</t>
  </si>
  <si>
    <t>G</t>
  </si>
  <si>
    <t>H</t>
  </si>
  <si>
    <t>I</t>
  </si>
  <si>
    <t>J</t>
  </si>
  <si>
    <t>K</t>
  </si>
  <si>
    <t>L</t>
  </si>
  <si>
    <t>M</t>
  </si>
  <si>
    <t>N</t>
  </si>
  <si>
    <t>O</t>
  </si>
  <si>
    <t>P</t>
  </si>
  <si>
    <t>T</t>
  </si>
  <si>
    <t>U</t>
  </si>
  <si>
    <t xml:space="preserve">COMBINED UNIT WTP </t>
  </si>
  <si>
    <t>MIN</t>
  </si>
  <si>
    <t>MAX</t>
  </si>
  <si>
    <t>LOWER  BOUND</t>
  </si>
  <si>
    <t>UPPER BOUND</t>
  </si>
  <si>
    <t>LOW DEV.</t>
  </si>
  <si>
    <t>HIGH DEV.</t>
  </si>
  <si>
    <t>COMBINED UNIT WTP HH</t>
  </si>
  <si>
    <t>COMBINED MIN</t>
  </si>
  <si>
    <t>COMBINED MAX</t>
  </si>
  <si>
    <t>COMBINED LOWER BOUND</t>
  </si>
  <si>
    <t>COMBINED UPPER BOUND</t>
  </si>
  <si>
    <t>COMBINED LOW DEV</t>
  </si>
  <si>
    <t>COMBINED HIGH DEV</t>
  </si>
  <si>
    <t>Weight</t>
  </si>
  <si>
    <t>Attributes</t>
  </si>
  <si>
    <t>Abbreviation</t>
  </si>
  <si>
    <t>Unit</t>
  </si>
  <si>
    <t>Water not safe to drink</t>
  </si>
  <si>
    <t>NotSafe</t>
  </si>
  <si>
    <t>Property affected</t>
  </si>
  <si>
    <t>x</t>
  </si>
  <si>
    <t>Discoloured water</t>
  </si>
  <si>
    <t>Discolour</t>
  </si>
  <si>
    <t>Taste and smell of water</t>
  </si>
  <si>
    <t>TasteSmell</t>
  </si>
  <si>
    <t>Lead pipes</t>
  </si>
  <si>
    <t>Lead</t>
  </si>
  <si>
    <t>Water hardness</t>
  </si>
  <si>
    <t>Hardness</t>
  </si>
  <si>
    <t>Unexpected temporary loss of water supply</t>
  </si>
  <si>
    <t>Interruptions</t>
  </si>
  <si>
    <t>Low water pressure</t>
  </si>
  <si>
    <t>LowPressure</t>
  </si>
  <si>
    <t>Flooding from a burst pipe</t>
  </si>
  <si>
    <t>Bursts</t>
  </si>
  <si>
    <t>Temporary use ban</t>
  </si>
  <si>
    <t>TempBan</t>
  </si>
  <si>
    <t>1% change in risk</t>
  </si>
  <si>
    <t>Drought restrictions</t>
  </si>
  <si>
    <t>Drought</t>
  </si>
  <si>
    <t>ML/D</t>
  </si>
  <si>
    <t>Metering</t>
  </si>
  <si>
    <t>Household</t>
  </si>
  <si>
    <t>Giving customers control of their water usage</t>
  </si>
  <si>
    <t>SmartMetering</t>
  </si>
  <si>
    <t>Protecting wildlife habitats</t>
  </si>
  <si>
    <t>Wildlife</t>
  </si>
  <si>
    <t>Hectare</t>
  </si>
  <si>
    <t>Managing impacts on rivers &amp; streams</t>
  </si>
  <si>
    <t>ImpactRivers</t>
  </si>
  <si>
    <t>Traffic disruption</t>
  </si>
  <si>
    <t>Traffic</t>
  </si>
  <si>
    <t>Roadworks incident</t>
  </si>
  <si>
    <t>Only one attribute so F not included</t>
  </si>
  <si>
    <t>No details for the Cambridge PR14 study</t>
  </si>
  <si>
    <t>Triangulation Calculations-NHH</t>
  </si>
  <si>
    <t>COMBINED UNIT WTP NHH</t>
  </si>
  <si>
    <t>Metering data not available for NHH</t>
  </si>
  <si>
    <t>Triangulation Calculations-ALL</t>
  </si>
  <si>
    <t>Note: Wave 1 DCE Private values, Wave 2 DCE Low Bill values and Wave 2 DCE values for CAM NHH are given a weight of zero since they are included only for sensitivity checking</t>
  </si>
  <si>
    <t>Water metering and Smart metering values are HH only</t>
  </si>
  <si>
    <t>CHARTS</t>
  </si>
  <si>
    <t>Services at property-ALL (HH+NHH)</t>
  </si>
  <si>
    <t>COMBINED</t>
  </si>
  <si>
    <t>LOW DEV</t>
  </si>
  <si>
    <t>HIGH DEV</t>
  </si>
  <si>
    <t>ALL</t>
  </si>
  <si>
    <t>Services at property-HH</t>
  </si>
  <si>
    <t>WTPCore_DCE</t>
  </si>
  <si>
    <t>WTPCore_MaxDiff</t>
  </si>
  <si>
    <t>WTP PR24</t>
  </si>
  <si>
    <t>WTA ODI</t>
  </si>
  <si>
    <t>Services at property-NHH</t>
  </si>
  <si>
    <t>Ranges curtailed to aid legibility</t>
  </si>
  <si>
    <t>Drought Restrictions-ALL (HH+NHH)</t>
  </si>
  <si>
    <t xml:space="preserve">Temporary use ban </t>
  </si>
  <si>
    <t>Drought restrictions-HH</t>
  </si>
  <si>
    <t>Drought restrictions-NHH</t>
  </si>
  <si>
    <t>Leakage-ALL (HH+NHH)</t>
  </si>
  <si>
    <t>Leakage-HH</t>
  </si>
  <si>
    <t>WRMP_online</t>
  </si>
  <si>
    <t>WRMP_workshop</t>
  </si>
  <si>
    <t>Leakage-NHH</t>
  </si>
  <si>
    <t>Metering-ALL (HH+NHH)</t>
  </si>
  <si>
    <t>Metering-HH</t>
  </si>
  <si>
    <t>Metering-NHH</t>
  </si>
  <si>
    <t>No values available for NHH</t>
  </si>
  <si>
    <t>Environment-ALL (HH+NHH)</t>
  </si>
  <si>
    <t>Environment-HH</t>
  </si>
  <si>
    <t>Environment-NHH</t>
  </si>
  <si>
    <t>Traffic-ALL (HH+NHH)</t>
  </si>
  <si>
    <t>Traffic-HH</t>
  </si>
  <si>
    <t>Traffic-NHH</t>
  </si>
  <si>
    <t>WTP Summary</t>
  </si>
  <si>
    <t>COMBINED SSC</t>
  </si>
  <si>
    <t>Attribute</t>
  </si>
  <si>
    <t>Central</t>
  </si>
  <si>
    <t>Low</t>
  </si>
  <si>
    <t>High</t>
  </si>
  <si>
    <t>Giving customers control of their water usage (smart meters)</t>
  </si>
  <si>
    <t>WTP Summary (PR19)</t>
  </si>
  <si>
    <t>Attribute (different order)</t>
  </si>
  <si>
    <t>Description</t>
  </si>
  <si>
    <t>WRMP &amp; Long Term Resilience Customer Engagement Insight: Full report (September 2017)</t>
  </si>
  <si>
    <t>Customer Priorities</t>
  </si>
  <si>
    <t>Customer Satisfaction</t>
  </si>
  <si>
    <t>Customer Contacts</t>
  </si>
  <si>
    <t>Comparative Review of PR19 WTP Results (Accent and PJM)-May 2018</t>
  </si>
  <si>
    <t>ALL Customers</t>
  </si>
  <si>
    <t>WTP in £ per unit</t>
  </si>
  <si>
    <t>Coef.</t>
  </si>
  <si>
    <t>Conf. int.</t>
  </si>
  <si>
    <t>SST</t>
  </si>
  <si>
    <t>RotaCuts</t>
  </si>
  <si>
    <t>Emergency drought restrictions (2 months)</t>
  </si>
  <si>
    <t>per propery affected</t>
  </si>
  <si>
    <t>per %</t>
  </si>
  <si>
    <t>UnexpInt24</t>
  </si>
  <si>
    <t>Unexpected water supply interruption (24h)</t>
  </si>
  <si>
    <t>DND</t>
  </si>
  <si>
    <t>Do not drink notice (48h)</t>
  </si>
  <si>
    <t>Boil</t>
  </si>
  <si>
    <t>Boil water notice (48h)</t>
  </si>
  <si>
    <t>UnexpInt6</t>
  </si>
  <si>
    <t>Unexpected water supply interruption (6h)</t>
  </si>
  <si>
    <t>TasteSmell24</t>
  </si>
  <si>
    <t>Water taste and smell (24h)</t>
  </si>
  <si>
    <t>Discolour24</t>
  </si>
  <si>
    <t>Discoloured water (24h)</t>
  </si>
  <si>
    <t>Discolour6</t>
  </si>
  <si>
    <t>Discoloured water (6h)</t>
  </si>
  <si>
    <t>TasteSmell6</t>
  </si>
  <si>
    <t>Water taste and smell (6h)</t>
  </si>
  <si>
    <t>PlannedInt6</t>
  </si>
  <si>
    <t>Planned water supply interruption (6h)</t>
  </si>
  <si>
    <t>Unexpected low water pressure (6h)</t>
  </si>
  <si>
    <t>LowFlowNearby</t>
  </si>
  <si>
    <t>Low flows in rivers nearby (2 months)</t>
  </si>
  <si>
    <t>LowFlowElse</t>
  </si>
  <si>
    <t>Low flows in rivers elsewhere (2 months)</t>
  </si>
  <si>
    <t>HoseBan</t>
  </si>
  <si>
    <t>Hosepipe ban (5 months)</t>
  </si>
  <si>
    <t>COMB</t>
  </si>
  <si>
    <t xml:space="preserve">Source: </t>
  </si>
  <si>
    <t>221212 SSCW HH results.xlsx and 221212 SSCW NHH results.xlsx</t>
  </si>
  <si>
    <t>Negative values treated as zero WTP for improvement</t>
  </si>
  <si>
    <t>Additional calculations</t>
  </si>
  <si>
    <t>HOUSEHOLDS</t>
  </si>
  <si>
    <t>Incremental WTP to switch from SQ (£)</t>
  </si>
  <si>
    <t>Per single unit conversion</t>
  </si>
  <si>
    <t>Combined</t>
  </si>
  <si>
    <t>Point Estimate</t>
  </si>
  <si>
    <t>P-value</t>
  </si>
  <si>
    <t>Customer Service</t>
  </si>
  <si>
    <t>reduction in the percentage of costumers that wait more than 10 minutes</t>
  </si>
  <si>
    <t>Risk of a temporary "do not drink" notice</t>
  </si>
  <si>
    <t>reduction in number of properties that received "do not drink" notice</t>
  </si>
  <si>
    <t>Water lost to leakage from pipes</t>
  </si>
  <si>
    <t>Installing ‘smart’ water meters</t>
  </si>
  <si>
    <t>increase in the percentage of properties having an operational "smart" meter by 2030</t>
  </si>
  <si>
    <t>Chance of property flooding from a burst pipe</t>
  </si>
  <si>
    <t>Hard water supply</t>
  </si>
  <si>
    <t>increase in the number of properties that benefit from investment (thousands)</t>
  </si>
  <si>
    <t>Supporting nature and wildlife</t>
  </si>
  <si>
    <t>reduction in the percentage of properties that have a lead supply pipe by 2030</t>
  </si>
  <si>
    <t>reduction in the percentage of water that is lost to leakage</t>
  </si>
  <si>
    <t>per ML/day</t>
  </si>
  <si>
    <t xml:space="preserve">Issues with tap water colour, taste, or smell </t>
  </si>
  <si>
    <t>reduction in the percentage of properties experiencing issues with tap water per year (tenth of a percentage)</t>
  </si>
  <si>
    <t>reduction in the flooding incidents per year</t>
  </si>
  <si>
    <t>Unplanned short interruptions to water supply</t>
  </si>
  <si>
    <t>reduction in the percentage of properties experiencing low pressure per year (tenth of a percentage)</t>
  </si>
  <si>
    <t>increase in the number of acres protected and enhanced (tens)</t>
  </si>
  <si>
    <t>per hectare</t>
  </si>
  <si>
    <t>reduction in the percentage of properties experiencing a short interruption per year (hundreth of a percentage)</t>
  </si>
  <si>
    <t>Risk of temporary use ban, including hosepipes</t>
  </si>
  <si>
    <t>reduction in the percentage chance of temporary use ban in a given year</t>
  </si>
  <si>
    <t>NON-HOUSEHOLDS</t>
  </si>
  <si>
    <t>Incremental WTP to switch from SQ (% point change bill)</t>
  </si>
  <si>
    <t>Also multiplies by average bill to give £ values per percentage of bill</t>
  </si>
  <si>
    <t>Risk of non-essential use ban, including hosepipes</t>
  </si>
  <si>
    <t>WESSEX</t>
  </si>
  <si>
    <t>YORKSHIRE WATER</t>
  </si>
  <si>
    <t>MCDA</t>
  </si>
  <si>
    <t>Source:</t>
  </si>
  <si>
    <t>SSC Accent Quant MCDA Study - Feb 2022 - FINAL REPORT.pptx</t>
  </si>
  <si>
    <t>South Staff Water HH</t>
  </si>
  <si>
    <t>Cambridge Water HH</t>
  </si>
  <si>
    <t>Mean</t>
  </si>
  <si>
    <t>Assumed Hectares covered:</t>
  </si>
  <si>
    <t xml:space="preserve"> Defined as current levels in NERA WTP</t>
  </si>
  <si>
    <t>NNH</t>
  </si>
  <si>
    <t>Habitats for native wildlife and plants - £ relate to abstract score and not specific levels of service</t>
  </si>
  <si>
    <t>3543rep02_SRO_Final_v7.pdf</t>
  </si>
  <si>
    <t>South Staff Water</t>
  </si>
  <si>
    <t>Specialist habitats created for wildlife</t>
  </si>
  <si>
    <t>Protecting wildlife habitats 
(304 additional hectares protected)</t>
  </si>
  <si>
    <t>Water hardness 
(Applied to 5000 properties)</t>
  </si>
  <si>
    <t>Water metering 
(Applied to 18% of properties)</t>
  </si>
  <si>
    <t>Temporary use ban 
(Risk reduced by 11.1%for all properties)</t>
  </si>
  <si>
    <t>Lead pipes 
(Applied to 3% of properties)</t>
  </si>
  <si>
    <t>Taste and smell of water 
(Applied to 0.4% of properties)</t>
  </si>
  <si>
    <t>Low water pressure 
(Applied to 1% of properties)</t>
  </si>
  <si>
    <t>Flooding from a burst pipe 
(Applied to 5 properties)</t>
  </si>
  <si>
    <t>Unexpected temporary loss of water supply 
(Applied to 0.1% properties)</t>
  </si>
  <si>
    <t>Leakage 
(Applied to 2% of properties)</t>
  </si>
  <si>
    <t>Water not safe to drink 
(Applied to 1 property)</t>
  </si>
  <si>
    <t>WRMP Core Online</t>
  </si>
  <si>
    <t>South Staff Water customers (305 customers)</t>
  </si>
  <si>
    <t>Cambridge Water customers (207 customers)</t>
  </si>
  <si>
    <t>Source data (plus derived full scale)</t>
  </si>
  <si>
    <t>Source: "WRMP Full Report - Oct 2017.pptx" Slide 128</t>
  </si>
  <si>
    <t>Source: "WRMP Full Report - Oct 2017.pptx" Slide 130</t>
  </si>
  <si>
    <t>WRMP Options</t>
  </si>
  <si>
    <t>Mean score </t>
  </si>
  <si>
    <t>Mean score (rescaled1)</t>
  </si>
  <si>
    <t>Mean score (rescaled2)</t>
  </si>
  <si>
    <t>Proportion for</t>
  </si>
  <si>
    <t>Proportion for (rescaled)</t>
  </si>
  <si>
    <t>Most preferred</t>
  </si>
  <si>
    <t>Least preferred</t>
  </si>
  <si>
    <t>Most-Least preferred</t>
  </si>
  <si>
    <t>Most-Least (rescaled1)</t>
  </si>
  <si>
    <t>Most-Least (rescaled2)</t>
  </si>
  <si>
    <t>Combined scale</t>
  </si>
  <si>
    <t>Reducing leakage</t>
  </si>
  <si>
    <t>Installing smart meters</t>
  </si>
  <si>
    <t>Reducing customer water usage/More education campaigns</t>
  </si>
  <si>
    <t>Increasing the amount of water in the Blithfield reservoir</t>
  </si>
  <si>
    <t>Building a new water reservoir</t>
  </si>
  <si>
    <t>Taking water from the River Trent</t>
  </si>
  <si>
    <t xml:space="preserve">Taking more groundwater </t>
  </si>
  <si>
    <t>Trading with another water company</t>
  </si>
  <si>
    <t>Mapping to WTP values</t>
  </si>
  <si>
    <t>Service levels (from WTP_Core_DCE2)</t>
  </si>
  <si>
    <t>WTP (£/hh/yr) (from WTP_Core_DCE2)</t>
  </si>
  <si>
    <t>Priorities index (from above)</t>
  </si>
  <si>
    <t>Derived WTP index</t>
  </si>
  <si>
    <t>Derived WTP (S0 to S2)</t>
  </si>
  <si>
    <t>Source data name</t>
  </si>
  <si>
    <t>WTP attribute name</t>
  </si>
  <si>
    <t>Attribute abbreviation</t>
  </si>
  <si>
    <t>S0</t>
  </si>
  <si>
    <t>S1</t>
  </si>
  <si>
    <t>S2</t>
  </si>
  <si>
    <t>(S0 to S1)</t>
  </si>
  <si>
    <t>(S1 to S2)</t>
  </si>
  <si>
    <t>(S0 to S2)</t>
  </si>
  <si>
    <t>WTPCore_DCE_Wave 1 Unit values</t>
  </si>
  <si>
    <t>WTPCore_DCE_Wave 1 Unit values_SCALED</t>
  </si>
  <si>
    <t>WTPCore_DCE_Wave 2 Unit values</t>
  </si>
  <si>
    <t>WTPCore_DCE_Wave 2 Unit values_SCALED</t>
  </si>
  <si>
    <t>Derived Unit Value</t>
  </si>
  <si>
    <t>AVERAGE</t>
  </si>
  <si>
    <t xml:space="preserve">Note: </t>
  </si>
  <si>
    <t xml:space="preserve">The Derived Unit Values are obtained by translating the WTP values into similar units and then multiplying the Derived WTP (S0 to S2) by the bill impact per customer for moving from S0 to S2 in order to make the WRMP and WTP measures  comparable. </t>
  </si>
  <si>
    <t>Smart metering service levels and unit values in Wave 2 is taken to be similar to Wave 1 since Smart metering  not included in Wave 2 study</t>
  </si>
  <si>
    <t>WRMP Core Workshop</t>
  </si>
  <si>
    <t>South Staff Water customers (31 customers)</t>
  </si>
  <si>
    <t>Cambridge Water customers (27 customers)</t>
  </si>
  <si>
    <t>Source Data</t>
  </si>
  <si>
    <t>Source: "WRMP Full Report - Oct 2017.pptx": Slide 127</t>
  </si>
  <si>
    <t>Source: "WRMP Full Report - Oct 2017.pptx": Slide 129</t>
  </si>
  <si>
    <t xml:space="preserve">Options </t>
  </si>
  <si>
    <t>Overall score </t>
  </si>
  <si>
    <t>Votes allocated</t>
  </si>
  <si>
    <t>Leakage 1* </t>
  </si>
  <si>
    <t>Increased metering (not smart meters)**</t>
  </si>
  <si>
    <t>Increased metering**</t>
  </si>
  <si>
    <t>Reducing customer water usage </t>
  </si>
  <si>
    <t>Trading 2</t>
  </si>
  <si>
    <t>Trading 1</t>
  </si>
  <si>
    <t>Leakage 2</t>
  </si>
  <si>
    <t>Increasing Blithfield</t>
  </si>
  <si>
    <t>New surface water reservoir</t>
  </si>
  <si>
    <t>Taking water from River Trent</t>
  </si>
  <si>
    <t>New combined reservoir</t>
  </si>
  <si>
    <t>Abstracting groundwater</t>
  </si>
  <si>
    <t>Abstracting groundwater </t>
  </si>
  <si>
    <t xml:space="preserve">Notes: </t>
  </si>
  <si>
    <t xml:space="preserve"> *Could only choose Leakage 2 if had chosen Leakage 1   **Could only choose Smart metering if had chosen Increased metering</t>
  </si>
  <si>
    <t>*Could only choose Leakage 1 OR Leakage 2   **Could only choose Increased metering OR Smart metering</t>
  </si>
  <si>
    <t>Overall score = qualitative measure based on all feedback (1 = very positive, 2 = positive, 3 = neutral / polarising, 4 = negative, 5 = very negative)</t>
  </si>
  <si>
    <t>Votes allocated = the number of overall votes an option received (participants had six votes each to spread out as they saw fit)</t>
  </si>
  <si>
    <t>Least preferred = the number of people who chose this as the option they liked least  (participants could vote for one option only)</t>
  </si>
  <si>
    <t>Leakage 1: Reducing leakage above and beyond the current targets and Leakage 2: Significantly reducing leaks above and beyond current targets by using new approaches</t>
  </si>
  <si>
    <t>Mapping to WRMP priorities</t>
  </si>
  <si>
    <t>WRMP option name</t>
  </si>
  <si>
    <t>Overall score (rescaled1)</t>
  </si>
  <si>
    <t>Overall score (rescaled2)</t>
  </si>
  <si>
    <t>Votes For-Least</t>
  </si>
  <si>
    <t>Votes For-Least (rescaled1)</t>
  </si>
  <si>
    <t>Votes For-Least (rescaled2)</t>
  </si>
  <si>
    <t>Increased metering (not smart meters)</t>
  </si>
  <si>
    <t>AVERAGE(New surface water reservoir,New combined reservoir)</t>
  </si>
  <si>
    <t>AVERAGE(Trading1, Trading2)</t>
  </si>
  <si>
    <r>
      <t>Notes:</t>
    </r>
    <r>
      <rPr>
        <sz val="11"/>
        <rFont val="Calibri"/>
        <family val="2"/>
        <scheme val="minor"/>
      </rPr>
      <t xml:space="preserve"> </t>
    </r>
  </si>
  <si>
    <t>Service levels (from WTP_Core_DCE)</t>
  </si>
  <si>
    <t>WTP (£/hh/yr) (from WTP_Core_DCE)</t>
  </si>
  <si>
    <t>Smart metering service levels and unit values in Wave 2 is taken to be similar to Wave 1 since Smart metering not included in Wave 2 study</t>
  </si>
  <si>
    <t>WTP Core-DCE: Wave 1</t>
  </si>
  <si>
    <t>South Staffs Water</t>
  </si>
  <si>
    <t>Attribute levels</t>
  </si>
  <si>
    <t>NEW</t>
  </si>
  <si>
    <t>Attribute Level WTP Values (£/prop/yr)</t>
  </si>
  <si>
    <t>Total Pot Value (S0 to MAIN LEVEL) (£/year)</t>
  </si>
  <si>
    <t>Unit value (£/unit)</t>
  </si>
  <si>
    <t>Total Pot Value (S0 to S2) (£/year)</t>
  </si>
  <si>
    <t>Attribute Definition</t>
  </si>
  <si>
    <t>Attribute units</t>
  </si>
  <si>
    <t>Group</t>
  </si>
  <si>
    <t>Source: PC Valuation v2.xlsx except where indicated</t>
  </si>
  <si>
    <t>Source: WTP Main Outputs 310118 v2.xlsx/Attribute Grid</t>
  </si>
  <si>
    <t>Main Level for unit val calc - based on W2 Report, Table 3</t>
  </si>
  <si>
    <t>S1 LOW</t>
  </si>
  <si>
    <t>S1 MEAN</t>
  </si>
  <si>
    <t>S1 HIGH</t>
  </si>
  <si>
    <t>S2 LOW</t>
  </si>
  <si>
    <t>S2 MEAN</t>
  </si>
  <si>
    <t>S2 HIGH</t>
  </si>
  <si>
    <t>LOW</t>
  </si>
  <si>
    <t>MEAN</t>
  </si>
  <si>
    <t>HIGH</t>
  </si>
  <si>
    <t xml:space="preserve">Due to contamination, you are unable to drink the water at your property for a period of 2 weeks. </t>
  </si>
  <si>
    <t>Chance</t>
  </si>
  <si>
    <t xml:space="preserve">Private-HH </t>
  </si>
  <si>
    <t>(Unit val: 1 prop)</t>
  </si>
  <si>
    <t>Public-HH</t>
  </si>
  <si>
    <t xml:space="preserve">Private-NHH </t>
  </si>
  <si>
    <t>Public-NHH</t>
  </si>
  <si>
    <t>COMBINED-HH</t>
  </si>
  <si>
    <t>COMBINED-NHH</t>
  </si>
  <si>
    <t>COMBINED-ALL</t>
  </si>
  <si>
    <t>The tap water at your property is discoloured for 24 hours. Running the tap for a few minutes will not remove this discolouration. (You do not know whether it is safe to drink or not until you contact your water company)</t>
  </si>
  <si>
    <t>Your tap water tastes and smells different (e.g of chlorine) for a period of 3 days. (You do not know whether it is safe to drink or not until you contact your water company)</t>
  </si>
  <si>
    <t>Approximately every 3rd property in your water company’s area is served by a lead pipe, most of these are pipes are owned by the customer. (A harmless additive is added to the water supply to ensure the lead pipe poses no risk to health)</t>
  </si>
  <si>
    <t>Hard water causes appliances, taps, tiles, etc to scale which can reduce their usable life. Softening the water is an option but this can alter the taste of your water.</t>
  </si>
  <si>
    <t xml:space="preserve">Unexpected temporary loss of water supply </t>
  </si>
  <si>
    <t xml:space="preserve">There is an unexpected problem with the network, such as a burst main, that means your property is without water for up to 24 hours. </t>
  </si>
  <si>
    <t xml:space="preserve">There is a hosepipe ban in your area for 5 months from May to September. </t>
  </si>
  <si>
    <t>(Unit val: 1%)</t>
  </si>
  <si>
    <t>Drought Restrictions</t>
  </si>
  <si>
    <t xml:space="preserve">HH:Because of a water drought, most of the region would have to get all their water from a standpipe located in your street for between 2 to 4 weeks/NHH:Because of a water drought, your company is only able to use water for essential operational use (e.g no washing of machinery). Most of the companies in the region would have to get all their water for non-essential operations from a standpipe located in their street for between 2 to 4 weeks. </t>
  </si>
  <si>
    <t>(Not in PC Valuation v2.xlsx)</t>
  </si>
  <si>
    <t xml:space="preserve">The water at your property loses pressure a number of times throughout the day and night which reduces the water flow to a slow trickle. </t>
  </si>
  <si>
    <t>A pipe owned by your water company that supplies water to your property bursts and floods the ground floor of your property</t>
  </si>
  <si>
    <t xml:space="preserve">Around 24% (HH) of the water supplied by your water company is lost through leaking pipes. The majority of this is from the water company's pipe network and the rest from the supply pipe that serve customers’ properties (which is the responsibility of the property owner). As new leaks are always appearing they can’t be reduced to 0. </t>
  </si>
  <si>
    <t xml:space="preserve">Water metering </t>
  </si>
  <si>
    <t>The vast majority of business customers and 33%  household customers(SSW)/70% (CW) have a water meter fitted in this region which means they pay just for the water they use. The remaining  properties pay a fixed amount per year depending on the rateable value of their property.</t>
  </si>
  <si>
    <t>Proportion of households</t>
  </si>
  <si>
    <t xml:space="preserve">To help you understand and manage your water consumption your water company is able to give you a water meter reading via a device in your home. </t>
  </si>
  <si>
    <t>Prpoortion of households</t>
  </si>
  <si>
    <t>(NB revised in this workbook to relate to smart metering)</t>
  </si>
  <si>
    <t>Use of renewable energy</t>
  </si>
  <si>
    <t>To pump water to customers’ homes your water company uses a lot of electricity. Currently, 11% of the electricity used by your water company comes from renewable sources - eg solar panels, wind power</t>
  </si>
  <si>
    <t>%energy use from renewables</t>
  </si>
  <si>
    <t xml:space="preserve">Protecting wildlife habitats 
</t>
  </si>
  <si>
    <t>All water companies have a legal duty to protect and improve areas for wildlife and plants in the places where they operate. They currently protect and improve 99 hectares - which is the same areas as 138 football pitches</t>
  </si>
  <si>
    <t>In order to supply customers your water company has to take water from the environment.  This can impact on rivers and streams and the land around them (eg floodplains) in your area. Your water company has a legal duty to restore the river and the wildlife around it in your area.</t>
  </si>
  <si>
    <t xml:space="preserve">Over time pipes need to be repaired or replaced, therefore you encounter road works on your journeys to and from your home. This means you are delayed by 15 minutes each time you travel. Road works are typically in place for 3 days. </t>
  </si>
  <si>
    <t>Private: chance/Public: incidents</t>
  </si>
  <si>
    <t>Unit val: 1 roadwork incident lasting 3 days</t>
  </si>
  <si>
    <t>Only public val used</t>
  </si>
  <si>
    <t>WTP Core-DCE: Wave 2</t>
  </si>
  <si>
    <t>Source: 'WTP (Current Bill)' except where indicated</t>
  </si>
  <si>
    <t>Source: WTP Main Outputs Wave 2 - May 2018.xlsx/Attribute Grid</t>
  </si>
  <si>
    <t xml:space="preserve">Due to contamination, you are unable to drink the water at your property for a period of 3 weeks. </t>
  </si>
  <si>
    <t xml:space="preserve">HH </t>
  </si>
  <si>
    <t>Attribute definition changed from 2 to 3 weeks</t>
  </si>
  <si>
    <t xml:space="preserve">NHH </t>
  </si>
  <si>
    <t>Approximately every 3rd property in your water company’s area is served by a lead pipe, most of these are pipes are owned by the customer. (A harmless additive is added to the water supply to significantly reduce any risk to health from lead pipes)</t>
  </si>
  <si>
    <t>Attribute definition altered from no health risk to almost none</t>
  </si>
  <si>
    <t>Hard water is proven to be good for your health as it has a high mineral content, but it can lead to limescale forming on taps and appliances. Softening the water using a device is an option, but this can also alter the taste of your water and water companies recommend customers still have a unsoftened supply for drinking and cooking.</t>
  </si>
  <si>
    <t>Attribute definition altered to say hard water good for health</t>
  </si>
  <si>
    <t xml:space="preserve">There is an unexpected problem with the network, such as a burst main, that means you are without water at your property for 1-5 hours. </t>
  </si>
  <si>
    <t xml:space="preserve">Attribute definition changed from property  without water for up to 24 hours. </t>
  </si>
  <si>
    <t xml:space="preserve">Around 24% (HH)/20% (NHH) of the water supplied by your water company is lost through leaking pipes. The majority of this is from the water company's pipe network and the rest from the supply pipe that serve customers’ properties (which is the responsibility of the property owner). As new leaks are always appearing they can’t be reduced to 0. </t>
  </si>
  <si>
    <t>The vast majority of business customers and 36%  household customers(SSW)/71% (CW) have a water meter fitted in this region which means they pay just for the water they use. The remaining  properties pay a fixed amount per year depending on the rateable value of their property.</t>
  </si>
  <si>
    <t>Attribute definition changed to 36% and 71%</t>
  </si>
  <si>
    <t>To pump water to customers’ homes your water company uses a lot of electricity. Currently, 11% of the electricity used by your water company comes from renewable sources - eg solar panels, wind power. Note - 1% of its electricity comes from renewable energy sources that the company owns and 10% via the energy provider they are with</t>
  </si>
  <si>
    <t>All water companies have a legal duty to protect and improve areas for wildlife and plants in the places where they operate and ensure no land they operate on is permanently damaged. They currently protect and improve 99 hectares (SSW)/17 ha(CAM)  in the region – which is the same area as 138(SSW)/ 24 football pitches. This is less than 7% (SSW)/12% (CAM)of the area of land in the region that is known to need specific protection from the impacts of all human activity.</t>
  </si>
  <si>
    <t>Attribute definition now mentions % of land managed in context of whole region</t>
  </si>
  <si>
    <t>SSW: Around 50% of the water used in your region is drawn from the River Severn and the Blithefield reservoir which is fed by the river Blithe. Taking water can impact on rivers and streams and the land around them (eg floodplains) and your water company has a legal duty to restore the river and the wildlife around it. Your water company also works actively with farmers/big business to protect water taken by your water company from any harmful run-off (e.g. pesticides and fertilisers being picked up by water into the rivers). CAM: Your water company draws all the water needed by customers from underground water sources. This can impact on rivers and streams and the land around them (eg floodplains) and your water company has a legal duty to restore the river and the wildlife around it. Your water company also works actively with farmers/big business to protect water taken by your water company from any harmful run-off (e.g. pesticides and fertilisers being picked up by water into the rivers).</t>
  </si>
  <si>
    <t>% reduction in run-off</t>
  </si>
  <si>
    <t>Attribute definition now also in context of actively managing land with landowners</t>
  </si>
  <si>
    <t xml:space="preserve">Attribute unit changed from hectare </t>
  </si>
  <si>
    <t>Investing in community projects</t>
  </si>
  <si>
    <t>Educating future generations</t>
  </si>
  <si>
    <t xml:space="preserve">Supporting customers experiencing difficult situations </t>
  </si>
  <si>
    <t xml:space="preserve">Note 1: Drought restrictions, Giving customers control of their water usage and Traffic disruption not included in Wave 2 </t>
  </si>
  <si>
    <t>Note 2: Attribute levels: Wave 1 mid-point is now the best level i.e. Wave 1 S1 level is level S2 in Wave 2 for the following attributes:</t>
  </si>
  <si>
    <t>eg was 'never' in SST, now '1 in 120 yrs'</t>
  </si>
  <si>
    <t>eg was 'never' in CAM, now '1 in 120 yrs'</t>
  </si>
  <si>
    <t>eg was 'never' in SST, now '1 in 25 yrs'</t>
  </si>
  <si>
    <t>e.g. was never in CAM, now in 1 in 65 years</t>
  </si>
  <si>
    <t>Taste and smell</t>
  </si>
  <si>
    <t>eg was in SST, now '1 in 90 yrs'</t>
  </si>
  <si>
    <t>e.g. was never in CAM, now in 1 in 100 years</t>
  </si>
  <si>
    <t>eg was 'never' in SST, now '1 in 105 yrs</t>
  </si>
  <si>
    <t>e.g. was never in CAM, now in 1 in 60 years</t>
  </si>
  <si>
    <t>eg was 'never' in SST, now '1 in 65 yrs</t>
  </si>
  <si>
    <t>e.g. was never in CAM, now in 1 in 30 years</t>
  </si>
  <si>
    <t>eg was '1 in 20 years' in SST, now '1 in 15 yrs</t>
  </si>
  <si>
    <t>eg was '1 in 20 years' in CAM, now '1 in 15 yrs</t>
  </si>
  <si>
    <t>eg was 'never' in SST, now '1 in120 yrs</t>
  </si>
  <si>
    <t>eg was 'never' in CAM, now '1 in120 yrs</t>
  </si>
  <si>
    <t>Different levels for the following attributes:</t>
  </si>
  <si>
    <t xml:space="preserve"> eg was 33% (S0), blank for S1 and 0% (S2) in Wave 1. S1 and S2 in Wave 2 have been changed: 'removed from all properties' to '1 in 5 have lead pipes'</t>
  </si>
  <si>
    <t xml:space="preserve"> eg was 100% (S0), blank for S1 and 0% (S2) in Wave 1. S1 and S2 in Wave 2 have been changed to 50% and 0%</t>
  </si>
  <si>
    <t>e.g. was 70.5 (S0), 35.25(S1) and 17.63 (S2) in Wave 1.</t>
  </si>
  <si>
    <t>e.g. was 13.5 (S0), 6.75(S1) and 3.38 (S2) in Wave 1.</t>
  </si>
  <si>
    <t>e.g. was33 (S0), 65(S1) and 90 (S2) in Wave 1.</t>
  </si>
  <si>
    <t>No change in CAM</t>
  </si>
  <si>
    <t>e.g. was 11 (S0), 30(S1) and 50 (S2) in Wave 1.</t>
  </si>
  <si>
    <t>e.g. was 0(S0),19(S1) and 30(S2)</t>
  </si>
  <si>
    <t>e.g. was 0(S0),6(S1) and 10(S2)</t>
  </si>
  <si>
    <t>This attribute has quite different levels compared to wave one - the previous units have been left here, but they may need to be reviewed.  The wave two indicated reducing run-off by 25% and 50% for both SSW and CAM</t>
  </si>
  <si>
    <t>Mapping to WRMP option names</t>
  </si>
  <si>
    <t>WTP values (£/hh/yr)</t>
  </si>
  <si>
    <t>Derived priority index 1</t>
  </si>
  <si>
    <t>Derived priority index</t>
  </si>
  <si>
    <t>S0 - S2</t>
  </si>
  <si>
    <t xml:space="preserve">NOTE: Derived priority index is based on the assumption that the WRMP options are equivalent to the S0 to S2 improvement for the corresponding attribute. The Derived priority index is divided by the bill impact per customer for moving from S0 to S2 so as to translate it to a benefit-cost ratio. </t>
  </si>
  <si>
    <t>WTP Core-DCE: Wave 2: Low Bill</t>
  </si>
  <si>
    <t xml:space="preserve">Source: 'WTP (Low Bill)' </t>
  </si>
  <si>
    <t>WTP Core-MaxDiff</t>
  </si>
  <si>
    <t>MaxDiff utility index (for S0 to S2 improvement)</t>
  </si>
  <si>
    <t>Source: WTP Main Outputs 310118 v2.xlsx/"WTP Output Tables" and 0721 South Staffs technical report 130218 DF.docx (Fig 1 and Fig 2)</t>
  </si>
  <si>
    <t/>
  </si>
  <si>
    <t>MaxDiff Priorities index</t>
  </si>
  <si>
    <t>Raw</t>
  </si>
  <si>
    <t>Scaled</t>
  </si>
  <si>
    <t xml:space="preserve">NOTE: Derived priority index is based on the assumption that the WRMP options are equivalent to the S0 to S2 improvement for the corresponding attribute. The Derived priority index is multiplied by the bill impact per customer for moving from S0 to S2 in order to make the WRMP and WTP measures more comparable. </t>
  </si>
  <si>
    <t>Mapping to WTP values-HH</t>
  </si>
  <si>
    <t>Original name</t>
  </si>
  <si>
    <t>Taste and smell of  water</t>
  </si>
  <si>
    <t xml:space="preserve">Leakage </t>
  </si>
  <si>
    <t>Renewables</t>
  </si>
  <si>
    <t>1% Increase</t>
  </si>
  <si>
    <t>Average</t>
  </si>
  <si>
    <t>Mapping to WTP values-NHH</t>
  </si>
  <si>
    <t>Note: Service levels and unit values for Smart metering, drought restrictions and Traffic disruption assumed to be similar across Wave 1 and 2 since these attributes were not included in Wave 2</t>
  </si>
  <si>
    <t>average</t>
  </si>
  <si>
    <t>% converted to £ using data on Average NHH bill amount for SSW</t>
  </si>
  <si>
    <t>South Staff Water customers (718 customers)</t>
  </si>
  <si>
    <t>Cambridge Water customers (309 customers)</t>
  </si>
  <si>
    <t>Source: Priorities online survey (SSW) All responses 31.1.18.xlsx(1)</t>
  </si>
  <si>
    <t>Source: PJM analysis of SSW data, 3178m_PrioritiesScale.xlsx</t>
  </si>
  <si>
    <t>NEW Year 2 Priority score (informed)</t>
  </si>
  <si>
    <t>NEW Year 1 Priority score (informed)</t>
  </si>
  <si>
    <t>Source: Priorities online survey (CAM) All responses 31.1.18.xlsx</t>
  </si>
  <si>
    <t>Q16. Which do you think are the most important areas that SSW/CW should be concentrating on in the next 5-10 years. Please rank your top 3 areas.</t>
  </si>
  <si>
    <t>1st</t>
  </si>
  <si>
    <t>2nd</t>
  </si>
  <si>
    <t>3rd</t>
  </si>
  <si>
    <t>Rank-ordered logit coef.</t>
  </si>
  <si>
    <t>Exp(coef)</t>
  </si>
  <si>
    <t>Priorities scale</t>
  </si>
  <si>
    <t>Input: 3410m_ScoresRanksTests.xlsx</t>
  </si>
  <si>
    <t>Year 2 Priority score (informed)</t>
  </si>
  <si>
    <t>Year 1 Priority score (informed)</t>
  </si>
  <si>
    <t>Providing a high quality water supply that is always safe to drink</t>
  </si>
  <si>
    <t>Reliability</t>
  </si>
  <si>
    <t>They make sure your household receives water supplies that are high quality and always safe to drink</t>
  </si>
  <si>
    <t>Making sure water always comes out of the tap - ie no supply interruptions</t>
  </si>
  <si>
    <t>Affordability</t>
  </si>
  <si>
    <t>They keep the cost of water affordable for customers, today, tomorrow and long into the future</t>
  </si>
  <si>
    <t xml:space="preserve">They quickly repair and replace their network of pipes as needed to reduce the amount of water lost each day through leaks </t>
  </si>
  <si>
    <t>Offering fair and accurate billing</t>
  </si>
  <si>
    <t>Planning</t>
  </si>
  <si>
    <t>They have detailed plans in place to make sure drinking water always comes out of your taps – today, tomorrow and long into the future</t>
  </si>
  <si>
    <t>Offering great customer service</t>
  </si>
  <si>
    <t>Educating customers on how to use water more responsibly (and save money)</t>
  </si>
  <si>
    <t>Notification</t>
  </si>
  <si>
    <t xml:space="preserve">They will always tell you if your water supply is to be cut off temporarily and/or if there is an issue with the quality of your water </t>
  </si>
  <si>
    <t>WaterResources</t>
  </si>
  <si>
    <t xml:space="preserve">They actively protect the environment by not taking too much water from rivers and underground water sources and working with landowners and farmers to ensure water sources are not damaged by any pollution </t>
  </si>
  <si>
    <t>Keeping customers regularly updated about our plans and how changes might impact on them</t>
  </si>
  <si>
    <t>BillSupport</t>
  </si>
  <si>
    <t>They provide extra support for customers who are struggling to pay their bills – for example, discounted bills or payment breaks</t>
  </si>
  <si>
    <t>Reducing the amount of water that leaks from our pipes</t>
  </si>
  <si>
    <t>They make sure your household is not impacted by the effects of hard water - for example, limescale in your appliances and taps, or particles/scum floating in the water when you make a drink</t>
  </si>
  <si>
    <t>Recycling</t>
  </si>
  <si>
    <t xml:space="preserve">They pro-actively work with households and developers to adopt approaches to re-use water – i.e. rainwater harvesting and ‘grey’ water recycling, where less treated water is used for activities like watering the garden and flushing the toilets </t>
  </si>
  <si>
    <t>Pressure</t>
  </si>
  <si>
    <t>The water always comes out the taps at a pressure that does not impact on your daily routine</t>
  </si>
  <si>
    <t>Ensuring we manage our company finances carefully</t>
  </si>
  <si>
    <t>Sustainability</t>
  </si>
  <si>
    <t>They focus on becoming a sustainable business that reduces the environmental impact of its operations - for example, reducing carbon emissions, waste that goes to landfill and single use plastics</t>
  </si>
  <si>
    <t>Having plans in place to ensure we have enough water for a growing population</t>
  </si>
  <si>
    <t>ServiceSupport</t>
  </si>
  <si>
    <t>They provide support for customers who need extra help accessing their services – for example, delivering bottled water if the water is cut off or braille bills</t>
  </si>
  <si>
    <t>Investing in new technology and ways of working that help customers better control their water usage: such as smart meters &amp; apps</t>
  </si>
  <si>
    <t>The water always comes out of the taps at a pressure that does not impact on the way you use water at home – e.g. taking a shower/bath, using a hose</t>
  </si>
  <si>
    <t>They provide extra support for customers who need more help accessing their services – for example, delivering bottled water if the water is cut off or braille bills</t>
  </si>
  <si>
    <t>AccurateBills</t>
  </si>
  <si>
    <t>They have accurate bills that are clear making it easy to understand what you are being charged for, how much you owe and what action you need to take next.</t>
  </si>
  <si>
    <t>Making sure we balance offering affordable bills against the need to invest in our network for the long-term</t>
  </si>
  <si>
    <t>QuickResolution</t>
  </si>
  <si>
    <t xml:space="preserve">They are easy to deal with by quickly and effectively resolving any queries you have about your water services </t>
  </si>
  <si>
    <t>Managing the impact of climate change – such as increased heavy rainfall leading to flooding, burst pipes due to extreme temperatures</t>
  </si>
  <si>
    <t>Protecting and improving the natural environment for wildlife and plants</t>
  </si>
  <si>
    <t>LocalEnvironment</t>
  </si>
  <si>
    <t>They improve the environment in the areas they supply, by offering grants to support local projects that improve natural habitats – i.e. trees, plants and animals</t>
  </si>
  <si>
    <t>Installing systems that capture rainwater and non-toxic used water for use in flushing toilets and the garden</t>
  </si>
  <si>
    <t>Assisting more customers who need extra support the most: financial and/or special services</t>
  </si>
  <si>
    <t>Incentives</t>
  </si>
  <si>
    <t xml:space="preserve">They provide incentives to customers who use less water – for example, tariffs that are lower if you use water outside of times of peak demand </t>
  </si>
  <si>
    <t>Reducing our carbon footprint (i.e. using less electricity)</t>
  </si>
  <si>
    <t>MeterReadings</t>
  </si>
  <si>
    <t xml:space="preserve">They provide customers with meter readings on a regular basis (at least quarterly) to allow them to monitor and better understand how much water they use </t>
  </si>
  <si>
    <t>Ensuring the water always tastes and smells good</t>
  </si>
  <si>
    <t>WaysToContact</t>
  </si>
  <si>
    <t xml:space="preserve">They provide a wide range of ways to contact and interact with them so that any customer can easily access their services and support – e.g. face-to-face, phone, website, webchat, e-mail, mobile APP, letter. </t>
  </si>
  <si>
    <t>Education</t>
  </si>
  <si>
    <t>They work closely with primary, secondary schools and higher education bodies to educate young people about the value of conserving and re-using water</t>
  </si>
  <si>
    <t>Making sure the water is never discoloured / cloudy / has particles in it</t>
  </si>
  <si>
    <t xml:space="preserve">They provide a wide range of ways to contact and interact with them that meet all types of customers’ needs </t>
  </si>
  <si>
    <t>MeterInstalls</t>
  </si>
  <si>
    <t xml:space="preserve">They ensure that all customers who want a water meter are able to have one installed </t>
  </si>
  <si>
    <t>Making sure the water does not causes appliances, taps, tiles, etc to scale - which can reduce their usable life</t>
  </si>
  <si>
    <t>Website</t>
  </si>
  <si>
    <t xml:space="preserve">They have a website that allows you to find the answer to any queries quickly and easily </t>
  </si>
  <si>
    <t>Ensuring your water pressure is not too high or low (e.g. a slow dripping tap)</t>
  </si>
  <si>
    <t>Community</t>
  </si>
  <si>
    <t>They provide financial grants and/or sponsorship and their employees spend time volunteering to support local community schemes in the areas they supply</t>
  </si>
  <si>
    <t>Ensuring we minimise traffic disruption caused by repairing our network of pipes</t>
  </si>
  <si>
    <t>Removing all lead pipes from the water network (a harmless additive is added to the water to ensure lead pipes pose no risk to health)</t>
  </si>
  <si>
    <t>Making sure we fix all leaks as quickly as possible</t>
  </si>
  <si>
    <t xml:space="preserve">(1) The data was weighted based age and gender breakdown (of All bill payers (Customer Services Tracker)) provided by SSW </t>
  </si>
  <si>
    <t>Priorities index</t>
  </si>
  <si>
    <t>Water Hardness</t>
  </si>
  <si>
    <t>Note:</t>
  </si>
  <si>
    <t>Average(WTP Wave1 Unit value scaled, WTP Wave 2 Unit value scaled)</t>
  </si>
  <si>
    <t>Traffic disruption was not included in the WTP Wave 2 study so we set it's unit value in WTP Wave 2 =it's unit value in WTP Wave 1</t>
  </si>
  <si>
    <t>Note</t>
  </si>
  <si>
    <t>South Staffs Water HH</t>
  </si>
  <si>
    <t>Source: "SSC PR24 triangulation workbook for Impact - Oct 2022 V1.xlsx", Sheet: SSC WTP attributes</t>
  </si>
  <si>
    <t>Source: "SSW Excel spreadsheet ‘Triangulation approach with BAU - SY data incl Unw Feb18 (for Accent)’", Sheet: Attributes (CAM)</t>
  </si>
  <si>
    <t>Column AT</t>
  </si>
  <si>
    <t>Column AU</t>
  </si>
  <si>
    <t>Column AV</t>
  </si>
  <si>
    <t>WTP service levels</t>
  </si>
  <si>
    <t>THESE ARE ALL PR19 LEVELS</t>
  </si>
  <si>
    <t>Column AO</t>
  </si>
  <si>
    <t>Numerator of column AR</t>
  </si>
  <si>
    <t>Numerator of column AT</t>
  </si>
  <si>
    <t>Attributes (Contacts)</t>
  </si>
  <si>
    <t>Number of wholesale contacts 12 months to Sept 2022 (all channels)</t>
  </si>
  <si>
    <t>Number of wholesale contacts 12 months to Sept 2021 (all channels)</t>
  </si>
  <si>
    <t>Number of wholesale contacts 12 months to Sept 2020 (all channels)</t>
  </si>
  <si>
    <t>Total Number of contacts over 3 years</t>
  </si>
  <si>
    <t>Number of properties affected per year (based on WTPCore DCE, Combined-HH)</t>
  </si>
  <si>
    <t xml:space="preserve">Total Number of properties affected  over 3 years </t>
  </si>
  <si>
    <t>Contacts per 1,000 properties affected (averaged over 3 years)</t>
  </si>
  <si>
    <t>Number of unwanted contacts YTD (Apr17-Feb18)</t>
  </si>
  <si>
    <t>Number of unwanted contacts Feb YTD 2016/17</t>
  </si>
  <si>
    <t>Number of unwanted contacts  Feb YTD 2015/16</t>
  </si>
  <si>
    <t>Total Number of unwanted contacts over 2 years</t>
  </si>
  <si>
    <t xml:space="preserve">Total Number of properties affected  over 2 years </t>
  </si>
  <si>
    <t>Unwanted contacts per 1,000 properties affected (averaged over 2 years)</t>
  </si>
  <si>
    <t>Tarffic / roadworks disruption</t>
  </si>
  <si>
    <t>Leakage levels (Company pipes)</t>
  </si>
  <si>
    <t>We assume that the number of affected properties reported in the WTP Core DCE reasearch is based on a 3 year average</t>
  </si>
  <si>
    <t>Number of unwanted contacts  Feb YTD 2015/16 is not available for CAM</t>
  </si>
  <si>
    <t>Unit impact index (from above)</t>
  </si>
  <si>
    <t>Impact index (S0 to S2)</t>
  </si>
  <si>
    <t>Attributes (WTPCore)</t>
  </si>
  <si>
    <t>SSC P24 triangulation workbook for Impact - Oct 2022 V1.xlsx</t>
  </si>
  <si>
    <t>WTP service levels DCE2</t>
  </si>
  <si>
    <t>WTP CORE DCE2 VALUES  (£/hh/yr)</t>
  </si>
  <si>
    <t xml:space="preserve">FCR score - strength of link between FCR and c.sat </t>
  </si>
  <si>
    <t>Unit impact index</t>
  </si>
  <si>
    <t>Derived unit value</t>
  </si>
  <si>
    <t>Overall satisfaction coef.</t>
  </si>
  <si>
    <t>MODEL 3: Impact of service failures on overall satisfaction</t>
  </si>
  <si>
    <t>Source: "SSC P24 triangulation workbook for Impact - Oct 2022 V1.xlsx", Sheet: SSC WTP attributes, Column R</t>
  </si>
  <si>
    <t>Source:3061 HH regression - All models including regional models v2.xlsx, Sheet: CAM- Model 3 (Sat)</t>
  </si>
  <si>
    <t>Unusual taste or smell</t>
  </si>
  <si>
    <t>Interruption to your supply</t>
  </si>
  <si>
    <t>Persistent low pressure</t>
  </si>
  <si>
    <t>Water leak in local area</t>
  </si>
  <si>
    <t>Poor customer service</t>
  </si>
  <si>
    <t>CustService</t>
  </si>
  <si>
    <t>Overall Satisfaction: The coefficient is the predicted increase in overall satisfaction (scale: 1-5) due to experiencing a service failure of the type in question</t>
  </si>
  <si>
    <t xml:space="preserve">Coefficient in red set to zero due to apparent positive impact on satisfaction </t>
  </si>
  <si>
    <t>We do not consider 'Water leak in local area' because the unit (ML/D) is not mappable to household experience.</t>
  </si>
  <si>
    <t>We do not consider 'Poor customer service' because this was not one of the core WTP attributes.  However, it is worth noting that this has the highest impact on satisfaction in case of SSW. For Cambridge, nobody was dissatisfied with customer service hence dropped from regression.</t>
  </si>
  <si>
    <t>Main Output</t>
  </si>
  <si>
    <t>Attributes (CST)</t>
  </si>
  <si>
    <t>Attribute definitions (WTPCore)</t>
  </si>
  <si>
    <t>PC slider</t>
  </si>
  <si>
    <t>Inputs</t>
  </si>
  <si>
    <t>Lowest bill amount for Protecting wildlife</t>
  </si>
  <si>
    <t>Highest service level for Protecting wildlife (ha)</t>
  </si>
  <si>
    <t xml:space="preserve">Lowest service level Protecting wildlife (ha) </t>
  </si>
  <si>
    <t>Lowest bill leakage</t>
  </si>
  <si>
    <t>Highest service level leakage (ml/day)</t>
  </si>
  <si>
    <t>Lowest service level leakage (ml/day)</t>
  </si>
  <si>
    <t>Lowest bill amount for Interruptions</t>
  </si>
  <si>
    <t>Highest service level for Interruptions (minutes)</t>
  </si>
  <si>
    <t xml:space="preserve">Lowest service level for Interruptions (minutes) </t>
  </si>
  <si>
    <t>Unique ID</t>
  </si>
  <si>
    <t>Protecting wildlife bill amount chosen (£/hh/year)</t>
  </si>
  <si>
    <t>Protecting wildlife service level chosen (hectare)</t>
  </si>
  <si>
    <t>Protecting wildlife_WTP (£/hh/year/hectare)</t>
  </si>
  <si>
    <t>Leakage levels bill amount chosen (£/hh/year)</t>
  </si>
  <si>
    <t>Leakage service level chosen (ml/day)</t>
  </si>
  <si>
    <t>Leakage_WTP (£/hh/year/ml/day)</t>
  </si>
  <si>
    <t>Interruptions to water supply bill amount chosen (£/hh/year)</t>
  </si>
  <si>
    <t>Interruptions to water supply service level chosen (average minutes)</t>
  </si>
  <si>
    <t>Interruptions_WTP (£/hh/year/minutes)</t>
  </si>
  <si>
    <t>Protecting wildlife service level chosen</t>
  </si>
  <si>
    <t>Protecting wildlife_WTP</t>
  </si>
  <si>
    <t xml:space="preserve">Average </t>
  </si>
  <si>
    <t>Note: 240 SSW and 86 CAM respondents who chose the baseline levels for all the attributes dropped from our analysis</t>
  </si>
  <si>
    <t>Unit WTP (from above)</t>
  </si>
  <si>
    <t>WTP (S0 to S2)</t>
  </si>
  <si>
    <t>Protecting wildlife</t>
  </si>
  <si>
    <t>Leakage levels</t>
  </si>
  <si>
    <t>ML/day</t>
  </si>
  <si>
    <t>Interruptions to water supply</t>
  </si>
  <si>
    <t>Attributes (Slider)</t>
  </si>
  <si>
    <t>Attribute definition (Slider)</t>
  </si>
  <si>
    <t>All water companies have a legal duty to protect and improve areas for wildlife and plants in the places where they operate and ensure no land they operate on is permanently damaged. We currently manage 116 hectares (the same area as 162 football pitches) across both regions, which currently goes beyond the legal minimum we are required to carry out. We can go even further and actively manage more of the areas we work in and also focus the majority of our activity on managing areas where endangered or under threat species are growing/living.</t>
  </si>
  <si>
    <t>We can continue to tackle leakage from our network of pipes. We currently lose 24% of the water we supply every day in the South Staffs region and 18% in the Cambridge region. The national average of all water companies is 19%. Around 70% of leaks occur on our pipes and 30% from customers’ supply pipes which are their own responsibility to fix.</t>
  </si>
  <si>
    <t>Each year we count the number of times a customers’ property suffers a loss of water supply for more than 3 hours. Most customers will not be affected by this in any year. In 2017 the average interruption time across both regions was 5 minutes, with the average time across all water companies being 10 minutes and the best performing being just short of 2 minutes.</t>
  </si>
  <si>
    <t xml:space="preserve">SSW PR14 WTP </t>
  </si>
  <si>
    <t>Unit WTP values-Aggregate (2014 prices)</t>
  </si>
  <si>
    <t>Units of measurement</t>
  </si>
  <si>
    <t>SSW1-Table 3.2</t>
  </si>
  <si>
    <t>SSW1-Figure 6.5,6.7 (Annual % WTP per business) and 0721 South Staffs technical report 120117 DF.docx Fig 10 and 11</t>
  </si>
  <si>
    <t>SSW1-Table 6.4 and Table 6.6</t>
  </si>
  <si>
    <t xml:space="preserve"> </t>
  </si>
  <si>
    <t>Taste and smell of tap water</t>
  </si>
  <si>
    <t>Dissolved minerals in drinking water can affect taste and smell. This may be caused by the treatment of the water. When this occurs water has a taste and smell that is not ideal for a week at a time, but it is safe to drink. The problem is persistent, which means that it will occur regularly. Running the tap for several minutes does not remove the taste or smell. Different properties are affected each year.</t>
  </si>
  <si>
    <t>Number of properties</t>
  </si>
  <si>
    <t>Per property per year</t>
  </si>
  <si>
    <t>Discoloured tap water</t>
  </si>
  <si>
    <t>Water is discoloured for a week at a time without warning. Usually the tap water is brown in colour. Although this is very unlikely to be harmful to your health, you may choose not to drink it. It can also stain clothes in washing machines.Running the tap for several minutes will not remove the discolouration.Discolouration occurs due to water mains pipes being repaired or because of rust occurring over time in some pipes that are made from iron.</t>
  </si>
  <si>
    <t>Water hardness (very hard)</t>
  </si>
  <si>
    <t xml:space="preserve">The water at your property is hard causing lime scale.• Hard water contains minerals and is caused by the natural minerals in the source of the water; Lime scale may build up on appliances like kettles, washing machines and boilers and machines affecting businesses.
</t>
  </si>
  <si>
    <t>Remove very hard water</t>
  </si>
  <si>
    <t>Water hardness (moderately hard)</t>
  </si>
  <si>
    <t>Remove moderately hard water</t>
  </si>
  <si>
    <t>Unexpected supply interruption lasting 3 to 6 hours</t>
  </si>
  <si>
    <t>If this occurs the affected properties will be without water for 3 to 6 hours.</t>
  </si>
  <si>
    <t>• This may happen without warning because of a burst pipe, a problem with a water treatment works or repairs are needed.</t>
  </si>
  <si>
    <t>• The interruption could happen at any time of day or night.</t>
  </si>
  <si>
    <t>Unexpected supply interruption lasting 0 to 3 hours</t>
  </si>
  <si>
    <t>• Different properties are affected each year.</t>
  </si>
  <si>
    <t>Unexpected supply interruption lasting 6 to 12 hours</t>
  </si>
  <si>
    <t>Unexpected supply interruption lasting 12 to 24 hours</t>
  </si>
  <si>
    <t>Unexpected supply interruption lasting 24 to 48 hours</t>
  </si>
  <si>
    <t>Hosepipe /Temporary use ban</t>
  </si>
  <si>
    <t xml:space="preserve">• A ban on using the hose pipe that would typically last for 5 months beginning in May and ending in September. • Under a hosepipe ban, customers are not allowed to use a hosepipe to:
• Water a garden
• Clean a car or van
• Fill or maintain a swimming or paddling pool or ornamental fountain
• Clean outdoor surfaces (e.g. paths or patios)
• The last hosepipe ban in the South Staffs Water region occurred in 1976
</t>
  </si>
  <si>
    <t>Chance that a ban will be required in any one year</t>
  </si>
  <si>
    <t>1% change in likelihood</t>
  </si>
  <si>
    <t>Non-essential use ban</t>
  </si>
  <si>
    <t xml:space="preserve">This ban needs Government approval. It is introduced after a hosepipe ban for households.• Under a non-essential use ban, business customers are not allowed to use a hosepipe to:
• Water outdoor plants on commercial premises; Clean any vehicle, boat, aircraft or railway rolling stock; Clean the exterior of buildings, windows and industrial plant or use water to suppress dust.
• Business customers are also not allowed to:
• Fill or maintain a swimming or paddling pool; Fill or maintain a pond that is for ornamental use; Operate a mechanical vehicle-washer; or Operate an automatic flushing cistern (WC or urinal) in any building that is unoccupied and closed.
</t>
  </si>
  <si>
    <t xml:space="preserve">Low water pressure affects the taps, showers and boilers at properties. This means water runs slower and is less forceful.• Some properties can be affected by persistent low pressure, which means that this occurs all the time or regularly.
• Examples include this happening at weekday breakfast times or at some properties at the top of tall buildings or on hills.
</t>
  </si>
  <si>
    <t>Deteoriation in levels considered</t>
  </si>
  <si>
    <t xml:space="preserve">Deteoriation in levels </t>
  </si>
  <si>
    <t>NA</t>
  </si>
  <si>
    <t>1 property</t>
  </si>
  <si>
    <t>N/A</t>
  </si>
  <si>
    <t xml:space="preserve">Flood water gets into people’s properties due to failure of water company pipes and pumps. An example is burst water pipes. • This is not flooding from rivers or rain water.
• The flood water may contain dirt and debris from the ground &amp; carpets and furniture may need to be replaced.
• Different properties are affected each year &amp; this could happen anywhere.
</t>
  </si>
  <si>
    <t>Internal sewer flooding</t>
  </si>
  <si>
    <t>Leaks occur due to cracks in pipes or corrosion as they age. South Staffs Water can reduce leakage by investing to find the leaks faster and repairing them quicker. South Staffs Water can minimise the disruption by using technology that avoids digging up roads. Reducing leakage will have minimal impact on the environment.</t>
  </si>
  <si>
    <t>The amount of water lost through leaks each year. Number of properties that could be supplied</t>
  </si>
  <si>
    <t>Per property supplied</t>
  </si>
  <si>
    <t>Pollution incidents</t>
  </si>
  <si>
    <t xml:space="preserve">Pollution incidents on rivers and streams in your area, caused by South Staffs Water.• Pollution incidents can happen from time to time due to accidents or equipment failures involving chemicals used to treat the water.
• The impact is localised, minimal and temporary, allowing the rivers to return to their previous quality within days.
• For example fewer than 10 fish will typically be killed and it will still be possible to use the river for recreation.
</t>
  </si>
  <si>
    <t>Chance of an incident</t>
  </si>
  <si>
    <t>1 in 10 years</t>
  </si>
  <si>
    <t>1 in 15 years</t>
  </si>
  <si>
    <t>1 in 20 years</t>
  </si>
  <si>
    <t>1% change per year</t>
  </si>
  <si>
    <t>River Flows</t>
  </si>
  <si>
    <t>% miles experience low flow</t>
  </si>
  <si>
    <t>9.1% (31 miles)</t>
  </si>
  <si>
    <t>6% (20 miles)</t>
  </si>
  <si>
    <t>0% (0 miles)</t>
  </si>
  <si>
    <t xml:space="preserve">The water environment is impacted by South Staffs Water as well as other sectors, including farming and industry.• Removal of water for drinking water supply can cause low water levels and flow in rivers and streams.
• This can cause an adverse impact on visual amenity, recreational use of the river and habitats for plants and wildlife.
• South Staffs Water can invest to reduce this impact, which can contribute to an overall improvement in the quality of the river environment.
</t>
  </si>
  <si>
    <t>WTP (%/ business/yr)</t>
  </si>
  <si>
    <t>NB Leakage not included because units are not comparable</t>
  </si>
  <si>
    <t>External PR14 WTP Studies (1)</t>
  </si>
  <si>
    <t>Source: 1406 WTP_Comparisons_v4.docx(Tables 2-9 and 11-13)</t>
  </si>
  <si>
    <t xml:space="preserve">Attribute / Company </t>
  </si>
  <si>
    <t>Definition</t>
  </si>
  <si>
    <t>Unit value (£/unit) (in 2014 prices)</t>
  </si>
  <si>
    <t>TOTAL</t>
  </si>
  <si>
    <t>Discoloured water at your property for a week at a time, but safe to drink. Running the tap for several minutes will not remove the discolouration.</t>
  </si>
  <si>
    <t>1 property affected by 1 discoloured water incident (1 week)</t>
  </si>
  <si>
    <t>Water occasionally looks brown when it comes out of the tap due to natural materials not being removed by the treatment process, or due to rust and sediments in the pipe network. Any property can potentially be affected.</t>
  </si>
  <si>
    <t>Discoloured water at your property for a couple of hours at a time.</t>
  </si>
  <si>
    <t>1 property affected by 1 discoloured water incident (2 hours)</t>
  </si>
  <si>
    <t>Tap water occasionally looks brown due to natural materials not being removed by the treatment process, or due to rust and sediments in the pipe network. Although this is very unlikely to be harmful, you may feel that you don’t want to drink it. It can also stain clothes in washing machines. Discoloured water problems typically last for a couple of hours at a time.</t>
  </si>
  <si>
    <t xml:space="preserve">Tap water occasionally looks brown due to natural materials not being removed by the treatment process, or due to rust and sediments in the pipe network. Although this is very unlikely to be harmful, you may feel that you don’t want to drink it. It can also stain clothes in washing machines. Discoloured water problems typically last for a couple of hours at a time. </t>
  </si>
  <si>
    <t xml:space="preserve">Tap water may occasionally be discoloured although running the tap for several minutes will often cause the problem to go away. When it occurs, this problem usually lasts a couple of hours, but occasionally the problem can last for a few days. Although the water is unlikely to be harmful, you may not want to use it in your household. Tap water may occasionally be discoloured although running the tap for several minutes will often cause the problem to go away. When it occurs, this problem usually lasts a couple of hours, but occasionally the problem can last for a few days. Although the water is unlikely to be harmful, you may not want to use it in your household. </t>
  </si>
  <si>
    <t>Discoloured water at your property for a week at a time.</t>
  </si>
  <si>
    <t xml:space="preserve">Tap water occasionally looks brown due to natural materials not being removed by the treatment process, or due to rust and sediments in the pipe network. Although this is very unlikely to be harmful, you may feel that you don’t want to drink it. It can also stain clothes in washing machines. </t>
  </si>
  <si>
    <t>Discoloured water at your property for up to 24 hours at a time.</t>
  </si>
  <si>
    <t>1 property affected by 1 discoloured water incident (Up to 24h)</t>
  </si>
  <si>
    <t>Tap water is occasionally discoloured but is very unlikely to be harmful when drunk. It would also be safe: for preparing food and cleaning your teeth, for pets to drink, for washing and bathing, and for toilet flushing. A discoloured water problem would typically last for up to 24 hours at a time. It could discolour your washing. Running the tap for several minutes will not remove the discolouration.</t>
  </si>
  <si>
    <t>Discoloured water lasting for a week at a time</t>
  </si>
  <si>
    <t>On rare occasions, the water may be discoloured. Although it is unlikely to be harmful to health, we wouldn’t expect anyone to drink it when it looks unpleasant. You could still use your tap water for preparing food. You could still use your tap water for cleaning your teeth. Your pets could still drink the tap water and you could still use your tap water for washing and bathing. You could still use your tap water for toilet flushing. Even if you were to run your tap for several minutes, the water would still be brown/discoloured.</t>
  </si>
  <si>
    <t>The water is discoloured at a property for a day at a time.</t>
  </si>
  <si>
    <t>1 property affected by 1 discoloured water incident (1 day)</t>
  </si>
  <si>
    <t>Running the tap for several minutes will not remove the discolouration. Tap water may not be safe to drink. Discolouration can occur due to ageing pipes or as a result of the source of water.</t>
  </si>
  <si>
    <t>Water is discoloured for a week at a time without warning. Usually the tap water is brown in colour. Although this is very unlikely to be harmful to your health, you may choose not to drink it. It can also stain clothes in washing machines. Running the tap for several minutes will not remove the discolouration. Discolouration occurs due to water mains pipes being repaired or because of rust occurring over time in some pipes that are made from iron.</t>
  </si>
  <si>
    <t xml:space="preserve">The water is discoloured at your property for a few hours at a time, but is safe to drink. Running the tap for several minutes will not remove the discolouration. </t>
  </si>
  <si>
    <t>1 property affected by 1 discoloured water incident (Few hours)(2)</t>
  </si>
  <si>
    <t>Temporary discolouring of the water at your property for a few hours at a time because of ageing water mains. This would not be removed by running the tap for several minutes, but the water is safe to drink.</t>
  </si>
  <si>
    <t>The water is discoloured at your property for a few hours at a time, but is safe to drink. Running the tap for several minutes will not remove the discolouration.</t>
  </si>
  <si>
    <t>1 property affected by 1 discoloured water incident (Few hours)(3)</t>
  </si>
  <si>
    <t>Not reported.</t>
  </si>
  <si>
    <t>1 property affected by 1 discolouration water incident (3)</t>
  </si>
  <si>
    <t>Water can appeared discoloured without warning. Usually the tap water is brown in colour. Although this is very unlikely to be harmful to your health, you may choose not to drink it. It can also stain clothes in washing machines. Running the tap for several minutes will not remove the discolouration. Discolouration occurs because of rust occurring over time in some pipes that are made from iron or when water mains pipes are repaired.</t>
  </si>
  <si>
    <t>Water taste and odour not ideal at your property for a day at a time, but safe to drink.</t>
  </si>
  <si>
    <t>1 property affected by 1 taste and smell incident (1 day)</t>
  </si>
  <si>
    <t>We add chlorine to water as part of its treatment process. At some properties, the taste and smell of chlorine can be quite strong, although if a jug of water is left in the fridge for a couple of hours it will return to normal. Any property can potentially be affected.</t>
  </si>
  <si>
    <t>Water taste and smell not ideal at your property for a day at a time, but safe to drink.</t>
  </si>
  <si>
    <t>We make water safe to drink by adding a small amount of chlorine as part of its treatment process. Some customers may find the taste and smell of chlorine too strong for them depending on the level in the water and their sensitivity to it. The water is safe to drink, to use when preparing food or brushing your teeth, for washing and bathing and for toilet flushing. If a jug of tap water is left in the fridge for a couple of hours, any chlorine smell or taste will disappear. Water taste and smell problems typically last a day at a time.</t>
  </si>
  <si>
    <t>We add a small amount of chlorine to water as part of its treatment process. At some properties, the taste and smell of chlorine can be quite strong, although if a jug of water is left in the fridge for a couple of hours it will return to normal. The water is safe to drink, to use when preparing food or brushing your teeth, for washing and bathing and for toilet flushing. The time that taste and smell problems last depends on the person’s sensitivity to chlorine – some will always be aware of the issue, others may only experience it temporarily when there is a change in the water that is supplied to them.</t>
  </si>
  <si>
    <t>Taste and smell of water not appealing at your property.</t>
  </si>
  <si>
    <t>Tap water can also sometimes have a taste and smell that is not appealing due to the chlorine that we add to water as part of its treatment process. It is very unlikely to be harmful when drunk. It would also be safe for preparing food and cleaning your teeth, for pets to drink, for washing and bathing, and for toilet flushing. Taste and smell problems typically last for 24 hours at a time. The taste and smell of chlorine in tap water will reduce significantly if the water is left overnight in a jug in the fridge.</t>
  </si>
  <si>
    <t>1 property affected by 1 taste and smell incident (1 week)</t>
  </si>
  <si>
    <t xml:space="preserve">The taste and odour of water at your property is not ideal for a few days at a time, but is safe to drink. </t>
  </si>
  <si>
    <t>1 property affected by 1 taste and smell incident (Few hours) (2)</t>
  </si>
  <si>
    <t>Water taste and odour at your property that is not ideal for a few days at a time because of dissolved minerals and gases, but the water is safe to drink.</t>
  </si>
  <si>
    <t>1 property affected by 1 taste and smell incident (Few days) (3)</t>
  </si>
  <si>
    <t>Not reported</t>
  </si>
  <si>
    <t>1 property affected by 1 taste and smell incident (4)</t>
  </si>
  <si>
    <t>Dissolved minerals in drinking water can affect taste and smell. This may be caused by the treatment of the water (e.g. chlorine) or due to when it comes from. When this occurs water has a taste and smell, but it is safe to drink.  The problem is persistent, which means that it will occur regularly. Running the tap for several minutes does not remove the taste or smell.</t>
  </si>
  <si>
    <t>Discoloured water or non-ideal taste &amp; smell</t>
  </si>
  <si>
    <t>Persistent discolouration, or taste and smell that is not ideal</t>
  </si>
  <si>
    <t xml:space="preserve">Tap water may occasionally be discoloured or have a taste and smell that is less than ideal. Sometimes running the tap for several minutes will resolve these issues but occasionally the problem can persist for a longer period of time. These types of problems could continue for several days. Although the water is unlikely to be harmful, you may not want to use it in your household. </t>
  </si>
  <si>
    <t>Taste, smell or colour of tap water.</t>
  </si>
  <si>
    <t>1 complaint about discoloured water or taste and smell</t>
  </si>
  <si>
    <t>Some customers experience recurring incidents of unpleasant taste or smell or discolouration of their tap water. Properties can be affected over a period of time (e.g. a week) and running the tap for several minutes does not remove the taste, smell or discolouration. We can invest to reduce the number of properties affected by unpleasant taste, smell and discolouration of tap water.</t>
  </si>
  <si>
    <t>Unexpected Supply interruptions - Less than 3 hours</t>
  </si>
  <si>
    <t>Water supply interruptions lasting an average of 2 and a half hours</t>
  </si>
  <si>
    <t>1 property affected by an unexpected interruption [2.5h]</t>
  </si>
  <si>
    <t>Interruptions to your water supply can happen at any time and at any property. They typically last around 2 and a half hours. The number of water supply interruptions can be reduced by increased maintenance which would reduce bursts.</t>
  </si>
  <si>
    <t>Unexpected supply interruption lasting an average of 2 and a half hours.</t>
  </si>
  <si>
    <t xml:space="preserve">Water supplies may be interrupted due to burst pipes. These interruptions typically last around 2 and a half hours, and happen at any time of day or night. The chances that interruptions occur can be reduced by increasing maintenance or replacing aging pipes sooner. </t>
  </si>
  <si>
    <t>Unexpected Supply interruptions- 3-6 hours</t>
  </si>
  <si>
    <t>Unexpected interruption to your water supply lasting an average of 4 hours.</t>
  </si>
  <si>
    <t>1 property affected by an unexpected interruption [4h]</t>
  </si>
  <si>
    <t>Unexpected interruptions to the water supply can happen at any time, at any property, and last around 4 hours on average. They can be reduced by increased maintenance which would reduce bursts and more monitoring of the networks sorepairs could take place before interrupting customers.</t>
  </si>
  <si>
    <t>Unexpected interruptions to your water supply can happen at any time, at any property, and last around 4 hours on average. They can be reduced by increased maintenance which would reduce bursts and more monitoring of the networks so repairs could take place before interrupting customers.</t>
  </si>
  <si>
    <t>Unexpected water supply interruptions lasting 3 to 6 hours.</t>
  </si>
  <si>
    <t>1 property affected by an unexpected interruption [3-6h]</t>
  </si>
  <si>
    <t xml:space="preserve">Unexpected interruptions lasting 3 hours or more to your water supply can occur due to burst pipes, or other system failures. They can happen at any time. About 90% of these unexpected interruptions last 3 to 6 hours. </t>
  </si>
  <si>
    <t>Short-term interruptions lasting 3 to 6 hours on average.</t>
  </si>
  <si>
    <t>Sometimes your water supply can be interrupted. This means that you may have no water for a period of time, or your supply could be intermittent. This may be due to some work we are doing in your area, or because of a burst pipe. Sometimes we do not know in advance that your water supply will be affected, for example underground pipes could burst due to freezing weather. Pipes are more likely to burst if they are old and in need of repair. Water companies can reduce the chance burst pipes by replacing ageing pipes sooner. Some interruptions to your water supply that are unexpected only last for a short period of time, for example between 3-6 hours.</t>
  </si>
  <si>
    <t>Unexpected interruptions to supply lasting 3-6 hours.</t>
  </si>
  <si>
    <t>Interruptions to the water supply can occur without any warning or notice due to pipes bursting or equipment failing. This could happen at any time of the day or night. Affected properties have no water supply for a temporary period (between 3 to 6 hours). We can reduce this problem by replacing aging pipes sooner.</t>
  </si>
  <si>
    <t>Unexpected supply interruptions lasting 3 to 6 hours.</t>
  </si>
  <si>
    <t>If this occurs the affected properties will be without water for 3 to 6 hours. This may happen without warning because of a burst pipe, a problem with a water treatment works or repairs are needed. The interruption could happen at any time of day or night. Different properties are affected each year.</t>
  </si>
  <si>
    <t>An unexpected interruptions to the water supply at your property, lasting 3-6 hours.</t>
  </si>
  <si>
    <t>1 property affected by an unexpected interruption [3-6h] (2)</t>
  </si>
  <si>
    <t xml:space="preserve">Unexpected interruptions to the water supply at your property lasting between 3 and 6 hours. </t>
  </si>
  <si>
    <t>An unexpected interruption to the water supply at your property lasting between 3-6 hours.</t>
  </si>
  <si>
    <t>1 property affected by an unexpected interruption [3-6h] (4)</t>
  </si>
  <si>
    <t>Short (3-6 hour) interruptions in supply.</t>
  </si>
  <si>
    <t>1 property affected by an unexpected interruption [3-6h] (5)</t>
  </si>
  <si>
    <t>Unexpected Supply interruptions - 6-12 hours</t>
  </si>
  <si>
    <t>Short interruptions to the water supply at your property lasting an average of 6 hours.</t>
  </si>
  <si>
    <t>1 property affected by an unexpected interruption [6h]</t>
  </si>
  <si>
    <t xml:space="preserve">Unexpected interruptions lasting an average of 6 hours are caused by burst pipes, or failures in the local pumping station or treatment works. They can happen at any time, and at any property. </t>
  </si>
  <si>
    <t>Water supply interruptions</t>
  </si>
  <si>
    <t>Interruptions to your water supply can happen at any time, at any property, and last around 6 hours on average. They can be reduced by increased maintenance which would reduce bursts and more monitoring of the networks so repairs could take place before interrupting customers.</t>
  </si>
  <si>
    <t>Unexpected interruption to the water supply at a property lasting between 6 and 12 hours.</t>
  </si>
  <si>
    <t>1 property affected by an unexpected interruption [6-12h]</t>
  </si>
  <si>
    <t>Unexpected interruptions are caused by things like a burst water main. Please note that the interruption to the water supply can happen at any time of the day or night</t>
  </si>
  <si>
    <t>Long (6-12 hour) interruptions in supply.</t>
  </si>
  <si>
    <t>1 property affected by an unexpected interruption [6-12h] (5)</t>
  </si>
  <si>
    <t>Unexpected interruptions to water supply</t>
  </si>
  <si>
    <t>1 property affected by an unexpected interruption [6-12h] (6)</t>
  </si>
  <si>
    <t>If this occurs the affected properties will be without water for 6 to 12 hours. This may happen without warning and could happen at any time of day or night. Interruptions occur due to burst pipes, a problem with a water treatment works or if repairs are needed.</t>
  </si>
  <si>
    <t>Unexpected Supply interruptions- 12-24 hours</t>
  </si>
  <si>
    <t>Unexpected stoppage (12-24 hours)</t>
  </si>
  <si>
    <t>1 property affected by an unexpected interruption [12-24h] (4)</t>
  </si>
  <si>
    <t>Hosepipe /Temporary use bans</t>
  </si>
  <si>
    <t>B, region 1</t>
  </si>
  <si>
    <t>Hosepipe bans</t>
  </si>
  <si>
    <t>1 property affected by a hosepipe ban</t>
  </si>
  <si>
    <t>Hosepipe bans are put in place during extended dry spells to ration the available water. They would typically last for 5 months beginning in May and ending in September. They include a ban on the use of a hosepipe for domestic gardening, cleaning and other recreational uses and also include bans on filling domestic swimming pools. Exemptions apply for commercial users and activities and disabled Blue Badge holders.</t>
  </si>
  <si>
    <t>B, region 2</t>
  </si>
  <si>
    <t>Hosepipe bans from May to September</t>
  </si>
  <si>
    <t>Hosepipe bans are put in place during extended dry spells to help manage demand for water. When they are put in place, they typically last for 5 months beginning in May and ending in September. When a ban is in place, hosepipes cannot be used for domestic gardening, cleaning, or recreational uses such as filling home swimming pools. Exemptions apply for commercial users and activities, and vulnerable customers.</t>
  </si>
  <si>
    <t>Temporary use ban in spring and/or summer</t>
  </si>
  <si>
    <t>Temporary use bans, also known as hosepipe bans, are put in place during extended dry spells to help manage demand for water. When they are put in place it is typically during the spring and summer. The following uses of water may be prohibited under a temporary use ban: Watering a garden; Cleaning a motor vehicle; Filling or maintaining a swimming pool, paddling pool or pond; Filling or maintaining an ornamental fountain; Drawing water, using a hosepipe, for domestic recreational use; Cleaning walls, or windows, or a property; Cleaning paths, patios or other artificial outdoor surfaces.</t>
  </si>
  <si>
    <t>Hosepipe bans from May to September.</t>
  </si>
  <si>
    <t>Hosepipe bans are used by Water Companies to conserve water following very dry spells. They typically last for 5 months, beginning in May and ending in September. You would not be able to do the following with a hosepipe if there was a hosepipe ban: Water a garden; Wash a motor vehicle; Fill or maintain a swimming pool, paddling pool, pond or ornamental fountain; Use a hosepipe, for domestic recreational use; Clean walls, or windows, or a property with water; Clean paths, patios or other artificial outdoor surfaces with water. You would still be able to water your garden, wash a car or clean walls or paths etc with a watering can or bucket.</t>
  </si>
  <si>
    <t>Water use restrictions</t>
  </si>
  <si>
    <t>1 property affected by water use restrictions (2)</t>
  </si>
  <si>
    <t>During long periods of dry weather and low rainfall. it may be necessary to restrict the use of water by customers. Restrictions on uses like watering gardens and parks, washing cars and windows, and filling swimming pools conserves water for essential uses (drinking, cooking and washing) and helps maintain river levels to protect water habitats and wildlife. We could invest in new water resources or water saving measures in order to reduce the need for water use restrictions.</t>
  </si>
  <si>
    <t>A ban on using the hose pipe at a property that would typically last for 5 months beginning in May and ending in September.</t>
  </si>
  <si>
    <t>1 property affected by a hosepipe ban (3)</t>
  </si>
  <si>
    <t>During a hosepipe ban, hosepipes must not be used to extract drinking water for any of the following purposes: watering a ‘garden’ or plants on domestic or other non-commercial premises; cleaning a private motor-vehicle or leisure boat; filling a domestic swimming or paddling pool; domestic recreational use; filling a domestic pond (excluding fish ponds); filling an ornamental fountain; cleaning walls, windows, cleaning paths or patios or other artificial outdoor surfaces.</t>
  </si>
  <si>
    <t>Hosepipe ban</t>
  </si>
  <si>
    <t>A ban on using the hose pipe that would typically last for 5 months beginning in May and ending in September. Under a hosepipe ban, customers are not allowed to use a hosepipe to: Water a garden; Clean a car or van; Fill or maintain a swimming or paddling pool or ornamental fountain; Clean outdoor surfaces (e.g. paths or patios).</t>
  </si>
  <si>
    <t xml:space="preserve">A ban on using the hose pipe at your property – because of drought - that would typically last for 5 months beginning in May and ending in September. </t>
  </si>
  <si>
    <t>1 property affected by a hosepipe ban (households) or temporary use ban (businesses) (4)</t>
  </si>
  <si>
    <t>A ban on using a hosepipe at your property that would typically last from May to September (5 months) as a result of drought conditions. For this period, you would not be allowed to use a hosepipe to water a ‘garden’ or clean a private car or van, and you would not be allowed to fill a swimming or paddling pool if you have one.</t>
  </si>
  <si>
    <t>A ban on using the hosepipe at your property for 5 months beginning in May and ending in September because of drought.</t>
  </si>
  <si>
    <t>1 property affected by a hosepipe ban (5)</t>
  </si>
  <si>
    <t>Risk of a hose-pipe ban</t>
  </si>
  <si>
    <t>1 property affected by a hosepipe ban (6)</t>
  </si>
  <si>
    <t>1 property affected by a hosepipe ban (7)</t>
  </si>
  <si>
    <t>Households cannot use a hosepipe to water gardens, clean vehicles, filling a swimming or paddling pool or fountain, cleaning paths, patios or outdoor surfaces. Households can use watering cans, buckets or other hand held water containers. Restrictions on the use of hosepipes generally last for three summer months. In recent years there have more hosepipe bans than usual, but on average these restrictions occur once every 10 years.</t>
  </si>
  <si>
    <t>1 property affected by a non-essential use ban</t>
  </si>
  <si>
    <t xml:space="preserve">A non essential use ban comes after a temporary use ban and would impose additional restrictions. Typically, a non-essential use ban would tend to affect businesses like window cleaners, landscape gardeners (watering of turf), car washes, and sports facilities (watering of golf courses, football and cricket pitches). Non-essential use bans would typically be shorter than temporary use bans. </t>
  </si>
  <si>
    <t>1 property affected by a non-essential use ban (3)</t>
  </si>
  <si>
    <t>This ban needs Government approval. It is introduced after a hosepipe ban for households. Under a non-essential use ban, business customers are not allowed to use a hosepipe to: Water outdoor plants on commercial premises; Clean any vehicle, boat, aircraft or railway rolling stock; Clean the exterior of buildings, windows and industrial plant or use water to suppress dust. Business customers are also not allowed to: Fill or maintain a swimming or paddling pool; Fill or maintain a pond that is for ornamental use; Operate a mechanical vehicle-washer; or Operate an automatic flushing cistern (WC or urinal) in any building that is unoccupied and closed.</t>
  </si>
  <si>
    <t>1 property affected by a non-essential use ban (5)</t>
  </si>
  <si>
    <t>1 property affected by a non-essential use ban (7)</t>
  </si>
  <si>
    <t>Businesses can not use a hosepipe to water gardens, clean vehicles, clean buildings/windows. Business can not usually use water to fill swimming pools or pond, operate a mechanical vehicle-washer, operate automatic flushing toilets in unoccupied or closed buildings. Business customers can clean for health and safety reasons or animal welfare, use containers from a tap to top up pools. Similar restrictions apply to domestic households. Restrictions on non-essential uses generally last for three summer months.</t>
  </si>
  <si>
    <t>Occasional low water pressure</t>
  </si>
  <si>
    <t>1 property affected by occasional low water pressure</t>
  </si>
  <si>
    <t>Low water supply pressure can be due to a property's location or a reduction in mains pressure. It affects the use of taps, showers and boilers - for example it can take up to 5 times longer to fill a bowl of water. “Occasional” means the water pressure is not low all the time but becomes lower in several one-off incidents over a year. We can reduce the frequency of low pressure incidents by improving the water supply network.</t>
  </si>
  <si>
    <t>Low water pressure occasionally affects taps, showers and boilers at your property.</t>
  </si>
  <si>
    <t>Low pressure can have a number of causes: High water demand, such as in the morning and during dry spells when people use hosepipes to water their gardens; Inadequate pumping facilities or water mains that are too small; Reduced pressure from the water main as a result of leakage, equipment failures or blocked service pipes.</t>
  </si>
  <si>
    <t>Low water pressure affects the taps, showers and boilers at your property. This happens occasionally and can occur at any time lasting for 3-6 hours each time.</t>
  </si>
  <si>
    <t>1 property affected by occasional low water pressure (2)</t>
  </si>
  <si>
    <t>Low water pressure affecting the taps, showers or boilers at your property, occurring occasionally and lasting for 3-6 hours.</t>
  </si>
  <si>
    <t>Persistent low water pressure</t>
  </si>
  <si>
    <t>Low pressure affects the taps,  showers and boilers at your property.</t>
  </si>
  <si>
    <t>1 property affected by persistent low water pressure</t>
  </si>
  <si>
    <t>Low water pressure means it takes longer to fill the bath or a kettle, and it may affect the operation of a combination boiler. Persistent low water pressure can be caused by the age and condition of the pipes, but properties at the tops of hills or flats in tall buildings are most at risk.</t>
  </si>
  <si>
    <t>Persistent water pressure affects the taps, showers and boilers at customers’ properties.</t>
  </si>
  <si>
    <t>Low water pressure means it takes longer to fill the bath or a kettle, and it may affect the operation of a combination boiler. Persistent means the property is affected every day, though the problem may come and go during the day. It can be caused by the age and condition of the pipes, but properties at the tops of hills or flats in tall buildings are most at risk. It is important to understand that we are not referring to low pressure caused by customer’s internal plumbing.</t>
  </si>
  <si>
    <t xml:space="preserve">Persistent low water pressure affects the taps, showers and boilers at customers’ properties. Low water pressure means it takes longer to fill the bath or a kettle, and it may affect the operation of a combination boiler. Persistent means the property is affected every day, though the problem may come and go during the day. It can be caused by the age and condition of the pipes, but properties at the tops of hills or flats in tall buildings are most at risk. It is important to understand that we are not referring to low pressure caused by customer’s internal plumbing. </t>
  </si>
  <si>
    <t>Low water pressure means it takes longer to fill the bath or a kettle than you would like, and it may affect how well a combi boiler works. Persistent means the property is affected every day, though the problem may come and go during the day. It can be caused by the age and condition of the water company’s pipes rather than problems with internal plumbing which the customer is responsible for. Properties at the tops of hills and the end of lines are most at risk. If you don’t currently suffer, or have never suffered from persistent low water pressure, then your property is not at risk.</t>
  </si>
  <si>
    <t>Persistent low water pressure.</t>
  </si>
  <si>
    <t>This affects taps, showers and boilers; for example, it could take a long time to fill a sink or bath and a normal shower system may not work properly. It happens persistently, for example, always at peak times such as weekday breakfast times, and may particularly affect people at the top of tall buildings or properties at tops of hills. We are only talking here about where pressure is low in our pipes. Households may receive inadequate pressure because, for example, they share a supply with one or more other properties and this is a problem with their private pipes. This is not our responsibility.</t>
  </si>
  <si>
    <t>1 property affected by persistent low water pressure (3)</t>
  </si>
  <si>
    <t>Low water pressure affects the taps, showers and boilers at properties. This means water runs slower. This is a result of low pressure provided to the property from the water company. It does not include internal plumbing issues that cause low pressure when multiple taps/appliances are on at the same time. This is a persistent problem, which means that this occurs regularly. Examples include this happening in the mornings, or in upstairs room all the time.</t>
  </si>
  <si>
    <t>Hardness of water</t>
  </si>
  <si>
    <t>Hardness of tap water</t>
  </si>
  <si>
    <t>1 complaint about hardness</t>
  </si>
  <si>
    <t>Hardness of tap water refers to the mineral content of water. This is not a concern for public health and the water is safe to drink, but it does affect the use of kettles, boilers and other appliances through „scaling‟. This is an issue all year round for customers in the affected areas. With additional investment, we could reduce the hardness of the tap water it supplies.</t>
  </si>
  <si>
    <t>Hard water</t>
  </si>
  <si>
    <t>1 property affected by moderately hard water (3)</t>
  </si>
  <si>
    <t>The water at your property is hard causing lime scale. Hard water contains minerals and is caused by the natural minerals in the source of the water. Lime scale may build up on appliances like kettles, washing machines and boilers and machines affecting businesses.</t>
  </si>
  <si>
    <t>1 property affected by very hard water (2)</t>
  </si>
  <si>
    <t>1 property affected by hard water (4)</t>
  </si>
  <si>
    <t>1 property affected by hard water (5)</t>
  </si>
  <si>
    <t>The water at your property is hard causing lime scale. Hard water contains minerals and is caused by the natural minerals in the source of the water. Lime scale may build up on appliances like kettles, washing machines and boilers and machines affecting businesses. We can invest to reduce the hardness of water</t>
  </si>
  <si>
    <t>1 ml/day lost (2)</t>
  </si>
  <si>
    <t>Leaks occur due to cracks in pipes or corrosion as they age. We can reduce leakage by investing to find the leaks faster and repairing them quicker. We can minimise the disruption by using technology that avoids digging up roads. Reducing leakage will have minimal impact on the environment.</t>
  </si>
  <si>
    <t>Water leakage</t>
  </si>
  <si>
    <t>1 ml/day lost (3)</t>
  </si>
  <si>
    <t>1 ml/day lost (4)</t>
  </si>
  <si>
    <t>1 ml/day lost (5)</t>
  </si>
  <si>
    <t>Water is lost through leaks in old pipes. Fixing leaks can cause disruption to traffic and people. Reducing leakage means that less water is taken from the rivers, less water requires treatment, hosepipe bans are less likely.</t>
  </si>
  <si>
    <t>River water quality</t>
  </si>
  <si>
    <t>1 km river improved by 1 status level</t>
  </si>
  <si>
    <t>We take water from rivers and discharge treated wastewater back into rivers, along with occasional sewer overflows. The water industry therefore has the potential to affect river water quality. It is not alone in this respect, however; other users such as farming, forestry, and industry also have an impact. River water quality is classified as High Quality (Diverse and natural ranges of plants, insects, fish, birds and other animals. Water will have the right degree of clarity and there will be no noticeable pollution. Water will generally be suitable for contact activities, such as rowing or swimming); Medium Quality (Some plants, insects, fish, birds and other animals. Water may be slightly murky or discoloured, and there may be some visible pollution. Water will be suitable for contact activities in some areas but not others.); and Low Quality (Limited or no plants or wildlife, or the water may be dominated by a single plant species. Water will generally be murky or discoloured, and may be bad-smelling in some places. There may also be visible pollution, and water will be unsuitable for contact activities.)</t>
  </si>
  <si>
    <t>1 km river improved to 'Good' status</t>
  </si>
  <si>
    <t>We take water from rivers and puts treated wastewater back into rivers, along with occasional sewer overflows. Along with other users such as farming and industry, its activities therefore affect river water quality. River water quality is classified as being ‘Good’ quality if the river is close to its natural condition; if there is a good range of plants, fish and insects; if the water is mostly clear and showing no signs of pollution.</t>
  </si>
  <si>
    <t>We take water from rivers and puts treated wastewater back into rivers, along with occasional sewer overflows. Along with other users such as farming and industry, its activities therefore affect river water quality. River water quality is classified as being ‘Good’ quality if there is a good range of plants, fish and insects; if the water is mostly clear and showing no signs of pollution; and if it is suitable for swimming, rowing and fishing.</t>
  </si>
  <si>
    <t>1 km river improved from 'Medium' to 'High'</t>
  </si>
  <si>
    <t>We take water from rivers and puts treated wastewater back into rivers, along with occasional sewer overflows. Along with other users such as farming, forestry, and industry, its activities therefore affect river water quality. River water quality is classified as : High (Diverse and natural ranges of plants, insects, fish, birds and other animals; Water will have the right degree of clarity and there will be no noticeable pollution; Water will generally be suitable for contact activities, such as rowing or swimming); Medium (Some plants, insects, fish, birds and other animals. Water may be slightly murky or discoloured, and there may be some visible pollution. Water will be suitable for contact activities in some areas but not others) and Low (Limited or no plants or wildlife, or the water may be dominated by a single plant species. Water will generally be murky or discoloured, and may be bad-smelling in some places. There may also be visible pollution, and water will be unsuitable for contact activities.)</t>
  </si>
  <si>
    <t>1 km river improved from 'Low' to 'Medium'</t>
  </si>
  <si>
    <t>River water quality.</t>
  </si>
  <si>
    <t>1 km river improved to 'Good' status (2)</t>
  </si>
  <si>
    <t>Wastewater from homes and businesses mixes with rainwater from draining from roads and pavements, before entering the public sewer. All this water is then treated at one of our sewage treatment works before being released back into rivers or the sea. The quality of river water is affected by the volume and quality of the treated waste that is put back into rivers.</t>
  </si>
  <si>
    <t>1 km river improved to 'Good' or better status (2)</t>
  </si>
  <si>
    <t>All rivers in Europe should meet environmental quality standards that aim to improve the status of natural habitats. The quality of rivers and stream habitats for wildlife and use by people can be affected by treated wastewater discharged from sewage treatment works. We can upgrade its treatment works to improve the environmental quality of rivers in its region supporting a wider range of wildlife such as plants, birds and fish.</t>
  </si>
  <si>
    <t>The quality of river water.</t>
  </si>
  <si>
    <t>1 km river improved to 'Good' status (3)</t>
  </si>
  <si>
    <t>Good river water quality: There are many natural plants, insects and animals; water has the right degree of clarity; there is no noticeable pollution and water is generally suitable for contact activities, such as rowing or wind surfing; Medium river water quality: There will plants, fish and animals but some fish or other wildlife will be missing; water will be slightly murky in parts; there may be visible pollution in some places; and water may be suitable for contact activities in some areas; Low river water quality: There may be very limited or no plants or wildlife life; water will be murky, and may be bad-smelling; there may be visible pollution in some places ; and water will be unsuitable for contact activities.</t>
  </si>
  <si>
    <t>River water quality in 30-mile area</t>
  </si>
  <si>
    <t>1 km river improved by 1 status level, per property within 30 miles (4)</t>
  </si>
  <si>
    <t>Wildlife habitat in local rivers and streams due to water being taken.</t>
  </si>
  <si>
    <t>1 river with good quality (5)</t>
  </si>
  <si>
    <t>NWEBS (6)</t>
  </si>
  <si>
    <t>1 km river improved from Bad to Poor</t>
  </si>
  <si>
    <t>Figures shown are central estimates for all England &amp; Wales, in 2012 prices.</t>
  </si>
  <si>
    <t>1 km river improved from Poor to Moderate</t>
  </si>
  <si>
    <t>1 km river improved from Moderate to Good</t>
  </si>
  <si>
    <t>NWEBS (7)</t>
  </si>
  <si>
    <t>1 km river improved from Poor to Good</t>
  </si>
  <si>
    <t xml:space="preserve">Derived as the sum of values for “Poor to Moderate” and “Moderate to Good”. </t>
  </si>
  <si>
    <t>NWEBS (8)</t>
  </si>
  <si>
    <t>1 km river improved from Bad to Good</t>
  </si>
  <si>
    <t>Derived as the sum of values for “Bad to Poor” and “Poor to Good”</t>
  </si>
  <si>
    <t>External PR14 WTP Studies (2): HH</t>
  </si>
  <si>
    <t>EXTERNAL WTP DATA</t>
  </si>
  <si>
    <t>WTP CORE SERVICE LEVELS DCE2</t>
  </si>
  <si>
    <t>DERIVED WTP VALUES</t>
  </si>
  <si>
    <t>WTP CORE DCE2 SERVICE LEVELS</t>
  </si>
  <si>
    <t>WTP Core abbreviation</t>
  </si>
  <si>
    <t>Extended abbreviation</t>
  </si>
  <si>
    <t>Unit value index</t>
  </si>
  <si>
    <t>Interruptions612</t>
  </si>
  <si>
    <t>Interruptions36</t>
  </si>
  <si>
    <t>Interruptions3</t>
  </si>
  <si>
    <t>Temporary use bans</t>
  </si>
  <si>
    <t>Interruptions1224</t>
  </si>
  <si>
    <t>External PR14 WTP Studies (2): NHH</t>
  </si>
  <si>
    <t>South Staff Water NHH</t>
  </si>
  <si>
    <t>Cambridge Water NHH</t>
  </si>
  <si>
    <t>WTP CORE DCE2 VALUES  (%/business/yr)</t>
  </si>
  <si>
    <t>WTP CORE DCE2SERVICE LEVELS</t>
  </si>
  <si>
    <t>Non-essential use ban value</t>
  </si>
  <si>
    <t>% converted to £ using data on Average NHH bill amount for CAM</t>
  </si>
  <si>
    <t>External PR19 WTP Studies (1)</t>
  </si>
  <si>
    <t>Source: 3187rep01_PR19WTP_v1.docx</t>
  </si>
  <si>
    <t xml:space="preserve">Unit value (£/unit) </t>
  </si>
  <si>
    <t>Discolouration</t>
  </si>
  <si>
    <t>1 property affected by 1 tap water discolouration incident</t>
  </si>
  <si>
    <t>Number of properties affected by discolouration of tap water each year.</t>
  </si>
  <si>
    <t>Discolouration of your tap water</t>
  </si>
  <si>
    <t>1 property affected by 1 discoloured water incident (24 hours)</t>
  </si>
  <si>
    <t>The tap water at your property is discoloured for 24 hours. Running the tap for a few minutes will not remove this discolouration. (You do not know whether it is safe to drink or not until you contact your water company).</t>
  </si>
  <si>
    <t>The water is DISCOLOURED at your property for a FEW HOURS at a time, but is safe to drink</t>
  </si>
  <si>
    <t>1 property affected by discoloured water (few hours)</t>
  </si>
  <si>
    <t>On rare occasions, your water may be discoloured because of harmless deposits that accumulate over time in water mains, but the water is safe to drink. We wouldn’t expect anyone to drink it when it looks unpleasant. Your water would look like the water below. Even if you run your tap for several minutes, the water would still be brown/discoloured. This can last for up to 24 hours.</t>
  </si>
  <si>
    <t>Your tap water is DISCOLOURED for A FEW HOURS, but is safe to drink</t>
  </si>
  <si>
    <t>On rare occasions, your water may be discoloured because of harmless deposits that accumulate over time in water mains, but the water is safe to drink. We wouldn’t expect anyone to drink it when it looks unpleasant. Even if you run your tap for several minutes, the water would still be brown/discoloured. This would typically last for a few hours at a time.</t>
  </si>
  <si>
    <t>Q</t>
  </si>
  <si>
    <t>Discoloured water at your property for a few hours.</t>
  </si>
  <si>
    <t xml:space="preserve">On rare occasions, your water may be discoloured because of harmless deposits that accumulate over time in water mains, but the water is safe to drink. We wouldn’t expect anyone to drink it when it looks unpleasant. Even if you run your tap for several minutes, the water would still be brown/discoloured. This would typically last for a few hours at a time. </t>
  </si>
  <si>
    <t>Non-ideal taste and smell</t>
  </si>
  <si>
    <t>1 property affected by 1 taste and smell incident for a period of 3 days</t>
  </si>
  <si>
    <t>Non-ideal TASTE AND SMELL of tap water for A FEW DAYS:  Number of cases per year per 10,000 customers reduced from X to X</t>
  </si>
  <si>
    <t xml:space="preserve">1 property affected by non-ideal taste and smell (few days) </t>
  </si>
  <si>
    <t>Non-ideal taste and smell of water: Your tap water may occasionally have a taste and smell that is less than ideal. However, the water is safe to drink and use. Sometimes running the tap for several minutes will resolve these issues but occasionally the problem can persist for a few days at a time.</t>
  </si>
  <si>
    <t>WATER TASTE &amp; SMELL NOT IDEAL at your property for a few days</t>
  </si>
  <si>
    <t>Water taste and smell can be less than ideal at your property for a few days at a time because of dissolved minerals and gases, but the water is safe to drink.</t>
  </si>
  <si>
    <t>The TASTE AND ODOUR of water at your property is not ideal for a FEW DAYS AT A TIME, but is safe to drink</t>
  </si>
  <si>
    <t xml:space="preserve">Water taste and smell can be less than ideal at your property for a few days at a time because of dissolved minerals and gases, but the water is safe to drink. </t>
  </si>
  <si>
    <t xml:space="preserve">The TASTE AND SMELL of your tap water is not ideal for A FEW DAYS, but is safe to drink. </t>
  </si>
  <si>
    <t>1 property affected by non-ideal taste and smell (few days)</t>
  </si>
  <si>
    <t>NON-IDEAL TASTE AND SMELL OF YOUR TAP WATER</t>
  </si>
  <si>
    <t>Number of properties affected by unpleasant taste, smell or colour of tap water</t>
  </si>
  <si>
    <t>Unexpected INTERRUPTIONS TO SUPPLY: Average minutes lost per home per year</t>
  </si>
  <si>
    <t xml:space="preserve"> 1 property affected by unexpected interruptions to supply lasting 3 hours or longer </t>
  </si>
  <si>
    <t xml:space="preserve">Unexpected supply interruptions lasting 3 hours or longer: Sometimes your water supply can be interrupted. This means that you may have no water at your home for a period of time. The water supply can be interrupted due to burst pipes, which can happen at any time of the day or night. Although most interruptions are dealt with quickly, there are some that are more difficult to resolve. This can unfortunately mean customers have to wait longer for their water to come back. </t>
  </si>
  <si>
    <t>Water supply interruptions longer than 3 hours</t>
  </si>
  <si>
    <t>1 property affected by planned or unplanned interruptions (&lt;12 hours)</t>
  </si>
  <si>
    <t>Sometimes your water supply can be interrupted, which can be planned or unplanned. This means that you may have no water at your property for a period of time. The majority of these types of interruptions last less than 12 hours. • The water supply can be interrupted due to burst pipes, which can happen at any time of the day or night. Although most interruptions are dealt with quickly, there are some that are more difficult to resolve.  This can unfortunately mean customers have to wait longer for their water to come back</t>
  </si>
  <si>
    <t xml:space="preserve">UNEXPECTED SUPPLY INTERRUPTIONS at your property lasting 3 hours or more </t>
  </si>
  <si>
    <t>1 property affected by an unexpected supply interruption (&gt; 3 hours)</t>
  </si>
  <si>
    <t xml:space="preserve">Sometimes your water supply can be interrupted. This means that you may have no water for a period of time, or your supply could be intermittent. The water supply at your property can be interrupted due to burst pipes, which can happen at any time.  When an unexpected interruption occurs, properties are affected for five and a half hours on average. 90% of interruptions are less than 12 hours. </t>
  </si>
  <si>
    <t>Interruptions of 3-6 hours</t>
  </si>
  <si>
    <t>1 property affected (3-6 hours)</t>
  </si>
  <si>
    <t>From time to time, burst water mains may result in an unplanned interruption to your water supply. On average, X customers are affected by interruptions lasting between 3 and 6 hours every year (almost X% of all customers).</t>
  </si>
  <si>
    <t xml:space="preserve">SHORT-TERM INTERRUPTION to your water supply lasting 3 to 6 hours on average. </t>
  </si>
  <si>
    <t>1 property affected by a short-term interruption to supply (3-6 hours)</t>
  </si>
  <si>
    <t>An UNPLANNED INTERRUPTION to the water supply at your property, lasting 3-6 HOURS</t>
  </si>
  <si>
    <t xml:space="preserve">1 property affected by an unplanned interruption (3-6 hours) </t>
  </si>
  <si>
    <t xml:space="preserve">Sometimes your water supply can be interrupted. This means that you may have no water for a period of time, or your supply could be intermittent. The water supply at your property can be interrupted due to burst pipes, which can happen at any time, or due to planned maintenance, in which case you would be given at least 48 hours’ notice.  </t>
  </si>
  <si>
    <t>An UNEXPECTED INTERRUPTION to your water supply lasting 3-6 HOURS</t>
  </si>
  <si>
    <t xml:space="preserve">1 property affected by an unexpected interruption (3-6 hours) </t>
  </si>
  <si>
    <t>Sometimes your water supply can be interrupted. This means that you may have no water for a period of time, or your supply could be intermittent. The water supply at your property can be interrupted due to burst pipes, which can happen at any time, or due to planned maintenance, in which case you would be given at least 48 hours’ notice.  Interruptions last an average of 6 hours when they occur.</t>
  </si>
  <si>
    <t>Unplanned interruptions to the supply of water</t>
  </si>
  <si>
    <t>1 property affected by unplanned service interruptions (typically lasting around 6 hours)</t>
  </si>
  <si>
    <t xml:space="preserve">The most common cause of short term, unexpected interruptions to water supply is a burst pipe. Homes that experience a short term interruption will typically be without water for around 6 hours until the work is completed to restore the water supply. [Water Company] invests to reduce the chance of this occurring by replacing old pipes and using new technologies to manage its network better. </t>
  </si>
  <si>
    <t>Supply interruptions (4-8 hours)</t>
  </si>
  <si>
    <t>Number of properties affected by unexpected interruption to water supply (4-8 hours)</t>
  </si>
  <si>
    <t>1 property affected by unexpected interruption to water supply (4-8 hours)</t>
  </si>
  <si>
    <t>Number of properties affected by unplanned interruption to water supply (6-12 hours) each year</t>
  </si>
  <si>
    <t>1 property affected by unplanned interruption to water supply (6-12 hours)</t>
  </si>
  <si>
    <t>Interruptions of 6-12 hours</t>
  </si>
  <si>
    <t>1 property affected (6-12 hours)</t>
  </si>
  <si>
    <t>From time to time, burst water mains may result in an unplanned interruption to your water supply. On average, X customers are affected by interruptions lasting between 6 and 12 hours every year (X% of all customers).</t>
  </si>
  <si>
    <t xml:space="preserve">SHORT-TERM INTERRUPTION to your water supply lasting 6 to 12 hours on average. </t>
  </si>
  <si>
    <t>1 property affected by a short-term interruption to supply (6-12 hours)</t>
  </si>
  <si>
    <t>An UNPLANNED INTERRUPTION to the water supply at your property, lasting 6-12 HOURS</t>
  </si>
  <si>
    <t xml:space="preserve">1 property affected by an unplanned interruption (6-12 hours) </t>
  </si>
  <si>
    <t>An UNEXPECTED INTERRUPTION to your water supply lasting 6-12 HOURS</t>
  </si>
  <si>
    <t xml:space="preserve">1 property affected by an unexpected interruption (6-12 hours) </t>
  </si>
  <si>
    <t>Number of properties affected by unexpected interruptions to water supply each year (6-12 hours)</t>
  </si>
  <si>
    <t>1 property affected by unexpected interruptions to water supply (6-12 hours)</t>
  </si>
  <si>
    <t>Water supply may be lost without any warning due to burst pipes, or equipment or power supply failures. On average, an unplanned interruption lasts 6 to 12 hours.</t>
  </si>
  <si>
    <t>1 property affected by an unexpected interruption (up to 24 hours)</t>
  </si>
  <si>
    <t>An UNPLANNED INTERRUPTION to the water supply at your property, lasting 12-24 HOURS</t>
  </si>
  <si>
    <t xml:space="preserve">1 property affected by an unplanned interruption (12-24 hours) </t>
  </si>
  <si>
    <t>1 property affected by temporary water use restrictions</t>
  </si>
  <si>
    <t>How often temporary water use restrictions are needed</t>
  </si>
  <si>
    <t>1 property affected by a hosepipe ban for 5 months from May to September</t>
  </si>
  <si>
    <t>CHANCE OF A TEMPORARY USE BAN (5 MONTHS)</t>
  </si>
  <si>
    <t>1 property affected by a temporary use ban (5 months)</t>
  </si>
  <si>
    <t>Temporary use bans: During extended dry spells, [Water Company] could impose a temporary use ban on using water in your home. This type of restriction on water use would include a ban on activities such as using a hosepipe to water your garden, clean your car and filling a swimming pool. Exceptions would be made for disabled Blue Badge holders and businesses. Temporary use bans would typically last for five months beginning in May and ending in September. How often this happens depends on how frequent and how severe dry spells are.</t>
  </si>
  <si>
    <t>Temporary use bans (May to Sep)</t>
  </si>
  <si>
    <t>1 property affected by a temporary use ban</t>
  </si>
  <si>
    <t>During extended periods of dry weather, [Water Company] could impose a temporary use ban for certain water-related activities in and around your home. • The types of restriction on water use would include a ban on activities like using a hosepipe to water your garden, clean your car and filling a swimming or paddling pool. Some exceptions would be made for customers with certain disabilities and also some businesses. Temporary use bans would typically last for five months beginning in May and ending in September when demand for water is much higher. How often these bans happen depends on how frequent and how severe the dry spells are.</t>
  </si>
  <si>
    <t>TEMPORARY USE BAN from May to September</t>
  </si>
  <si>
    <t>1 property affected by a temporary use ban (May-Sep)</t>
  </si>
  <si>
    <t>As a result of drought conditions, [Water Company] can impose a ban on using a hosepipe at your property that would typically last from May to September (5 months). For this period, you would not be allowed to use a hosepipe to water a garden or clean a private car or van, and you would not be allowed to fill a swimming or paddling pool if you have one.</t>
  </si>
  <si>
    <t>A BAN ON USING THE HOSE PIPE at your property - because of drought - that would typically last for 5 MONTHS beginning in May and ending in September</t>
  </si>
  <si>
    <t xml:space="preserve">1 property affected by a hosepipe ban (May-Sep) </t>
  </si>
  <si>
    <t>A HOSEPIPE BAN lasting from May to September</t>
  </si>
  <si>
    <t>A ban on using the hose pipe for 5 months from May-September because of drought</t>
  </si>
  <si>
    <t xml:space="preserve">1 property affected by a hosepipe ban (May - Sep) </t>
  </si>
  <si>
    <t xml:space="preserve">As a result of drought conditions, [Water Company] can impose a ban on using a hosepipe at your property that would typically last from May to September (5 months). For this period, you would not be allowed to use a hosepipe to water a garden or clean a private car or van, and you would not be allowed to fill a swimming or paddling pool if you have one. </t>
  </si>
  <si>
    <t>HOSEPIPE BAN (FROM MAY TO SEPTEMBER)</t>
  </si>
  <si>
    <t>As a result of drought conditions, [Water Company] can impose a ban on using a hosepipe at your property that would typically last from May to September (5 months). For this period, you would not be allowed to use a hosepipe to water a garden or clean a private car or van, and you would not be allowed to fill a swimming or paddling pool if you have one.  Currently, the chance that this happens to a property in the [Water Company] area in any year is around 1 in X. An alternative way of explaining this is that there is a X% chance that your property will experience this problem over the course of [Water Company] 25 year plan.</t>
  </si>
  <si>
    <t>NON-ESSENTIAL USE BAN put in place for FIVE MONTHS from May to September (chance per year)</t>
  </si>
  <si>
    <t>1 property affected by a non-essential use ban (5 months, May - Sep)</t>
  </si>
  <si>
    <t>Temporary use bans: During extended dry spells, [Water Company] could impose a temporary use ban on using water in your home. This type of restriction on water use would include a ban on activities such as using a hosepipe to water your garden, clean your car and filling a swimming pool. Exceptions would be made for disabled Blue Badge holders and businesses.Temporary use bans would typically last for five months beginning in May and ending in September. How often this happens depends on how frequent and how severe dry spells are.</t>
  </si>
  <si>
    <t>Non-essential use ban (May to September)</t>
  </si>
  <si>
    <t>NON-ESSENTIAL USE BAN from May to September</t>
  </si>
  <si>
    <t>1 property affected by a non-essential use ban (May-Sep)</t>
  </si>
  <si>
    <t>Rota cuts and/or standpipes</t>
  </si>
  <si>
    <t>How often severe water restrictions could be experienced</t>
  </si>
  <si>
    <t>1 property experiences severe water restrictions</t>
  </si>
  <si>
    <t>1 property affected by water use restrictions (standpipe) for 2 to 4 weeks</t>
  </si>
  <si>
    <t>HH:Because of a water drought, most of the region would have to get all their water from a standpipe located in your street for between 2 to 4 weeks/NHH:Because of a water drought, your company is only able to use water for essential operational use (e.g no washing of machinery). Most of the companies in the region would have to get all their water for non-essential operations from a standpipe located in their street for between 2 to 4 weeks.</t>
  </si>
  <si>
    <t>Use of standpipes</t>
  </si>
  <si>
    <t>1 property affected by use of standpipes</t>
  </si>
  <si>
    <t>In the event of a drought, there is a small chance that you would lose water supply to your property and would need to use a standpipe for accessing water. A standpipe is a freestanding pipe in the street, which provides water when there is no other water supply. The current likelihood of this happening to you is once every X years.</t>
  </si>
  <si>
    <t xml:space="preserve">Low water pressure </t>
  </si>
  <si>
    <t xml:space="preserve">1 property affected by low water pressure </t>
  </si>
  <si>
    <t>The water at your property loses pressure a number of times throughout the day and night which reduces the water flow to a slow trickle.</t>
  </si>
  <si>
    <t>LOW WATER PRESSURE affecting taps, showers and boilers at your property. This happens OCCASIONALLY and can occur at any time lasting FOR 3-6 HOURS each time</t>
  </si>
  <si>
    <t xml:space="preserve">1 property affected by occasional low water pressure (3-6 hours) </t>
  </si>
  <si>
    <t>Low water pressure means it takes longer to fill the bath or kettle than you would like and may affect how well a combi boiler works. It is usually caused by the age, condition and size of the water company’s pipes. Properties at the tops of hills and the end of lines are most at risk.</t>
  </si>
  <si>
    <t>Percentage of water lost due to leakage each year</t>
  </si>
  <si>
    <t>1 Ml/d of water lost through leakage</t>
  </si>
  <si>
    <t xml:space="preserve">Percentage of water supply lost through leakage </t>
  </si>
  <si>
    <t xml:space="preserve">1 Ml/d of water lost through leakage </t>
  </si>
  <si>
    <t>Around x% (HH) of the water supplied by your water company is lost through leaking pipes. The majority of this is from the water company's pipe network and the rest from the supply pipe that serve customers’ properties (which is the responsibility of the property owner). As new leaks are always appearing they can’t be reduced to 0.</t>
  </si>
  <si>
    <t>Leakage from pipes</t>
  </si>
  <si>
    <t>Water is brought to your property through thousands of miles of underground pipes. Pipes can leak and some water is lost between the treatment works and your property. Current leakage amounts to X million litres every day within [Water Company] area. This equates to around X litres per household per day. With more investment, [Water Company] could reduce leakage to X million litres a day.</t>
  </si>
  <si>
    <t>LEAKAGE</t>
  </si>
  <si>
    <t xml:space="preserve">Leaks take place in [Water Company] network due to the condition of the pipes and within customer’s pipes. Ground movement can sometimes cause burst pipes which can lead to leaks. The majority of leaks are in small quantities. </t>
  </si>
  <si>
    <t>Leaks take place on customers’ pipes in and around the home and also on [Water Company] pipes too, often due to their condition. • Ground movement can also sometimes cause a pipe to burst or leak. The majority of leaks are invisible, very small `weeps and seeps’ which are hard to detect. The customer is responsible for leaks that take place on the pipes in and around their home, while [Water Company] is responsible for all other leaks on the pipes they own and maintain. Currently it is estimated that a quarter of all water lost through leaks is just from customers’ pipes in and around the home</t>
  </si>
  <si>
    <t xml:space="preserve">[Water Company] can undertake infrastructural works to reduce the extent of leakage from water mains. </t>
  </si>
  <si>
    <t>WATER LEAKAGE</t>
  </si>
  <si>
    <t xml:space="preserve">Water can leak from [Water Company] extensive network of pipes. [Water Company] can proactively detect and repair leaks, and replace or refurbish sections of pipework to reduce the extent of leakage. </t>
  </si>
  <si>
    <t xml:space="preserve">Leaks are caused by cracks in ageing pipes, freezing weather, or the weight of traffic on a road above. </t>
  </si>
  <si>
    <t>Protecting wildlife habitats/Biodiversity</t>
  </si>
  <si>
    <t xml:space="preserve">1 ha of improved habitats for wildlife and plants </t>
  </si>
  <si>
    <t>All water companies have a legal duty to protect and improve areas for wildlife and plants in the places where they operate. They currently protect and improve X hectares - which is the same areas as X football pitches</t>
  </si>
  <si>
    <t>Protected land for wildlife</t>
  </si>
  <si>
    <t>1 hectare of protected land being improved</t>
  </si>
  <si>
    <t>Natural England monitors the condition of land and rivers that is protected by law to conserve the wildlife that lives there. We work with Natural England to identify where we can help to protect this land and achieve a favourable condition or help it to recover from damage. By 2020, [Water Company] will have helped protect X hectares of land (Around X-X football pitches).</t>
  </si>
  <si>
    <t>Protecting wildlife and increasing biodiversity</t>
  </si>
  <si>
    <t>1 ha of land enhanced to increase biodiversity</t>
  </si>
  <si>
    <t xml:space="preserve">[Water Company] owns around X hectares of land, which is the equivalent of around X football pitches. Many of its sites are in the countryside of ……. [Water Company] would like to do more to protect the wildlife on the land it owns, and increase the range of animal species and plants for example (commonly referred to as biodiversity) that already exist there – it’s good for nature and protecting water sources too. Some of these sites are already marked as Sites of Special Scientific interest by Government and some are visited extensively by the public e.g. like reservoir sites. Increasing the biodiversity of its sites means [Water Company] needs to make sure it can develop the right habitats in the right places.
• To do that, [Water Company] is aiming to improve the land it owns so that it either maintains its good status at those sites where there’s already a wide range of valued species being looked after; or the remainder of its sites reach “improved” status.  </t>
  </si>
  <si>
    <t xml:space="preserve">1 incident of traffic disruption causing 15 minutes delay per journey, in place for 3 days </t>
  </si>
  <si>
    <t>Planned and unplanned WORKS of any duration in the [Water Company] area which may cause ROAD AND TRAFFIC DISRUPTIONS</t>
  </si>
  <si>
    <t>1 property affected by planned and unplanned works of any duration</t>
  </si>
  <si>
    <t>Planned and unplanned works in the area served by [Water Company] can sometimes cause road and traffic disruptions which affect your travel.</t>
  </si>
  <si>
    <t>1 property where water is not safe to drink for a period of 2 weeks</t>
  </si>
  <si>
    <t>Safe clean drinking water</t>
  </si>
  <si>
    <t>1 property affected by an incident of water not safe to drink</t>
  </si>
  <si>
    <t>Issues may arise that mean the water in your tap does not meet water quality standards. [Water Company] undertakes hundreds of thousands of random water quality tests across the region every year to see whether tap water quality meets the required standards. [Water Company] monitors its network and improves its operations to reduce the chance of your water failing to meet these standards.</t>
  </si>
  <si>
    <t>1 additional hh fitted with a water meter</t>
  </si>
  <si>
    <t xml:space="preserve">The vast majority of business customers and X% household customers have a water meter fitted in this region which means they pay just for the water they use. The remaining properties pay a fixed amount per year depending on the rateable value of their property. [Water Company] can fit water meters to more unmetered properties. </t>
  </si>
  <si>
    <t>New water meters / smart meters fitted</t>
  </si>
  <si>
    <t>1 additional hh fitted with a smart meter</t>
  </si>
  <si>
    <t>External PR19 WTP Studies (2): HH</t>
  </si>
  <si>
    <t>Ml/d</t>
  </si>
  <si>
    <t>Unexpected Supply interruptions -4-8 hours</t>
  </si>
  <si>
    <t>Interruptions48</t>
  </si>
  <si>
    <t xml:space="preserve">Household </t>
  </si>
  <si>
    <t>Property fitted</t>
  </si>
  <si>
    <t>Unexpected Supply interruptions - 3-6 hours</t>
  </si>
  <si>
    <t>Unexpected Supply interruptions -3-6 hours</t>
  </si>
  <si>
    <t>Unexpected Supply interruptions -6-12 hours</t>
  </si>
  <si>
    <t>Unexpected Supply interruptions- 6-12 hours</t>
  </si>
  <si>
    <t>Unexpected Supply interruptions-12-24 hours</t>
  </si>
  <si>
    <t>Rota cuts and standpipes and Traffic disruption were not included in the WTP Wave 2 study so we set their service levels and  unit values in WTP Wave 2  equal to their service levels and unit values in WTP Wave 1</t>
  </si>
  <si>
    <t>External PR19 WTP Studies (2): NHH</t>
  </si>
  <si>
    <t>PR19Pivot</t>
  </si>
  <si>
    <t>Based on YW only</t>
  </si>
  <si>
    <t>ENGLAND &amp; WALES</t>
  </si>
  <si>
    <t>SSC only</t>
  </si>
  <si>
    <t>Combined HH/NHH</t>
  </si>
  <si>
    <t>WstSVE</t>
  </si>
  <si>
    <t>WstANH</t>
  </si>
  <si>
    <t>Age18_29</t>
  </si>
  <si>
    <t>Age30_64</t>
  </si>
  <si>
    <t>Age65plus</t>
  </si>
  <si>
    <t>Male</t>
  </si>
  <si>
    <t>Female</t>
  </si>
  <si>
    <t>SEG_AB</t>
  </si>
  <si>
    <t>SEG_C</t>
  </si>
  <si>
    <t>SEG_DE</t>
  </si>
  <si>
    <t>Vuln_Med</t>
  </si>
  <si>
    <t>Vuln_Com</t>
  </si>
  <si>
    <t>Vuln_Life</t>
  </si>
  <si>
    <t>Vuln_Fin</t>
  </si>
  <si>
    <t>ServiceIssue</t>
  </si>
  <si>
    <t>WTA value</t>
  </si>
  <si>
    <t>Confidence range</t>
  </si>
  <si>
    <t>Pol2Nearby</t>
  </si>
  <si>
    <t>Pol2Else</t>
  </si>
  <si>
    <t>Pol3Else</t>
  </si>
  <si>
    <t>Pol3Nearby</t>
  </si>
  <si>
    <t>NrEmp_0</t>
  </si>
  <si>
    <t>NrEmp_1_49</t>
  </si>
  <si>
    <t>NrEmp_50_249</t>
  </si>
  <si>
    <t>NrEmp_250plus</t>
  </si>
  <si>
    <t>NSites1</t>
  </si>
  <si>
    <t>NSites2_4</t>
  </si>
  <si>
    <t>NSites5plus</t>
  </si>
  <si>
    <t>Manufacturing</t>
  </si>
  <si>
    <t>Services</t>
  </si>
  <si>
    <t>Ingredient</t>
  </si>
  <si>
    <t>Domestic</t>
  </si>
  <si>
    <t>Medical</t>
  </si>
  <si>
    <t>Life stage</t>
  </si>
  <si>
    <t>Financial</t>
  </si>
  <si>
    <t>Communication</t>
  </si>
  <si>
    <t>Financially vulnerable</t>
  </si>
  <si>
    <t>Socially vulnerable</t>
  </si>
  <si>
    <t>Vulnerable (combined)</t>
  </si>
  <si>
    <t>WTP</t>
  </si>
  <si>
    <t>p</t>
  </si>
  <si>
    <t>Issues with tap water colour, taste, or smell</t>
  </si>
  <si>
    <t>All HH</t>
  </si>
  <si>
    <t>All vulnerable</t>
  </si>
  <si>
    <t>PRE PR24</t>
  </si>
  <si>
    <t>ALL - HIGHEST</t>
  </si>
  <si>
    <t>LOW NERA AND ODI - ALL OTHERS HIGHEST</t>
  </si>
  <si>
    <t>NO NERA - HIGHEST</t>
  </si>
  <si>
    <t>NO ODI - HIGHEST</t>
  </si>
  <si>
    <t>NERA ONLY - SSC/YW/WW</t>
  </si>
  <si>
    <t>ODI ONLY - SSC/National</t>
  </si>
  <si>
    <t>NERA ONLY - SSC ONLY</t>
  </si>
  <si>
    <t>ODI ONLY- SSC ONLY</t>
  </si>
  <si>
    <t>ALL - LOWEST</t>
  </si>
  <si>
    <t>ALL - HIGHEST - 
RAG TEST 1</t>
  </si>
  <si>
    <t>ALL - HIGHEST - 
RAG TEST 2</t>
  </si>
  <si>
    <t>South Staffs Water, 2023</t>
  </si>
  <si>
    <t>Original last modified</t>
  </si>
  <si>
    <t>Original Last modified by</t>
  </si>
  <si>
    <t>Original Version</t>
  </si>
  <si>
    <t>David Pearmain</t>
  </si>
  <si>
    <t>Last modified</t>
  </si>
  <si>
    <t>david.pearmain@impactmr.com</t>
  </si>
  <si>
    <t>Tel: +44 1932 963607</t>
  </si>
  <si>
    <t>Mob: +44 77711 696835</t>
  </si>
  <si>
    <t>www.impactmr.com</t>
  </si>
  <si>
    <t>BASED ON THE ORIGINAL PR19 RAG WEIGHTING APPROACH</t>
  </si>
  <si>
    <t>Triangulation of PR24 WTP Values</t>
  </si>
  <si>
    <t>Select weight here</t>
  </si>
  <si>
    <t>Comment</t>
  </si>
  <si>
    <t>SSC Customer priorities online survey results 2022</t>
  </si>
  <si>
    <t xml:space="preserve">Updated information supplied by SSC drawn from recent research on household customers’ priorities </t>
  </si>
  <si>
    <t>Triangulation approach using SSC BAU Data – 2021-2022</t>
  </si>
  <si>
    <t xml:space="preserve">Updated customer contact information supplied by SSC </t>
  </si>
  <si>
    <t>Customer satisfaction metrics 2020-2022</t>
  </si>
  <si>
    <t>Updated information supplied by SSC drawn from Qualtrics point of contact customer satisfaction survey tracking research.  An ‘FCR’ score was derived from the correlations for each measure against overall satisfaction, to represent the relative importance of each service attributes to customers.</t>
  </si>
  <si>
    <t>WRMP24 MCDA</t>
  </si>
  <si>
    <t>Accent Quant MCDA Study - Feb 2022 - FINAL REPORT.pptx</t>
  </si>
  <si>
    <t>Of the range of items tested, only ‘Reduce leakage’ and ‘Habitats for native wildlife and plants’ were relevant for this study.  Households only.</t>
  </si>
  <si>
    <t>Strategic Research Options (SRO)</t>
  </si>
  <si>
    <t>3543rep02_master_SRO_Final_v7.pdf</t>
  </si>
  <si>
    <t>Of the range of items tested, the only item of relevance to this PR24 work was ‘Specialist habitats created for wildlife’</t>
  </si>
  <si>
    <t>ODI rates</t>
  </si>
  <si>
    <t>3524m_ODIResultsGuidance.pdf</t>
  </si>
  <si>
    <t>New research undertaken for Ofwat that covered half of the service attributes tested for SSC.</t>
  </si>
  <si>
    <t>Results available for both SSC and nationally</t>
  </si>
  <si>
    <t>NERA WTP PR24</t>
  </si>
  <si>
    <t>221215 SSCW Report Draft - Revised.pdf</t>
  </si>
  <si>
    <t>New research undertaken for SSC to evaluate 12 areas of improvement</t>
  </si>
  <si>
    <t>Wessex and Yorkshire WTP PR24 study results.pdf</t>
  </si>
  <si>
    <t>New research undertaken for Wessex Water included 4 relevant areas of improvement.</t>
  </si>
  <si>
    <t>New research undertaken for Yorkshire Water included 3 relevant but different areas of improvement</t>
  </si>
  <si>
    <t>Willingness-to-pay research to support PR19: Technical Report (Jan / Feb 2018)</t>
  </si>
  <si>
    <t>SSW PC slider data main results 2018</t>
  </si>
  <si>
    <t>Household customers only - SSC WRMP Quant Survey 2018</t>
  </si>
  <si>
    <t>Non-household (DCE2a), Household customers (tests of sensitivity to Low bills) and both types of customers (‘Private’ priorities) - Willingness-to-pay research to support PR19: Technical Report (Jan / Feb 2018)</t>
  </si>
  <si>
    <t>Original PR19 Sources retained</t>
  </si>
  <si>
    <t>New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</si>
</sst>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8" formatCode="&quot;£&quot;#,##0.00;[Red]\-&quot;£&quot;#,##0.00"/>
    <numFmt numFmtId="44" formatCode="_-&quot;£&quot;* #,##0.00_-;\-&quot;£&quot;* #,##0.00_-;_-&quot;£&quot;* &quot;-&quot;??_-;_-@_-"/>
    <numFmt numFmtId="43" formatCode="_-* #,##0.00_-;\-* #,##0.00_-;_-* &quot;-&quot;??_-;_-@_-"/>
    <numFmt numFmtId="164" formatCode="d/m/yy;@"/>
    <numFmt numFmtId="165" formatCode="0.000"/>
    <numFmt numFmtId="166" formatCode="0.0"/>
    <numFmt numFmtId="167" formatCode="0.0%"/>
    <numFmt numFmtId="168" formatCode="&quot;£&quot;#,##0.00"/>
    <numFmt numFmtId="169" formatCode="&quot;£&quot;#,##0"/>
    <numFmt numFmtId="170" formatCode="&quot;£&quot;#,##0.0"/>
    <numFmt numFmtId="171" formatCode="0.00000"/>
    <numFmt numFmtId="172" formatCode="&quot;£&quot;#,##0.000"/>
    <numFmt numFmtId="173" formatCode="&quot;£&quot;#,##0.0000"/>
    <numFmt numFmtId="174" formatCode="_-* #,##0_-;\-* #,##0_-;_-* &quot;-&quot;??_-;_-@_-"/>
    <numFmt numFmtId="175" formatCode="&quot;Low: £&quot;0.00"/>
    <numFmt numFmtId="176" formatCode="&quot;High: £&quot;0.00"/>
    <numFmt numFmtId="177" formatCode="0.0000"/>
  </numFmts>
  <fonts count="96"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1"/>
      <name val="Calibri"/>
      <family val="2"/>
      <scheme val="minor"/>
    </font>
    <font>
      <sz val="11"/>
      <color theme="1"/>
      <name val="Calibri"/>
      <family val="2"/>
      <scheme val="minor"/>
    </font>
    <font>
      <sz val="11"/>
      <color rgb="FFFF0000"/>
      <name val="Calibri"/>
      <family val="2"/>
      <scheme val="minor"/>
    </font>
    <font>
      <i/>
      <sz val="9"/>
      <color theme="1"/>
      <name val="Calibri"/>
      <family val="2"/>
      <scheme val="minor"/>
    </font>
    <font>
      <sz val="11"/>
      <color rgb="FF0070C0"/>
      <name val="Calibri"/>
      <family val="2"/>
      <scheme val="minor"/>
    </font>
    <font>
      <b/>
      <sz val="11"/>
      <color rgb="FF0070C0"/>
      <name val="Calibri"/>
      <family val="2"/>
      <scheme val="minor"/>
    </font>
    <font>
      <sz val="10"/>
      <color theme="1"/>
      <name val="Calibri"/>
      <family val="2"/>
      <scheme val="minor"/>
    </font>
    <font>
      <b/>
      <sz val="11"/>
      <color rgb="FF00B050"/>
      <name val="Calibri"/>
      <family val="2"/>
      <scheme val="minor"/>
    </font>
    <font>
      <b/>
      <sz val="11"/>
      <color rgb="FFFF0000"/>
      <name val="Calibri"/>
      <family val="2"/>
      <scheme val="minor"/>
    </font>
    <font>
      <sz val="11"/>
      <color rgb="FF000000"/>
      <name val="Calibri"/>
      <family val="2"/>
      <scheme val="minor"/>
    </font>
    <font>
      <sz val="12"/>
      <color theme="1"/>
      <name val="Calibri"/>
      <family val="2"/>
      <scheme val="minor"/>
    </font>
    <font>
      <sz val="11"/>
      <color rgb="FF333333"/>
      <name val="Calibri"/>
      <family val="2"/>
      <scheme val="minor"/>
    </font>
    <font>
      <b/>
      <sz val="11"/>
      <name val="Calibri"/>
      <family val="2"/>
      <scheme val="minor"/>
    </font>
    <font>
      <b/>
      <sz val="14"/>
      <name val="Calibri"/>
      <family val="2"/>
      <scheme val="minor"/>
    </font>
    <font>
      <b/>
      <sz val="15"/>
      <color theme="3"/>
      <name val="Calibri"/>
      <family val="2"/>
      <scheme val="minor"/>
    </font>
    <font>
      <sz val="11"/>
      <color theme="0"/>
      <name val="Calibri"/>
      <family val="2"/>
      <scheme val="minor"/>
    </font>
    <font>
      <u/>
      <sz val="11"/>
      <color theme="10"/>
      <name val="Calibri"/>
      <family val="2"/>
    </font>
    <font>
      <b/>
      <sz val="22"/>
      <color theme="0"/>
      <name val="Calibri"/>
      <family val="2"/>
      <scheme val="minor"/>
    </font>
    <font>
      <b/>
      <sz val="16"/>
      <name val="Calibri"/>
      <family val="2"/>
      <scheme val="minor"/>
    </font>
    <font>
      <b/>
      <sz val="11"/>
      <color rgb="FFFFC000"/>
      <name val="Calibri"/>
      <family val="2"/>
      <scheme val="minor"/>
    </font>
    <font>
      <b/>
      <sz val="15"/>
      <color theme="0"/>
      <name val="Calibri"/>
      <family val="2"/>
      <scheme val="minor"/>
    </font>
    <font>
      <b/>
      <sz val="15"/>
      <color theme="1"/>
      <name val="Calibri"/>
      <family val="2"/>
      <scheme val="minor"/>
    </font>
    <font>
      <sz val="11"/>
      <color theme="5"/>
      <name val="Calibri"/>
      <family val="2"/>
      <scheme val="minor"/>
    </font>
    <font>
      <i/>
      <sz val="11"/>
      <name val="Calibri"/>
      <family val="2"/>
      <scheme val="minor"/>
    </font>
    <font>
      <b/>
      <sz val="15"/>
      <name val="Calibri"/>
      <family val="2"/>
      <scheme val="minor"/>
    </font>
    <font>
      <b/>
      <sz val="9"/>
      <name val="Calibri"/>
      <family val="2"/>
      <scheme val="minor"/>
    </font>
    <font>
      <sz val="9"/>
      <name val="Calibri"/>
      <family val="2"/>
      <scheme val="minor"/>
    </font>
    <font>
      <sz val="11"/>
      <color theme="9"/>
      <name val="Calibri"/>
      <family val="2"/>
      <scheme val="minor"/>
    </font>
    <font>
      <b/>
      <sz val="12"/>
      <name val="Calibri"/>
      <family val="2"/>
      <scheme val="minor"/>
    </font>
    <font>
      <b/>
      <sz val="16"/>
      <color rgb="FF002060"/>
      <name val="Calibri"/>
      <family val="2"/>
      <scheme val="minor"/>
    </font>
    <font>
      <b/>
      <sz val="11"/>
      <color rgb="FF000000"/>
      <name val="Calibri"/>
      <family val="2"/>
      <scheme val="minor"/>
    </font>
    <font>
      <u/>
      <sz val="11"/>
      <color rgb="FF000000"/>
      <name val="Calibri"/>
      <family val="2"/>
      <scheme val="minor"/>
    </font>
    <font>
      <u/>
      <sz val="11"/>
      <color rgb="FF000000"/>
      <name val="Calibri"/>
      <family val="2"/>
    </font>
    <font>
      <i/>
      <sz val="9"/>
      <name val="Calibri"/>
      <family val="2"/>
      <scheme val="minor"/>
    </font>
    <font>
      <b/>
      <sz val="15"/>
      <color rgb="FF000000"/>
      <name val="Calibri"/>
      <family val="2"/>
      <scheme val="minor"/>
    </font>
    <font>
      <u/>
      <sz val="11"/>
      <name val="Calibri"/>
      <family val="2"/>
      <scheme val="minor"/>
    </font>
    <font>
      <sz val="22"/>
      <color theme="0"/>
      <name val="Calibri"/>
      <family val="2"/>
      <scheme val="minor"/>
    </font>
    <font>
      <sz val="12"/>
      <name val="Calibri"/>
      <family val="2"/>
      <scheme val="minor"/>
    </font>
    <font>
      <sz val="8"/>
      <name val="Calibri"/>
      <family val="2"/>
      <scheme val="minor"/>
    </font>
    <font>
      <b/>
      <sz val="11"/>
      <color theme="9"/>
      <name val="Calibri"/>
      <family val="2"/>
      <scheme val="minor"/>
    </font>
    <font>
      <sz val="9"/>
      <color theme="1"/>
      <name val="Calibri"/>
      <family val="2"/>
      <scheme val="minor"/>
    </font>
    <font>
      <b/>
      <sz val="14"/>
      <color rgb="FF000000"/>
      <name val="Calibri"/>
      <family val="2"/>
      <scheme val="minor"/>
    </font>
    <font>
      <sz val="14"/>
      <name val="Calibri"/>
      <family val="2"/>
      <scheme val="minor"/>
    </font>
    <font>
      <b/>
      <sz val="22"/>
      <color rgb="FF000000"/>
      <name val="Calibri"/>
      <family val="2"/>
      <scheme val="minor"/>
    </font>
    <font>
      <sz val="11"/>
      <color rgb="FFC00000"/>
      <name val="Calibri"/>
      <family val="2"/>
      <scheme val="minor"/>
    </font>
    <font>
      <sz val="9"/>
      <color indexed="81"/>
      <name val="Tahoma"/>
      <family val="2"/>
    </font>
    <font>
      <b/>
      <sz val="9"/>
      <color indexed="81"/>
      <name val="Tahoma"/>
      <family val="2"/>
    </font>
    <font>
      <sz val="10"/>
      <color rgb="FF000000"/>
      <name val="Calibri"/>
      <family val="2"/>
      <scheme val="minor"/>
    </font>
    <font>
      <sz val="10"/>
      <color rgb="FFFF0000"/>
      <name val="Calibri"/>
      <family val="2"/>
      <scheme val="minor"/>
    </font>
    <font>
      <sz val="10"/>
      <name val="Calibri"/>
      <family val="2"/>
      <scheme val="minor"/>
    </font>
    <font>
      <sz val="10"/>
      <color rgb="FFC00000"/>
      <name val="Calibri"/>
      <family val="2"/>
      <scheme val="minor"/>
    </font>
    <font>
      <sz val="11"/>
      <color rgb="FF7030A0"/>
      <name val="Calibri"/>
      <family val="2"/>
      <scheme val="minor"/>
    </font>
    <font>
      <b/>
      <sz val="10"/>
      <color rgb="FF000000"/>
      <name val="Calibri"/>
      <family val="2"/>
      <scheme val="minor"/>
    </font>
    <font>
      <b/>
      <sz val="12"/>
      <color rgb="FF000000"/>
      <name val="Calibri"/>
      <family val="2"/>
      <scheme val="minor"/>
    </font>
    <font>
      <sz val="15"/>
      <color theme="0"/>
      <name val="Calibri"/>
      <family val="2"/>
      <scheme val="minor"/>
    </font>
    <font>
      <sz val="16"/>
      <name val="Calibri"/>
      <family val="2"/>
      <scheme val="minor"/>
    </font>
    <font>
      <sz val="15"/>
      <color rgb="FF000000"/>
      <name val="Calibri"/>
      <family val="2"/>
      <scheme val="minor"/>
    </font>
    <font>
      <sz val="11"/>
      <name val="Calibri"/>
      <family val="2"/>
    </font>
    <font>
      <b/>
      <sz val="10"/>
      <name val="Calibri"/>
      <family val="2"/>
      <scheme val="minor"/>
    </font>
    <font>
      <b/>
      <sz val="15"/>
      <color theme="9"/>
      <name val="Calibri"/>
      <family val="2"/>
      <scheme val="minor"/>
    </font>
    <font>
      <b/>
      <sz val="18"/>
      <color theme="0"/>
      <name val="Calibri"/>
      <family val="2"/>
      <scheme val="minor"/>
    </font>
    <font>
      <b/>
      <sz val="18"/>
      <name val="Calibri"/>
      <family val="2"/>
      <scheme val="minor"/>
    </font>
    <font>
      <sz val="11"/>
      <color theme="0" tint="-0.499984740745262"/>
      <name val="Calibri"/>
      <family val="2"/>
      <scheme val="minor"/>
    </font>
    <font>
      <i/>
      <sz val="9"/>
      <color rgb="FFFF0000"/>
      <name val="Calibri"/>
      <family val="2"/>
      <scheme val="minor"/>
    </font>
    <font>
      <sz val="11"/>
      <color theme="9" tint="0.59999389629810485"/>
      <name val="Calibri"/>
      <family val="2"/>
      <scheme val="minor"/>
    </font>
    <font>
      <b/>
      <sz val="11"/>
      <color indexed="30"/>
      <name val="Calibri"/>
      <family val="2"/>
      <scheme val="minor"/>
    </font>
    <font>
      <sz val="11"/>
      <color rgb="FF777777"/>
      <name val="Calibri"/>
      <family val="2"/>
      <scheme val="minor"/>
    </font>
    <font>
      <b/>
      <sz val="11"/>
      <color rgb="FF777777"/>
      <name val="Calibri"/>
      <family val="2"/>
      <scheme val="minor"/>
    </font>
    <font>
      <b/>
      <sz val="11"/>
      <color theme="0"/>
      <name val="Calibri"/>
      <family val="2"/>
      <scheme val="minor"/>
    </font>
    <font>
      <u/>
      <sz val="11"/>
      <color theme="0"/>
      <name val="Calibri"/>
      <family val="2"/>
      <scheme val="minor"/>
    </font>
    <font>
      <sz val="16"/>
      <color theme="0"/>
      <name val="Calibri"/>
      <family val="2"/>
      <scheme val="minor"/>
    </font>
    <font>
      <sz val="12"/>
      <color theme="0"/>
      <name val="Calibri"/>
      <family val="2"/>
      <scheme val="minor"/>
    </font>
    <font>
      <b/>
      <sz val="12"/>
      <color theme="0"/>
      <name val="Calibri"/>
      <family val="2"/>
      <scheme val="minor"/>
    </font>
    <font>
      <i/>
      <sz val="9"/>
      <color theme="0"/>
      <name val="Calibri"/>
      <family val="2"/>
      <scheme val="minor"/>
    </font>
    <font>
      <b/>
      <sz val="10"/>
      <color theme="0"/>
      <name val="Calibri"/>
      <family val="2"/>
    </font>
    <font>
      <sz val="9"/>
      <color theme="0"/>
      <name val="Calibri"/>
      <family val="2"/>
    </font>
    <font>
      <sz val="11"/>
      <color theme="4"/>
      <name val="Calibri"/>
      <family val="2"/>
      <scheme val="minor"/>
    </font>
    <font>
      <sz val="15"/>
      <color theme="0" tint="-0.249977111117893"/>
      <name val="Calibri"/>
      <family val="2"/>
      <scheme val="minor"/>
    </font>
    <font>
      <i/>
      <sz val="8"/>
      <color theme="1"/>
      <name val="Calibri"/>
      <family val="2"/>
      <scheme val="minor"/>
    </font>
    <font>
      <sz val="8"/>
      <color rgb="FF000000"/>
      <name val="Segoe UI"/>
      <family val="2"/>
    </font>
    <font>
      <sz val="9"/>
      <color theme="1"/>
      <name val="Times New Roman"/>
      <family val="1"/>
    </font>
    <font>
      <b/>
      <sz val="10"/>
      <color theme="1"/>
      <name val="Arial"/>
      <family val="2"/>
    </font>
    <font>
      <sz val="10"/>
      <color theme="1"/>
      <name val="Arial"/>
      <family val="2"/>
    </font>
    <font>
      <sz val="14"/>
      <color theme="1"/>
      <name val="Calibri"/>
      <family val="2"/>
      <scheme val="minor"/>
    </font>
    <font>
      <sz val="11"/>
      <color theme="0" tint="-0.14999847407452621"/>
      <name val="Calibri"/>
      <family val="2"/>
      <scheme val="minor"/>
    </font>
    <font>
      <sz val="11"/>
      <color rgb="FF3C3C3B"/>
      <name val="Calibri"/>
      <family val="2"/>
    </font>
    <font>
      <b/>
      <sz val="11"/>
      <color rgb="FF3C3C3B"/>
      <name val="Calibri"/>
      <family val="2"/>
    </font>
    <font>
      <b/>
      <u/>
      <sz val="11"/>
      <color rgb="FFFFFFFF"/>
      <name val="Calibri"/>
      <family val="2"/>
    </font>
    <font>
      <b/>
      <sz val="11"/>
      <color rgb="FFFFFFFF"/>
      <name val="Calibri"/>
      <family val="2"/>
    </font>
    <font>
      <sz val="10"/>
      <color rgb="FF3C3C3B"/>
      <name val="Calibri"/>
      <family val="2"/>
    </font>
    <font>
      <sz val="10"/>
      <name val="Calibri"/>
      <family val="2"/>
    </font>
    <font>
      <sz val="10"/>
      <color rgb="FF000000"/>
      <name val="Calibri"/>
      <family val="2"/>
    </font>
  </fonts>
  <fills count="28">
    <fill>
      <patternFill patternType="none"/>
    </fill>
    <fill>
      <patternFill patternType="gray125"/>
    </fill>
    <fill>
      <patternFill patternType="solid">
        <fgColor theme="0" tint="-0.14999847407452621"/>
        <bgColor indexed="64"/>
      </patternFill>
    </fill>
    <fill>
      <patternFill patternType="solid">
        <fgColor rgb="FFFFFEFE"/>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patternFill>
    </fill>
    <fill>
      <patternFill patternType="solid">
        <fgColor theme="6"/>
      </patternFill>
    </fill>
    <fill>
      <patternFill patternType="solid">
        <fgColor theme="7"/>
        <bgColor indexed="64"/>
      </patternFill>
    </fill>
    <fill>
      <patternFill patternType="solid">
        <fgColor theme="0"/>
        <bgColor indexed="64"/>
      </patternFill>
    </fill>
    <fill>
      <patternFill patternType="solid">
        <fgColor theme="1"/>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0" tint="-0.249977111117893"/>
        <bgColor indexed="64"/>
      </patternFill>
    </fill>
    <fill>
      <patternFill patternType="solid">
        <fgColor theme="4" tint="0.89999084444715716"/>
        <bgColor indexed="64"/>
      </patternFill>
    </fill>
    <fill>
      <patternFill patternType="solid">
        <fgColor theme="1" tint="0.59999389629810485"/>
        <bgColor indexed="64"/>
      </patternFill>
    </fill>
    <fill>
      <patternFill patternType="solid">
        <fgColor theme="0" tint="-0.34998626667073579"/>
        <bgColor indexed="64"/>
      </patternFill>
    </fill>
    <fill>
      <patternFill patternType="solid">
        <fgColor rgb="FFFFFF99"/>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rgb="FF92D050"/>
        <bgColor indexed="64"/>
      </patternFill>
    </fill>
    <fill>
      <patternFill patternType="solid">
        <fgColor rgb="FF007EC5"/>
        <bgColor indexed="64"/>
      </patternFill>
    </fill>
    <fill>
      <patternFill patternType="solid">
        <fgColor rgb="FFC0E8FF"/>
        <bgColor indexed="64"/>
      </patternFill>
    </fill>
  </fills>
  <borders count="74">
    <border>
      <left/>
      <right/>
      <top/>
      <bottom/>
      <diagonal/>
    </border>
    <border>
      <left/>
      <right style="thin">
        <color theme="2"/>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dotted">
        <color indexed="64"/>
      </right>
      <top/>
      <bottom/>
      <diagonal/>
    </border>
    <border>
      <left/>
      <right/>
      <top/>
      <bottom style="thin">
        <color indexed="64"/>
      </bottom>
      <diagonal/>
    </border>
    <border>
      <left/>
      <right style="dotted">
        <color indexed="64"/>
      </right>
      <top/>
      <bottom style="thin">
        <color indexed="64"/>
      </bottom>
      <diagonal/>
    </border>
    <border>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right style="mediumDashed">
        <color rgb="FF8F929F"/>
      </right>
      <top/>
      <bottom/>
      <diagonal/>
    </border>
    <border>
      <left/>
      <right style="mediumDashed">
        <color rgb="FF8F929F"/>
      </right>
      <top/>
      <bottom style="medium">
        <color rgb="FF000000"/>
      </bottom>
      <diagonal/>
    </border>
    <border>
      <left/>
      <right/>
      <top/>
      <bottom style="mediumDashed">
        <color rgb="FF8F929F"/>
      </bottom>
      <diagonal/>
    </border>
    <border>
      <left/>
      <right style="medium">
        <color rgb="FF000000"/>
      </right>
      <top/>
      <bottom style="mediumDashed">
        <color rgb="FF8F929F"/>
      </bottom>
      <diagonal/>
    </border>
    <border>
      <left/>
      <right style="mediumDashed">
        <color rgb="FF8F929F"/>
      </right>
      <top/>
      <bottom style="mediumDashed">
        <color rgb="FF8F929F"/>
      </bottom>
      <diagonal/>
    </border>
    <border>
      <left style="medium">
        <color rgb="FF000000"/>
      </left>
      <right/>
      <top/>
      <bottom style="medium">
        <color rgb="FF000000"/>
      </bottom>
      <diagonal/>
    </border>
    <border>
      <left/>
      <right/>
      <top style="medium">
        <color rgb="FF000000"/>
      </top>
      <bottom/>
      <diagonal/>
    </border>
    <border>
      <left/>
      <right/>
      <top style="mediumDashed">
        <color rgb="FF8F929F"/>
      </top>
      <bottom/>
      <diagonal/>
    </border>
    <border>
      <left/>
      <right style="medium">
        <color rgb="FF000000"/>
      </right>
      <top style="mediumDashed">
        <color rgb="FF8F929F"/>
      </top>
      <bottom/>
      <diagonal/>
    </border>
    <border>
      <left style="medium">
        <color rgb="FF000000"/>
      </left>
      <right/>
      <top style="mediumDashed">
        <color rgb="FF8F929F"/>
      </top>
      <bottom/>
      <diagonal/>
    </border>
    <border>
      <left/>
      <right style="mediumDashed">
        <color rgb="FF8F929F"/>
      </right>
      <top style="mediumDashed">
        <color rgb="FF8F929F"/>
      </top>
      <bottom/>
      <diagonal/>
    </border>
    <border>
      <left style="mediumDashed">
        <color rgb="FF8F929F"/>
      </left>
      <right/>
      <top style="mediumDashed">
        <color rgb="FF8F929F"/>
      </top>
      <bottom/>
      <diagonal/>
    </border>
    <border>
      <left/>
      <right/>
      <top style="medium">
        <color rgb="FF000000"/>
      </top>
      <bottom style="mediumDashed">
        <color rgb="FF8F929F"/>
      </bottom>
      <diagonal/>
    </border>
    <border>
      <left/>
      <right style="medium">
        <color rgb="FF000000"/>
      </right>
      <top style="medium">
        <color rgb="FF000000"/>
      </top>
      <bottom style="mediumDashed">
        <color rgb="FF8F929F"/>
      </bottom>
      <diagonal/>
    </border>
    <border>
      <left/>
      <right style="mediumDashed">
        <color rgb="FF8F929F"/>
      </right>
      <top style="medium">
        <color rgb="FF000000"/>
      </top>
      <bottom style="mediumDashed">
        <color rgb="FF8F929F"/>
      </bottom>
      <diagonal/>
    </border>
    <border>
      <left style="mediumDashed">
        <color rgb="FF8F929F"/>
      </left>
      <right/>
      <top/>
      <bottom style="medium">
        <color rgb="FF000000"/>
      </bottom>
      <diagonal/>
    </border>
    <border>
      <left/>
      <right style="medium">
        <color rgb="FF000000"/>
      </right>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7EC5"/>
      </left>
      <right/>
      <top style="medium">
        <color rgb="FF007EC5"/>
      </top>
      <bottom style="medium">
        <color rgb="FF007EC5"/>
      </bottom>
      <diagonal/>
    </border>
    <border>
      <left/>
      <right/>
      <top style="medium">
        <color rgb="FF007EC5"/>
      </top>
      <bottom style="medium">
        <color rgb="FF007EC5"/>
      </bottom>
      <diagonal/>
    </border>
    <border>
      <left/>
      <right style="medium">
        <color rgb="FF007EC5"/>
      </right>
      <top style="medium">
        <color rgb="FF007EC5"/>
      </top>
      <bottom style="medium">
        <color rgb="FF007EC5"/>
      </bottom>
      <diagonal/>
    </border>
    <border>
      <left style="medium">
        <color rgb="FF43BBFF"/>
      </left>
      <right style="medium">
        <color rgb="FF43BBFF"/>
      </right>
      <top/>
      <bottom style="medium">
        <color rgb="FF43BBFF"/>
      </bottom>
      <diagonal/>
    </border>
    <border>
      <left/>
      <right style="medium">
        <color rgb="FF43BBFF"/>
      </right>
      <top/>
      <bottom style="medium">
        <color rgb="FF43BBFF"/>
      </bottom>
      <diagonal/>
    </border>
    <border>
      <left style="medium">
        <color rgb="FF43BBFF"/>
      </left>
      <right style="medium">
        <color rgb="FF43BBFF"/>
      </right>
      <top/>
      <bottom/>
      <diagonal/>
    </border>
    <border>
      <left/>
      <right style="medium">
        <color rgb="FF43BBFF"/>
      </right>
      <top/>
      <bottom/>
      <diagonal/>
    </border>
    <border>
      <left style="medium">
        <color rgb="FF43BBFF"/>
      </left>
      <right style="medium">
        <color rgb="FF43BBFF"/>
      </right>
      <top style="medium">
        <color rgb="FF43BBFF"/>
      </top>
      <bottom/>
      <diagonal/>
    </border>
    <border>
      <left style="thin">
        <color rgb="FF00B0F0"/>
      </left>
      <right style="medium">
        <color rgb="FF43BBFF"/>
      </right>
      <top style="thin">
        <color rgb="FF00B0F0"/>
      </top>
      <bottom style="medium">
        <color rgb="FF43BBFF"/>
      </bottom>
      <diagonal/>
    </border>
    <border>
      <left/>
      <right style="thin">
        <color rgb="FF00B0F0"/>
      </right>
      <top style="thin">
        <color rgb="FF00B0F0"/>
      </top>
      <bottom/>
      <diagonal/>
    </border>
    <border>
      <left style="thin">
        <color rgb="FF00B0F0"/>
      </left>
      <right style="medium">
        <color rgb="FF43BBFF"/>
      </right>
      <top/>
      <bottom style="medium">
        <color rgb="FF43BBFF"/>
      </bottom>
      <diagonal/>
    </border>
    <border>
      <left/>
      <right style="thin">
        <color rgb="FF00B0F0"/>
      </right>
      <top/>
      <bottom/>
      <diagonal/>
    </border>
    <border>
      <left/>
      <right style="thin">
        <color rgb="FF00B0F0"/>
      </right>
      <top/>
      <bottom style="medium">
        <color rgb="FF43BBFF"/>
      </bottom>
      <diagonal/>
    </border>
    <border>
      <left/>
      <right style="thin">
        <color rgb="FF00B0F0"/>
      </right>
      <top style="medium">
        <color rgb="FF43BBFF"/>
      </top>
      <bottom/>
      <diagonal/>
    </border>
    <border>
      <left style="thin">
        <color rgb="FF00B0F0"/>
      </left>
      <right style="medium">
        <color rgb="FF43BBFF"/>
      </right>
      <top/>
      <bottom style="thin">
        <color rgb="FF00B0F0"/>
      </bottom>
      <diagonal/>
    </border>
    <border>
      <left/>
      <right style="thin">
        <color rgb="FF00B0F0"/>
      </right>
      <top/>
      <bottom style="thin">
        <color rgb="FF00B0F0"/>
      </bottom>
      <diagonal/>
    </border>
    <border>
      <left style="medium">
        <color rgb="FF43BBFF"/>
      </left>
      <right style="thin">
        <color rgb="FF00B0F0"/>
      </right>
      <top style="thin">
        <color rgb="FF00B0F0"/>
      </top>
      <bottom style="medium">
        <color rgb="FF43BBFF"/>
      </bottom>
      <diagonal/>
    </border>
  </borders>
  <cellStyleXfs count="8">
    <xf numFmtId="0" fontId="0" fillId="0" borderId="0"/>
    <xf numFmtId="0" fontId="2"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18" fillId="0" borderId="21" applyNumberFormat="0" applyFill="0" applyAlignment="0" applyProtection="0"/>
    <xf numFmtId="0" fontId="19" fillId="9" borderId="0" applyNumberFormat="0" applyBorder="0" applyAlignment="0" applyProtection="0"/>
    <xf numFmtId="0" fontId="19" fillId="10" borderId="0" applyNumberFormat="0" applyBorder="0" applyAlignment="0" applyProtection="0"/>
    <xf numFmtId="0" fontId="20" fillId="0" borderId="0" applyNumberFormat="0" applyFill="0" applyBorder="0" applyAlignment="0" applyProtection="0">
      <alignment vertical="top"/>
      <protection locked="0"/>
    </xf>
  </cellStyleXfs>
  <cellXfs count="1012">
    <xf numFmtId="0" fontId="0" fillId="0" borderId="0" xfId="0"/>
    <xf numFmtId="0" fontId="0" fillId="3" borderId="0" xfId="0" applyFill="1"/>
    <xf numFmtId="0" fontId="3" fillId="3" borderId="0" xfId="0" applyFont="1" applyFill="1"/>
    <xf numFmtId="0" fontId="1" fillId="0" borderId="0" xfId="0" applyFont="1"/>
    <xf numFmtId="0" fontId="1" fillId="2" borderId="0" xfId="0" applyFont="1" applyFill="1"/>
    <xf numFmtId="0" fontId="6" fillId="0" borderId="0" xfId="0" applyFont="1"/>
    <xf numFmtId="167" fontId="0" fillId="0" borderId="0" xfId="3" applyNumberFormat="1" applyFont="1"/>
    <xf numFmtId="0" fontId="4" fillId="0" borderId="0" xfId="0" applyFont="1"/>
    <xf numFmtId="166" fontId="8" fillId="0" borderId="0" xfId="0" applyNumberFormat="1" applyFont="1"/>
    <xf numFmtId="0" fontId="0" fillId="0" borderId="0" xfId="0" applyAlignment="1">
      <alignment horizontal="left" vertical="top"/>
    </xf>
    <xf numFmtId="168" fontId="0" fillId="0" borderId="0" xfId="0" applyNumberFormat="1"/>
    <xf numFmtId="0" fontId="0" fillId="2" borderId="0" xfId="0" applyFill="1"/>
    <xf numFmtId="10" fontId="0" fillId="0" borderId="0" xfId="3" applyNumberFormat="1" applyFont="1" applyAlignment="1">
      <alignment horizontal="center"/>
    </xf>
    <xf numFmtId="168" fontId="0" fillId="2" borderId="0" xfId="0" applyNumberFormat="1" applyFill="1"/>
    <xf numFmtId="0" fontId="0" fillId="2" borderId="0" xfId="0" applyFill="1" applyAlignment="1">
      <alignment horizontal="right"/>
    </xf>
    <xf numFmtId="9" fontId="0" fillId="2" borderId="0" xfId="3" applyFont="1" applyFill="1" applyAlignment="1">
      <alignment horizontal="right"/>
    </xf>
    <xf numFmtId="168" fontId="0" fillId="0" borderId="0" xfId="0" applyNumberFormat="1" applyAlignment="1">
      <alignment horizontal="right"/>
    </xf>
    <xf numFmtId="0" fontId="4" fillId="0" borderId="0" xfId="0" applyFont="1" applyAlignment="1">
      <alignment vertical="top"/>
    </xf>
    <xf numFmtId="0" fontId="4" fillId="0" borderId="3" xfId="0" applyFont="1" applyBorder="1" applyAlignment="1">
      <alignment vertical="center"/>
    </xf>
    <xf numFmtId="0" fontId="4" fillId="0" borderId="0" xfId="0" applyFont="1" applyAlignment="1">
      <alignment horizontal="left" vertical="center" wrapText="1"/>
    </xf>
    <xf numFmtId="0" fontId="10" fillId="0" borderId="0" xfId="0" applyFont="1"/>
    <xf numFmtId="166" fontId="8" fillId="0" borderId="0" xfId="3" applyNumberFormat="1" applyFont="1"/>
    <xf numFmtId="0" fontId="9" fillId="0" borderId="0" xfId="0" applyFont="1"/>
    <xf numFmtId="0" fontId="13" fillId="0" borderId="0" xfId="0" applyFont="1"/>
    <xf numFmtId="0" fontId="1" fillId="0" borderId="0" xfId="0" applyFont="1" applyAlignment="1">
      <alignment wrapText="1"/>
    </xf>
    <xf numFmtId="166" fontId="0" fillId="2" borderId="0" xfId="0" applyNumberFormat="1" applyFill="1"/>
    <xf numFmtId="1" fontId="4" fillId="0" borderId="0" xfId="0" applyNumberFormat="1" applyFont="1"/>
    <xf numFmtId="0" fontId="14" fillId="2" borderId="0" xfId="0" applyFont="1" applyFill="1"/>
    <xf numFmtId="2" fontId="0" fillId="0" borderId="0" xfId="0" applyNumberFormat="1" applyAlignment="1">
      <alignment horizontal="center"/>
    </xf>
    <xf numFmtId="166" fontId="1" fillId="0" borderId="0" xfId="0" applyNumberFormat="1" applyFont="1"/>
    <xf numFmtId="10" fontId="4" fillId="0" borderId="0" xfId="3" applyNumberFormat="1" applyFont="1"/>
    <xf numFmtId="168" fontId="4" fillId="0" borderId="0" xfId="0" applyNumberFormat="1" applyFont="1" applyAlignment="1">
      <alignment horizontal="center"/>
    </xf>
    <xf numFmtId="9" fontId="9" fillId="2" borderId="0" xfId="0" applyNumberFormat="1" applyFont="1" applyFill="1"/>
    <xf numFmtId="0" fontId="9" fillId="2" borderId="0" xfId="0" applyFont="1" applyFill="1"/>
    <xf numFmtId="168" fontId="9" fillId="2" borderId="0" xfId="0" applyNumberFormat="1" applyFont="1" applyFill="1"/>
    <xf numFmtId="167" fontId="8" fillId="0" borderId="0" xfId="3" applyNumberFormat="1" applyFont="1"/>
    <xf numFmtId="167" fontId="5" fillId="0" borderId="0" xfId="3" applyNumberFormat="1" applyFont="1"/>
    <xf numFmtId="1" fontId="5" fillId="0" borderId="0" xfId="3" applyNumberFormat="1" applyFont="1"/>
    <xf numFmtId="168" fontId="0" fillId="2" borderId="0" xfId="0" applyNumberFormat="1" applyFill="1" applyAlignment="1">
      <alignment horizontal="center"/>
    </xf>
    <xf numFmtId="0" fontId="0" fillId="2" borderId="0" xfId="0" applyFill="1" applyAlignment="1">
      <alignment horizontal="center"/>
    </xf>
    <xf numFmtId="9" fontId="9" fillId="0" borderId="0" xfId="0" applyNumberFormat="1" applyFont="1"/>
    <xf numFmtId="166" fontId="8" fillId="0" borderId="0" xfId="3" applyNumberFormat="1" applyFont="1" applyFill="1"/>
    <xf numFmtId="168" fontId="9" fillId="0" borderId="0" xfId="0" applyNumberFormat="1" applyFont="1"/>
    <xf numFmtId="168" fontId="4" fillId="0" borderId="0" xfId="0" applyNumberFormat="1" applyFont="1"/>
    <xf numFmtId="168" fontId="1" fillId="0" borderId="0" xfId="0" applyNumberFormat="1" applyFont="1" applyAlignment="1">
      <alignment horizontal="center"/>
    </xf>
    <xf numFmtId="0" fontId="1" fillId="0" borderId="0" xfId="0" applyFont="1" applyAlignment="1">
      <alignment horizontal="center"/>
    </xf>
    <xf numFmtId="2" fontId="0" fillId="0" borderId="0" xfId="3" applyNumberFormat="1" applyFont="1" applyAlignment="1">
      <alignment horizontal="center"/>
    </xf>
    <xf numFmtId="168" fontId="17" fillId="2" borderId="0" xfId="0" applyNumberFormat="1" applyFont="1" applyFill="1" applyAlignment="1">
      <alignment horizontal="centerContinuous"/>
    </xf>
    <xf numFmtId="168" fontId="17" fillId="5" borderId="0" xfId="0" applyNumberFormat="1" applyFont="1" applyFill="1" applyAlignment="1">
      <alignment horizontal="centerContinuous"/>
    </xf>
    <xf numFmtId="0" fontId="17" fillId="5" borderId="0" xfId="0" applyFont="1" applyFill="1" applyAlignment="1">
      <alignment horizontal="centerContinuous"/>
    </xf>
    <xf numFmtId="0" fontId="4" fillId="2" borderId="0" xfId="0" applyFont="1" applyFill="1"/>
    <xf numFmtId="0" fontId="16" fillId="0" borderId="0" xfId="0" applyFont="1"/>
    <xf numFmtId="0" fontId="16" fillId="2" borderId="0" xfId="0" applyFont="1" applyFill="1"/>
    <xf numFmtId="0" fontId="4" fillId="0" borderId="0" xfId="0" applyFont="1" applyAlignment="1">
      <alignment wrapText="1"/>
    </xf>
    <xf numFmtId="0" fontId="16" fillId="2" borderId="0" xfId="0" applyFont="1" applyFill="1" applyAlignment="1">
      <alignment wrapText="1"/>
    </xf>
    <xf numFmtId="9" fontId="4" fillId="8" borderId="5" xfId="0" applyNumberFormat="1" applyFont="1" applyFill="1" applyBorder="1"/>
    <xf numFmtId="9" fontId="4" fillId="8" borderId="7" xfId="0" applyNumberFormat="1" applyFont="1" applyFill="1" applyBorder="1"/>
    <xf numFmtId="9" fontId="4" fillId="8" borderId="9" xfId="0" applyNumberFormat="1" applyFont="1" applyFill="1" applyBorder="1"/>
    <xf numFmtId="0" fontId="4" fillId="0" borderId="13" xfId="0" applyFont="1" applyBorder="1" applyAlignment="1">
      <alignment horizontal="center"/>
    </xf>
    <xf numFmtId="0" fontId="16" fillId="0" borderId="16" xfId="0" applyFont="1" applyBorder="1" applyAlignment="1">
      <alignment horizontal="right"/>
    </xf>
    <xf numFmtId="0" fontId="16" fillId="0" borderId="18" xfId="0" applyFont="1" applyBorder="1" applyAlignment="1">
      <alignment horizontal="right"/>
    </xf>
    <xf numFmtId="0" fontId="16" fillId="0" borderId="14" xfId="0" applyFont="1" applyBorder="1" applyAlignment="1">
      <alignment horizontal="center"/>
    </xf>
    <xf numFmtId="0" fontId="16" fillId="0" borderId="15" xfId="0" applyFont="1" applyBorder="1" applyAlignment="1">
      <alignment horizontal="center"/>
    </xf>
    <xf numFmtId="0" fontId="4" fillId="0" borderId="2" xfId="0" applyFont="1" applyBorder="1" applyAlignment="1">
      <alignment horizontal="right"/>
    </xf>
    <xf numFmtId="0" fontId="16" fillId="0" borderId="2" xfId="0" applyFont="1" applyBorder="1" applyAlignment="1">
      <alignment horizontal="right"/>
    </xf>
    <xf numFmtId="0" fontId="16" fillId="0" borderId="2" xfId="0" applyFont="1" applyBorder="1" applyAlignment="1">
      <alignment horizontal="center" wrapText="1"/>
    </xf>
    <xf numFmtId="0" fontId="16" fillId="0" borderId="4" xfId="0" applyFont="1" applyBorder="1"/>
    <xf numFmtId="0" fontId="16" fillId="0" borderId="5" xfId="0" applyFont="1" applyBorder="1" applyAlignment="1">
      <alignment horizontal="right" wrapText="1"/>
    </xf>
    <xf numFmtId="0" fontId="11" fillId="0" borderId="4" xfId="0" applyFont="1" applyBorder="1" applyAlignment="1">
      <alignment horizontal="right"/>
    </xf>
    <xf numFmtId="0" fontId="1" fillId="0" borderId="6" xfId="0" applyFont="1" applyBorder="1" applyAlignment="1">
      <alignment horizontal="right"/>
    </xf>
    <xf numFmtId="0" fontId="12" fillId="0" borderId="8" xfId="0" applyFont="1" applyBorder="1" applyAlignment="1">
      <alignment horizontal="right"/>
    </xf>
    <xf numFmtId="0" fontId="23" fillId="0" borderId="6" xfId="0" applyFont="1" applyBorder="1" applyAlignment="1">
      <alignment horizontal="right"/>
    </xf>
    <xf numFmtId="2" fontId="8" fillId="0" borderId="0" xfId="0" applyNumberFormat="1" applyFont="1" applyAlignment="1">
      <alignment horizontal="right"/>
    </xf>
    <xf numFmtId="9" fontId="8" fillId="0" borderId="0" xfId="3" applyFont="1" applyAlignment="1">
      <alignment horizontal="right"/>
    </xf>
    <xf numFmtId="9" fontId="9" fillId="2" borderId="0" xfId="0" applyNumberFormat="1" applyFont="1" applyFill="1" applyAlignment="1">
      <alignment horizontal="right"/>
    </xf>
    <xf numFmtId="2" fontId="1" fillId="2" borderId="0" xfId="0" applyNumberFormat="1" applyFont="1" applyFill="1" applyAlignment="1">
      <alignment horizontal="right"/>
    </xf>
    <xf numFmtId="0" fontId="21" fillId="9" borderId="0" xfId="5" applyFont="1"/>
    <xf numFmtId="0" fontId="21" fillId="9" borderId="0" xfId="5" applyFont="1" applyAlignment="1"/>
    <xf numFmtId="0" fontId="15" fillId="12" borderId="0" xfId="0" applyFont="1" applyFill="1"/>
    <xf numFmtId="167" fontId="9" fillId="0" borderId="0" xfId="0" applyNumberFormat="1" applyFont="1"/>
    <xf numFmtId="0" fontId="26" fillId="0" borderId="0" xfId="0" applyFont="1"/>
    <xf numFmtId="2" fontId="4" fillId="0" borderId="0" xfId="0" applyNumberFormat="1" applyFont="1" applyAlignment="1">
      <alignment horizontal="right"/>
    </xf>
    <xf numFmtId="0" fontId="27" fillId="2" borderId="0" xfId="0" applyFont="1" applyFill="1"/>
    <xf numFmtId="0" fontId="4" fillId="2" borderId="0" xfId="0" applyFont="1" applyFill="1" applyAlignment="1">
      <alignment horizontal="right"/>
    </xf>
    <xf numFmtId="9" fontId="16" fillId="2" borderId="0" xfId="0" applyNumberFormat="1" applyFont="1" applyFill="1"/>
    <xf numFmtId="0" fontId="28" fillId="2" borderId="0" xfId="4" applyFont="1" applyFill="1" applyBorder="1"/>
    <xf numFmtId="0" fontId="16" fillId="2" borderId="0" xfId="0" applyFont="1" applyFill="1" applyAlignment="1">
      <alignment horizontal="center"/>
    </xf>
    <xf numFmtId="0" fontId="4" fillId="2" borderId="0" xfId="0" applyFont="1" applyFill="1" applyAlignment="1">
      <alignment horizontal="center"/>
    </xf>
    <xf numFmtId="0" fontId="16" fillId="2" borderId="0" xfId="0" applyFont="1" applyFill="1" applyAlignment="1">
      <alignment horizontal="right" wrapText="1"/>
    </xf>
    <xf numFmtId="168" fontId="5" fillId="0" borderId="0" xfId="3" applyNumberFormat="1" applyFont="1"/>
    <xf numFmtId="168" fontId="5" fillId="0" borderId="0" xfId="0" applyNumberFormat="1" applyFont="1"/>
    <xf numFmtId="9" fontId="5" fillId="0" borderId="0" xfId="3" applyFont="1"/>
    <xf numFmtId="168" fontId="1" fillId="2" borderId="0" xfId="0" applyNumberFormat="1" applyFont="1" applyFill="1"/>
    <xf numFmtId="9" fontId="1" fillId="2" borderId="0" xfId="0" applyNumberFormat="1" applyFont="1" applyFill="1"/>
    <xf numFmtId="9" fontId="1" fillId="2" borderId="0" xfId="0" applyNumberFormat="1" applyFont="1" applyFill="1" applyAlignment="1">
      <alignment horizontal="right"/>
    </xf>
    <xf numFmtId="166" fontId="0" fillId="0" borderId="0" xfId="3" applyNumberFormat="1" applyFont="1"/>
    <xf numFmtId="167" fontId="1" fillId="0" borderId="0" xfId="0" applyNumberFormat="1" applyFont="1"/>
    <xf numFmtId="0" fontId="16" fillId="0" borderId="0" xfId="0" applyFont="1" applyAlignment="1">
      <alignment horizontal="right"/>
    </xf>
    <xf numFmtId="0" fontId="16" fillId="2" borderId="0" xfId="0" applyFont="1" applyFill="1" applyAlignment="1">
      <alignment horizontal="centerContinuous"/>
    </xf>
    <xf numFmtId="0" fontId="4" fillId="2" borderId="0" xfId="0" applyFont="1" applyFill="1" applyAlignment="1">
      <alignment horizontal="centerContinuous"/>
    </xf>
    <xf numFmtId="0" fontId="16" fillId="0" borderId="0" xfId="0" applyFont="1" applyAlignment="1">
      <alignment horizontal="right" wrapText="1"/>
    </xf>
    <xf numFmtId="1" fontId="4" fillId="0" borderId="0" xfId="0" applyNumberFormat="1" applyFont="1" applyAlignment="1">
      <alignment horizontal="right"/>
    </xf>
    <xf numFmtId="0" fontId="27" fillId="0" borderId="0" xfId="0" applyFont="1"/>
    <xf numFmtId="10" fontId="4" fillId="0" borderId="0" xfId="3" applyNumberFormat="1" applyFont="1" applyBorder="1" applyAlignment="1">
      <alignment horizontal="center"/>
    </xf>
    <xf numFmtId="10" fontId="4" fillId="0" borderId="0" xfId="3" applyNumberFormat="1" applyFont="1" applyAlignment="1">
      <alignment horizontal="center"/>
    </xf>
    <xf numFmtId="167" fontId="4" fillId="0" borderId="0" xfId="0" applyNumberFormat="1" applyFont="1" applyAlignment="1">
      <alignment horizontal="center"/>
    </xf>
    <xf numFmtId="0" fontId="4" fillId="0" borderId="0" xfId="3" applyNumberFormat="1" applyFont="1" applyBorder="1" applyAlignment="1">
      <alignment horizontal="center"/>
    </xf>
    <xf numFmtId="1" fontId="4" fillId="0" borderId="0" xfId="3" applyNumberFormat="1" applyFont="1" applyBorder="1" applyAlignment="1">
      <alignment horizontal="center"/>
    </xf>
    <xf numFmtId="2" fontId="4" fillId="0" borderId="0" xfId="3" applyNumberFormat="1" applyFont="1" applyBorder="1" applyAlignment="1">
      <alignment horizontal="center"/>
    </xf>
    <xf numFmtId="2" fontId="4" fillId="0" borderId="0" xfId="0" applyNumberFormat="1" applyFont="1"/>
    <xf numFmtId="167" fontId="4" fillId="0" borderId="0" xfId="3" applyNumberFormat="1" applyFont="1" applyFill="1"/>
    <xf numFmtId="0" fontId="30" fillId="0" borderId="0" xfId="0" applyFont="1"/>
    <xf numFmtId="10" fontId="0" fillId="2" borderId="0" xfId="0" applyNumberFormat="1" applyFill="1" applyAlignment="1">
      <alignment horizontal="center"/>
    </xf>
    <xf numFmtId="10" fontId="4" fillId="0" borderId="0" xfId="3" applyNumberFormat="1" applyFont="1" applyFill="1" applyAlignment="1">
      <alignment horizontal="center"/>
    </xf>
    <xf numFmtId="9" fontId="4" fillId="0" borderId="0" xfId="3" applyFont="1" applyFill="1" applyAlignment="1">
      <alignment horizontal="center"/>
    </xf>
    <xf numFmtId="168" fontId="4" fillId="0" borderId="0" xfId="3" applyNumberFormat="1" applyFont="1" applyFill="1" applyAlignment="1">
      <alignment horizontal="center"/>
    </xf>
    <xf numFmtId="167" fontId="4" fillId="0" borderId="0" xfId="3" applyNumberFormat="1" applyFont="1" applyFill="1" applyAlignment="1">
      <alignment horizontal="center"/>
    </xf>
    <xf numFmtId="10" fontId="4" fillId="0" borderId="0" xfId="0" applyNumberFormat="1" applyFont="1" applyAlignment="1">
      <alignment horizontal="center"/>
    </xf>
    <xf numFmtId="9" fontId="4" fillId="0" borderId="0" xfId="0" applyNumberFormat="1" applyFont="1"/>
    <xf numFmtId="0" fontId="4" fillId="0" borderId="0" xfId="0" applyFont="1" applyAlignment="1">
      <alignment horizontal="right"/>
    </xf>
    <xf numFmtId="10" fontId="4" fillId="0" borderId="0" xfId="3" applyNumberFormat="1" applyFont="1" applyFill="1" applyAlignment="1">
      <alignment horizontal="right"/>
    </xf>
    <xf numFmtId="168" fontId="4" fillId="0" borderId="0" xfId="3" applyNumberFormat="1" applyFont="1" applyFill="1" applyAlignment="1">
      <alignment horizontal="right"/>
    </xf>
    <xf numFmtId="9" fontId="4" fillId="0" borderId="0" xfId="3" applyFont="1" applyFill="1" applyAlignment="1">
      <alignment horizontal="right"/>
    </xf>
    <xf numFmtId="0" fontId="31" fillId="0" borderId="0" xfId="0" applyFont="1"/>
    <xf numFmtId="0" fontId="0" fillId="0" borderId="0" xfId="0" applyAlignment="1">
      <alignment horizontal="right"/>
    </xf>
    <xf numFmtId="0" fontId="22" fillId="5" borderId="0" xfId="0" applyFont="1" applyFill="1" applyAlignment="1">
      <alignment horizontal="centerContinuous"/>
    </xf>
    <xf numFmtId="0" fontId="24" fillId="10" borderId="0" xfId="6" applyFont="1" applyBorder="1" applyAlignment="1">
      <alignment horizontal="centerContinuous" vertical="center" wrapText="1"/>
    </xf>
    <xf numFmtId="0" fontId="30" fillId="2" borderId="0" xfId="0" applyFont="1" applyFill="1"/>
    <xf numFmtId="0" fontId="16" fillId="2" borderId="0" xfId="0" quotePrefix="1" applyFont="1" applyFill="1" applyAlignment="1">
      <alignment horizontal="center"/>
    </xf>
    <xf numFmtId="49" fontId="16" fillId="2" borderId="0" xfId="0" quotePrefix="1" applyNumberFormat="1" applyFont="1" applyFill="1" applyAlignment="1">
      <alignment horizontal="center"/>
    </xf>
    <xf numFmtId="0" fontId="29" fillId="2" borderId="0" xfId="0" applyFont="1" applyFill="1"/>
    <xf numFmtId="0" fontId="25" fillId="5" borderId="0" xfId="0" applyFont="1" applyFill="1" applyAlignment="1">
      <alignment horizontal="centerContinuous" vertical="center"/>
    </xf>
    <xf numFmtId="0" fontId="4" fillId="7" borderId="0" xfId="0" applyFont="1" applyFill="1"/>
    <xf numFmtId="0" fontId="5" fillId="0" borderId="0" xfId="0" applyFont="1"/>
    <xf numFmtId="0" fontId="5" fillId="2" borderId="0" xfId="0" applyFont="1" applyFill="1"/>
    <xf numFmtId="0" fontId="7" fillId="2" borderId="0" xfId="0" applyFont="1" applyFill="1"/>
    <xf numFmtId="0" fontId="14" fillId="0" borderId="0" xfId="0" applyFont="1"/>
    <xf numFmtId="0" fontId="32" fillId="2" borderId="0" xfId="0" applyFont="1" applyFill="1"/>
    <xf numFmtId="0" fontId="5" fillId="0" borderId="0" xfId="0" applyFont="1" applyAlignment="1">
      <alignment horizontal="right"/>
    </xf>
    <xf numFmtId="0" fontId="5" fillId="2" borderId="0" xfId="0" applyFont="1" applyFill="1" applyAlignment="1">
      <alignment horizontal="right"/>
    </xf>
    <xf numFmtId="0" fontId="33" fillId="2" borderId="0" xfId="0" applyFont="1" applyFill="1"/>
    <xf numFmtId="0" fontId="19" fillId="10" borderId="0" xfId="6" applyAlignment="1">
      <alignment horizontal="centerContinuous"/>
    </xf>
    <xf numFmtId="0" fontId="19" fillId="10" borderId="0" xfId="6" applyBorder="1" applyAlignment="1">
      <alignment horizontal="centerContinuous" vertical="center" wrapText="1"/>
    </xf>
    <xf numFmtId="0" fontId="3" fillId="5" borderId="0" xfId="0" applyFont="1" applyFill="1" applyAlignment="1">
      <alignment horizontal="centerContinuous" vertical="center"/>
    </xf>
    <xf numFmtId="0" fontId="5" fillId="12" borderId="0" xfId="0" applyFont="1" applyFill="1"/>
    <xf numFmtId="2" fontId="5" fillId="0" borderId="0" xfId="0" applyNumberFormat="1" applyFont="1" applyAlignment="1">
      <alignment horizontal="right"/>
    </xf>
    <xf numFmtId="9" fontId="5" fillId="0" borderId="0" xfId="3" applyFont="1" applyAlignment="1">
      <alignment horizontal="right"/>
    </xf>
    <xf numFmtId="166" fontId="5" fillId="0" borderId="0" xfId="3" applyNumberFormat="1" applyFont="1"/>
    <xf numFmtId="0" fontId="16" fillId="2" borderId="0" xfId="0" applyFont="1" applyFill="1" applyAlignment="1">
      <alignment horizontal="centerContinuous" vertical="center"/>
    </xf>
    <xf numFmtId="0" fontId="4" fillId="0" borderId="0" xfId="0" applyFont="1" applyAlignment="1">
      <alignment vertical="center"/>
    </xf>
    <xf numFmtId="10" fontId="5" fillId="2" borderId="0" xfId="0" applyNumberFormat="1" applyFont="1" applyFill="1" applyAlignment="1">
      <alignment horizontal="center"/>
    </xf>
    <xf numFmtId="168" fontId="5" fillId="2" borderId="0" xfId="0" applyNumberFormat="1" applyFont="1" applyFill="1" applyAlignment="1">
      <alignment horizontal="center"/>
    </xf>
    <xf numFmtId="168" fontId="5" fillId="2" borderId="0" xfId="0" applyNumberFormat="1" applyFont="1" applyFill="1"/>
    <xf numFmtId="10" fontId="5" fillId="2" borderId="0" xfId="0" applyNumberFormat="1" applyFont="1" applyFill="1"/>
    <xf numFmtId="9" fontId="5" fillId="2" borderId="0" xfId="3" applyFont="1" applyFill="1" applyAlignment="1">
      <alignment horizontal="right"/>
    </xf>
    <xf numFmtId="168" fontId="5" fillId="2" borderId="0" xfId="3" applyNumberFormat="1" applyFont="1" applyFill="1" applyAlignment="1">
      <alignment horizontal="right"/>
    </xf>
    <xf numFmtId="167" fontId="5" fillId="2" borderId="0" xfId="3" applyNumberFormat="1" applyFont="1" applyFill="1"/>
    <xf numFmtId="10" fontId="5" fillId="2" borderId="0" xfId="3" applyNumberFormat="1" applyFont="1" applyFill="1" applyBorder="1" applyAlignment="1">
      <alignment horizontal="center"/>
    </xf>
    <xf numFmtId="10" fontId="5" fillId="2" borderId="0" xfId="3" applyNumberFormat="1" applyFont="1" applyFill="1" applyAlignment="1">
      <alignment horizontal="center"/>
    </xf>
    <xf numFmtId="9" fontId="5" fillId="2" borderId="0" xfId="3" applyFont="1" applyFill="1" applyAlignment="1">
      <alignment horizontal="center"/>
    </xf>
    <xf numFmtId="9" fontId="5" fillId="2" borderId="0" xfId="0" applyNumberFormat="1" applyFont="1" applyFill="1"/>
    <xf numFmtId="1" fontId="5" fillId="2" borderId="0" xfId="0" applyNumberFormat="1" applyFont="1" applyFill="1" applyAlignment="1">
      <alignment horizontal="center"/>
    </xf>
    <xf numFmtId="166" fontId="5" fillId="2" borderId="0" xfId="0" applyNumberFormat="1" applyFont="1" applyFill="1" applyAlignment="1">
      <alignment horizontal="center"/>
    </xf>
    <xf numFmtId="0" fontId="5" fillId="2" borderId="0" xfId="0" applyFont="1" applyFill="1" applyAlignment="1">
      <alignment horizontal="center"/>
    </xf>
    <xf numFmtId="2" fontId="5" fillId="2" borderId="0" xfId="0" applyNumberFormat="1" applyFont="1" applyFill="1" applyAlignment="1">
      <alignment horizontal="center"/>
    </xf>
    <xf numFmtId="9" fontId="5" fillId="2" borderId="0" xfId="0" applyNumberFormat="1" applyFont="1" applyFill="1" applyAlignment="1">
      <alignment horizontal="left"/>
    </xf>
    <xf numFmtId="9" fontId="5" fillId="0" borderId="0" xfId="3" applyFont="1" applyFill="1" applyAlignment="1">
      <alignment horizontal="right"/>
    </xf>
    <xf numFmtId="168" fontId="5" fillId="0" borderId="0" xfId="0" applyNumberFormat="1" applyFont="1" applyAlignment="1">
      <alignment horizontal="right" indent="1"/>
    </xf>
    <xf numFmtId="168" fontId="0" fillId="0" borderId="0" xfId="0" applyNumberFormat="1" applyAlignment="1">
      <alignment horizontal="center"/>
    </xf>
    <xf numFmtId="166" fontId="0" fillId="0" borderId="0" xfId="0" applyNumberFormat="1"/>
    <xf numFmtId="0" fontId="0" fillId="0" borderId="0" xfId="0" applyAlignment="1">
      <alignment wrapText="1"/>
    </xf>
    <xf numFmtId="171" fontId="0" fillId="0" borderId="0" xfId="0" applyNumberFormat="1"/>
    <xf numFmtId="0" fontId="34" fillId="3" borderId="0" xfId="0" applyFont="1" applyFill="1"/>
    <xf numFmtId="0" fontId="13" fillId="3" borderId="0" xfId="0" applyFont="1" applyFill="1"/>
    <xf numFmtId="0" fontId="13" fillId="3" borderId="0" xfId="0" applyFont="1" applyFill="1" applyAlignment="1">
      <alignment horizontal="left"/>
    </xf>
    <xf numFmtId="0" fontId="35" fillId="3" borderId="0" xfId="1" applyFont="1" applyFill="1"/>
    <xf numFmtId="0" fontId="36" fillId="3" borderId="0" xfId="7" applyFont="1" applyFill="1" applyAlignment="1" applyProtection="1"/>
    <xf numFmtId="0" fontId="37" fillId="2" borderId="0" xfId="0" applyFont="1" applyFill="1"/>
    <xf numFmtId="0" fontId="14" fillId="0" borderId="0" xfId="0" applyFont="1" applyAlignment="1">
      <alignment wrapText="1"/>
    </xf>
    <xf numFmtId="49" fontId="4" fillId="2" borderId="1" xfId="0" applyNumberFormat="1" applyFont="1" applyFill="1" applyBorder="1" applyAlignment="1">
      <alignment horizontal="left" wrapText="1"/>
    </xf>
    <xf numFmtId="0" fontId="16" fillId="0" borderId="0" xfId="0" applyFont="1" applyAlignment="1">
      <alignment wrapText="1"/>
    </xf>
    <xf numFmtId="49" fontId="16" fillId="0" borderId="1" xfId="0" applyNumberFormat="1" applyFont="1" applyBorder="1" applyAlignment="1">
      <alignment horizontal="right" wrapText="1"/>
    </xf>
    <xf numFmtId="9" fontId="4" fillId="0" borderId="0" xfId="3" applyFont="1"/>
    <xf numFmtId="9" fontId="4" fillId="2" borderId="0" xfId="3" applyFont="1" applyFill="1"/>
    <xf numFmtId="0" fontId="34" fillId="0" borderId="0" xfId="0" applyFont="1" applyAlignment="1">
      <alignment wrapText="1"/>
    </xf>
    <xf numFmtId="0" fontId="38" fillId="2" borderId="0" xfId="0" applyFont="1" applyFill="1" applyAlignment="1">
      <alignment horizontal="centerContinuous"/>
    </xf>
    <xf numFmtId="0" fontId="28" fillId="2" borderId="0" xfId="0" applyFont="1" applyFill="1" applyAlignment="1">
      <alignment horizontal="right" wrapText="1"/>
    </xf>
    <xf numFmtId="0" fontId="34" fillId="2" borderId="0" xfId="0" applyFont="1" applyFill="1" applyAlignment="1">
      <alignment wrapText="1"/>
    </xf>
    <xf numFmtId="0" fontId="4" fillId="2" borderId="0" xfId="0" applyFont="1" applyFill="1" applyAlignment="1">
      <alignment horizontal="left"/>
    </xf>
    <xf numFmtId="0" fontId="16" fillId="2" borderId="0" xfId="0" applyFont="1" applyFill="1" applyAlignment="1">
      <alignment horizontal="left" wrapText="1"/>
    </xf>
    <xf numFmtId="0" fontId="5" fillId="0" borderId="0" xfId="3" applyNumberFormat="1" applyFont="1"/>
    <xf numFmtId="10" fontId="4" fillId="0" borderId="0" xfId="0" applyNumberFormat="1" applyFont="1"/>
    <xf numFmtId="0" fontId="16" fillId="0" borderId="0" xfId="0" applyFont="1" applyAlignment="1">
      <alignment horizontal="centerContinuous"/>
    </xf>
    <xf numFmtId="0" fontId="16" fillId="0" borderId="0" xfId="0" applyFont="1" applyAlignment="1">
      <alignment horizontal="center"/>
    </xf>
    <xf numFmtId="168" fontId="1" fillId="0" borderId="0" xfId="0" applyNumberFormat="1" applyFont="1"/>
    <xf numFmtId="169" fontId="0" fillId="0" borderId="0" xfId="0" applyNumberFormat="1" applyAlignment="1">
      <alignment horizontal="center"/>
    </xf>
    <xf numFmtId="0" fontId="16" fillId="2" borderId="0" xfId="0" applyFont="1" applyFill="1" applyAlignment="1">
      <alignment horizontal="centerContinuous" wrapText="1"/>
    </xf>
    <xf numFmtId="169" fontId="8" fillId="2" borderId="0" xfId="0" applyNumberFormat="1" applyFont="1" applyFill="1" applyAlignment="1">
      <alignment horizontal="center"/>
    </xf>
    <xf numFmtId="169" fontId="5" fillId="2" borderId="0" xfId="0" applyNumberFormat="1" applyFont="1" applyFill="1" applyAlignment="1">
      <alignment horizontal="center"/>
    </xf>
    <xf numFmtId="9" fontId="4" fillId="0" borderId="0" xfId="3" applyFont="1" applyBorder="1" applyAlignment="1">
      <alignment horizontal="center"/>
    </xf>
    <xf numFmtId="0" fontId="4" fillId="0" borderId="0" xfId="0" applyFont="1" applyAlignment="1">
      <alignment horizontal="left" vertical="top"/>
    </xf>
    <xf numFmtId="0" fontId="4" fillId="0" borderId="0" xfId="0" applyFont="1" applyAlignment="1">
      <alignment horizontal="center"/>
    </xf>
    <xf numFmtId="2" fontId="4" fillId="0" borderId="0" xfId="3" applyNumberFormat="1" applyFont="1"/>
    <xf numFmtId="10" fontId="16" fillId="0" borderId="0" xfId="0" applyNumberFormat="1" applyFont="1"/>
    <xf numFmtId="0" fontId="16" fillId="0" borderId="0" xfId="3" applyNumberFormat="1" applyFont="1"/>
    <xf numFmtId="0" fontId="16" fillId="2" borderId="0" xfId="0" applyFont="1" applyFill="1" applyAlignment="1">
      <alignment horizontal="right"/>
    </xf>
    <xf numFmtId="166" fontId="4" fillId="0" borderId="0" xfId="0" applyNumberFormat="1" applyFont="1" applyAlignment="1">
      <alignment horizontal="center"/>
    </xf>
    <xf numFmtId="166" fontId="31" fillId="0" borderId="0" xfId="0" applyNumberFormat="1" applyFont="1" applyAlignment="1">
      <alignment horizontal="center"/>
    </xf>
    <xf numFmtId="2" fontId="4" fillId="2" borderId="0" xfId="3" applyNumberFormat="1" applyFont="1" applyFill="1" applyAlignment="1">
      <alignment horizontal="center"/>
    </xf>
    <xf numFmtId="0" fontId="28" fillId="2" borderId="0" xfId="0" applyFont="1" applyFill="1"/>
    <xf numFmtId="0" fontId="16" fillId="2" borderId="0" xfId="0" applyFont="1" applyFill="1" applyAlignment="1">
      <alignment horizontal="left"/>
    </xf>
    <xf numFmtId="0" fontId="16" fillId="2" borderId="0" xfId="0" applyFont="1" applyFill="1" applyAlignment="1">
      <alignment horizontal="left" vertical="center"/>
    </xf>
    <xf numFmtId="1" fontId="1" fillId="0" borderId="0" xfId="0" applyNumberFormat="1" applyFont="1" applyAlignment="1">
      <alignment horizontal="center"/>
    </xf>
    <xf numFmtId="166" fontId="0" fillId="0" borderId="0" xfId="0" applyNumberFormat="1" applyAlignment="1">
      <alignment horizontal="right"/>
    </xf>
    <xf numFmtId="9" fontId="4" fillId="0" borderId="0" xfId="3" applyFont="1" applyAlignment="1">
      <alignment horizontal="right"/>
    </xf>
    <xf numFmtId="9" fontId="4" fillId="0" borderId="0" xfId="0" applyNumberFormat="1" applyFont="1" applyAlignment="1">
      <alignment horizontal="right"/>
    </xf>
    <xf numFmtId="166" fontId="0" fillId="2" borderId="0" xfId="0" applyNumberFormat="1" applyFill="1" applyAlignment="1">
      <alignment horizontal="right"/>
    </xf>
    <xf numFmtId="9" fontId="4" fillId="2" borderId="0" xfId="3" applyFont="1" applyFill="1" applyAlignment="1">
      <alignment horizontal="right"/>
    </xf>
    <xf numFmtId="0" fontId="1" fillId="0" borderId="0" xfId="0" applyFont="1" applyAlignment="1">
      <alignment horizontal="right"/>
    </xf>
    <xf numFmtId="1" fontId="1" fillId="0" borderId="0" xfId="0" applyNumberFormat="1" applyFont="1" applyAlignment="1">
      <alignment horizontal="right"/>
    </xf>
    <xf numFmtId="0" fontId="5" fillId="0" borderId="0" xfId="3" applyNumberFormat="1" applyFont="1" applyAlignment="1">
      <alignment horizontal="center"/>
    </xf>
    <xf numFmtId="166" fontId="5" fillId="0" borderId="0" xfId="0" applyNumberFormat="1" applyFont="1" applyAlignment="1">
      <alignment horizontal="center"/>
    </xf>
    <xf numFmtId="2" fontId="1" fillId="0" borderId="0" xfId="0" applyNumberFormat="1" applyFont="1" applyAlignment="1">
      <alignment horizontal="center"/>
    </xf>
    <xf numFmtId="2" fontId="1" fillId="0" borderId="0" xfId="0" applyNumberFormat="1" applyFont="1" applyAlignment="1">
      <alignment horizontal="right"/>
    </xf>
    <xf numFmtId="9" fontId="5" fillId="0" borderId="0" xfId="3" applyFont="1" applyFill="1"/>
    <xf numFmtId="9" fontId="5" fillId="2" borderId="0" xfId="3" applyFont="1" applyFill="1"/>
    <xf numFmtId="0" fontId="5" fillId="0" borderId="0" xfId="0" applyFont="1" applyAlignment="1">
      <alignment wrapText="1"/>
    </xf>
    <xf numFmtId="2" fontId="5" fillId="0" borderId="0" xfId="3" applyNumberFormat="1" applyFont="1" applyAlignment="1">
      <alignment horizontal="center"/>
    </xf>
    <xf numFmtId="0" fontId="21" fillId="0" borderId="0" xfId="5" applyFont="1" applyFill="1"/>
    <xf numFmtId="0" fontId="0" fillId="0" borderId="0" xfId="0" applyAlignment="1">
      <alignment horizontal="right" wrapText="1"/>
    </xf>
    <xf numFmtId="2" fontId="5" fillId="0" borderId="0" xfId="3" applyNumberFormat="1" applyFont="1" applyAlignment="1">
      <alignment horizontal="right"/>
    </xf>
    <xf numFmtId="166" fontId="5" fillId="0" borderId="0" xfId="0" applyNumberFormat="1" applyFont="1" applyAlignment="1">
      <alignment horizontal="right"/>
    </xf>
    <xf numFmtId="0" fontId="21" fillId="0" borderId="0" xfId="5" applyFont="1" applyFill="1" applyAlignment="1"/>
    <xf numFmtId="0" fontId="22" fillId="5" borderId="0" xfId="0" applyFont="1" applyFill="1" applyAlignment="1">
      <alignment horizontal="centerContinuous" vertical="center"/>
    </xf>
    <xf numFmtId="0" fontId="39" fillId="0" borderId="6" xfId="1" applyFont="1" applyBorder="1"/>
    <xf numFmtId="9" fontId="4" fillId="0" borderId="0" xfId="3" applyFont="1" applyBorder="1"/>
    <xf numFmtId="1" fontId="1" fillId="0" borderId="0" xfId="0" applyNumberFormat="1" applyFont="1"/>
    <xf numFmtId="0" fontId="16" fillId="2" borderId="11" xfId="0" applyFont="1" applyFill="1" applyBorder="1" applyAlignment="1">
      <alignment horizontal="right" wrapText="1"/>
    </xf>
    <xf numFmtId="0" fontId="0" fillId="13" borderId="0" xfId="0" applyFill="1"/>
    <xf numFmtId="0" fontId="21" fillId="13" borderId="0" xfId="0" applyFont="1" applyFill="1"/>
    <xf numFmtId="0" fontId="40" fillId="13" borderId="0" xfId="0" applyFont="1" applyFill="1" applyAlignment="1">
      <alignment horizontal="left"/>
    </xf>
    <xf numFmtId="0" fontId="32" fillId="2" borderId="0" xfId="0" applyFont="1" applyFill="1" applyAlignment="1">
      <alignment horizontal="centerContinuous"/>
    </xf>
    <xf numFmtId="10" fontId="4" fillId="2" borderId="0" xfId="0" applyNumberFormat="1" applyFont="1" applyFill="1"/>
    <xf numFmtId="169" fontId="4" fillId="0" borderId="0" xfId="0" applyNumberFormat="1" applyFont="1"/>
    <xf numFmtId="169" fontId="5" fillId="0" borderId="0" xfId="0" applyNumberFormat="1" applyFont="1"/>
    <xf numFmtId="169" fontId="5" fillId="0" borderId="0" xfId="3" applyNumberFormat="1" applyFont="1"/>
    <xf numFmtId="170" fontId="5" fillId="0" borderId="0" xfId="0" applyNumberFormat="1" applyFont="1"/>
    <xf numFmtId="9" fontId="1" fillId="0" borderId="0" xfId="3" applyFont="1" applyFill="1" applyBorder="1" applyAlignment="1">
      <alignment horizontal="center" wrapText="1"/>
    </xf>
    <xf numFmtId="9" fontId="1" fillId="0" borderId="0" xfId="3" applyFont="1" applyFill="1" applyAlignment="1">
      <alignment horizontal="center"/>
    </xf>
    <xf numFmtId="0" fontId="16" fillId="2" borderId="0" xfId="0" applyFont="1" applyFill="1" applyAlignment="1">
      <alignment horizontal="center" wrapText="1"/>
    </xf>
    <xf numFmtId="0" fontId="4" fillId="2" borderId="0" xfId="0" applyFont="1" applyFill="1" applyAlignment="1">
      <alignment wrapText="1"/>
    </xf>
    <xf numFmtId="0" fontId="34" fillId="2" borderId="0" xfId="0" applyFont="1" applyFill="1" applyAlignment="1">
      <alignment horizontal="right" wrapText="1"/>
    </xf>
    <xf numFmtId="170" fontId="5" fillId="0" borderId="0" xfId="3" applyNumberFormat="1" applyFont="1"/>
    <xf numFmtId="9" fontId="5" fillId="0" borderId="10" xfId="3" applyFont="1" applyBorder="1"/>
    <xf numFmtId="9" fontId="5" fillId="0" borderId="11" xfId="3" applyFont="1" applyBorder="1"/>
    <xf numFmtId="9" fontId="5" fillId="0" borderId="12" xfId="3" applyFont="1" applyBorder="1"/>
    <xf numFmtId="0" fontId="22" fillId="2" borderId="0" xfId="0" applyFont="1" applyFill="1"/>
    <xf numFmtId="0" fontId="41" fillId="0" borderId="0" xfId="0" applyFont="1"/>
    <xf numFmtId="166" fontId="4" fillId="0" borderId="0" xfId="0" applyNumberFormat="1" applyFont="1"/>
    <xf numFmtId="167" fontId="4" fillId="0" borderId="0" xfId="0" applyNumberFormat="1" applyFont="1"/>
    <xf numFmtId="1" fontId="0" fillId="0" borderId="0" xfId="0" applyNumberFormat="1"/>
    <xf numFmtId="167" fontId="5" fillId="0" borderId="0" xfId="3" applyNumberFormat="1" applyFont="1" applyFill="1"/>
    <xf numFmtId="166" fontId="5" fillId="0" borderId="0" xfId="3" applyNumberFormat="1" applyFont="1" applyFill="1"/>
    <xf numFmtId="2" fontId="0" fillId="0" borderId="0" xfId="0" applyNumberFormat="1"/>
    <xf numFmtId="2" fontId="1" fillId="0" borderId="0" xfId="0" applyNumberFormat="1" applyFont="1"/>
    <xf numFmtId="10" fontId="1" fillId="0" borderId="0" xfId="0" applyNumberFormat="1" applyFont="1"/>
    <xf numFmtId="166" fontId="5" fillId="0" borderId="0" xfId="0" applyNumberFormat="1" applyFont="1"/>
    <xf numFmtId="166" fontId="1" fillId="2" borderId="0" xfId="0" applyNumberFormat="1" applyFont="1" applyFill="1"/>
    <xf numFmtId="0" fontId="16" fillId="2" borderId="10" xfId="0" applyFont="1" applyFill="1" applyBorder="1" applyAlignment="1">
      <alignment horizontal="right" wrapText="1"/>
    </xf>
    <xf numFmtId="168" fontId="8" fillId="0" borderId="11" xfId="0" applyNumberFormat="1" applyFont="1" applyBorder="1"/>
    <xf numFmtId="168" fontId="8" fillId="0" borderId="12" xfId="0" applyNumberFormat="1" applyFont="1" applyBorder="1"/>
    <xf numFmtId="169" fontId="8" fillId="0" borderId="11" xfId="0" applyNumberFormat="1" applyFont="1" applyBorder="1"/>
    <xf numFmtId="170" fontId="8" fillId="0" borderId="11" xfId="0" applyNumberFormat="1" applyFont="1" applyBorder="1"/>
    <xf numFmtId="169" fontId="8" fillId="0" borderId="12" xfId="0" applyNumberFormat="1" applyFont="1" applyBorder="1"/>
    <xf numFmtId="166" fontId="5" fillId="0" borderId="11" xfId="3" applyNumberFormat="1" applyFont="1" applyBorder="1"/>
    <xf numFmtId="166" fontId="8" fillId="0" borderId="11" xfId="0" applyNumberFormat="1" applyFont="1" applyBorder="1"/>
    <xf numFmtId="0" fontId="1" fillId="0" borderId="12" xfId="0" applyFont="1" applyBorder="1"/>
    <xf numFmtId="0" fontId="28" fillId="2" borderId="4" xfId="4" applyFont="1" applyFill="1" applyBorder="1"/>
    <xf numFmtId="0" fontId="28" fillId="2" borderId="22" xfId="4" applyFont="1" applyFill="1" applyBorder="1"/>
    <xf numFmtId="0" fontId="28" fillId="2" borderId="5" xfId="4" applyFont="1" applyFill="1" applyBorder="1"/>
    <xf numFmtId="0" fontId="16" fillId="2" borderId="6" xfId="0" applyFont="1" applyFill="1" applyBorder="1" applyAlignment="1">
      <alignment horizontal="centerContinuous"/>
    </xf>
    <xf numFmtId="0" fontId="16" fillId="2" borderId="7" xfId="0" applyFont="1" applyFill="1" applyBorder="1" applyAlignment="1">
      <alignment horizontal="centerContinuous"/>
    </xf>
    <xf numFmtId="0" fontId="5" fillId="2" borderId="6" xfId="0" applyFont="1" applyFill="1" applyBorder="1"/>
    <xf numFmtId="0" fontId="5" fillId="2" borderId="7" xfId="0" applyFont="1" applyFill="1" applyBorder="1"/>
    <xf numFmtId="0" fontId="16" fillId="2" borderId="6" xfId="0" applyFont="1" applyFill="1" applyBorder="1" applyAlignment="1">
      <alignment horizontal="center"/>
    </xf>
    <xf numFmtId="0" fontId="16" fillId="2" borderId="7" xfId="0" applyFont="1" applyFill="1" applyBorder="1" applyAlignment="1">
      <alignment horizontal="center"/>
    </xf>
    <xf numFmtId="169" fontId="0" fillId="0" borderId="6" xfId="0" applyNumberFormat="1" applyBorder="1" applyAlignment="1">
      <alignment horizontal="center"/>
    </xf>
    <xf numFmtId="169" fontId="0" fillId="0" borderId="7" xfId="0" applyNumberFormat="1" applyBorder="1" applyAlignment="1">
      <alignment horizontal="center"/>
    </xf>
    <xf numFmtId="169" fontId="5" fillId="2" borderId="6" xfId="0" applyNumberFormat="1" applyFont="1" applyFill="1" applyBorder="1" applyAlignment="1">
      <alignment horizontal="center"/>
    </xf>
    <xf numFmtId="169" fontId="5" fillId="2" borderId="7" xfId="0" applyNumberFormat="1" applyFont="1" applyFill="1" applyBorder="1" applyAlignment="1">
      <alignment horizontal="center"/>
    </xf>
    <xf numFmtId="169" fontId="5" fillId="2" borderId="6" xfId="3" applyNumberFormat="1" applyFont="1" applyFill="1" applyBorder="1" applyAlignment="1">
      <alignment horizontal="center"/>
    </xf>
    <xf numFmtId="169" fontId="5" fillId="2" borderId="0" xfId="3" applyNumberFormat="1" applyFont="1" applyFill="1" applyBorder="1" applyAlignment="1">
      <alignment horizontal="center"/>
    </xf>
    <xf numFmtId="169" fontId="5" fillId="2" borderId="7" xfId="3" applyNumberFormat="1" applyFont="1" applyFill="1" applyBorder="1" applyAlignment="1">
      <alignment horizontal="center"/>
    </xf>
    <xf numFmtId="168" fontId="0" fillId="0" borderId="6" xfId="0" applyNumberFormat="1" applyBorder="1" applyAlignment="1">
      <alignment horizontal="center"/>
    </xf>
    <xf numFmtId="168" fontId="0" fillId="0" borderId="7" xfId="0" applyNumberFormat="1" applyBorder="1" applyAlignment="1">
      <alignment horizontal="center"/>
    </xf>
    <xf numFmtId="168" fontId="5" fillId="2" borderId="6" xfId="0" applyNumberFormat="1" applyFont="1" applyFill="1" applyBorder="1" applyAlignment="1">
      <alignment horizontal="center"/>
    </xf>
    <xf numFmtId="168" fontId="5" fillId="2" borderId="7" xfId="0" applyNumberFormat="1" applyFont="1" applyFill="1" applyBorder="1" applyAlignment="1">
      <alignment horizontal="center"/>
    </xf>
    <xf numFmtId="168" fontId="5" fillId="2" borderId="6" xfId="3" applyNumberFormat="1" applyFont="1" applyFill="1" applyBorder="1" applyAlignment="1">
      <alignment horizontal="center"/>
    </xf>
    <xf numFmtId="168" fontId="5" fillId="2" borderId="0" xfId="3" applyNumberFormat="1" applyFont="1" applyFill="1" applyBorder="1" applyAlignment="1">
      <alignment horizontal="center"/>
    </xf>
    <xf numFmtId="168" fontId="5" fillId="2" borderId="7" xfId="3" applyNumberFormat="1" applyFont="1" applyFill="1" applyBorder="1" applyAlignment="1">
      <alignment horizontal="center"/>
    </xf>
    <xf numFmtId="0" fontId="9" fillId="0" borderId="12" xfId="0" applyFont="1" applyBorder="1"/>
    <xf numFmtId="0" fontId="16" fillId="0" borderId="10" xfId="0" applyFont="1" applyBorder="1" applyAlignment="1">
      <alignment wrapText="1"/>
    </xf>
    <xf numFmtId="166" fontId="5" fillId="0" borderId="11" xfId="0" applyNumberFormat="1" applyFont="1" applyBorder="1" applyAlignment="1">
      <alignment horizontal="center"/>
    </xf>
    <xf numFmtId="0" fontId="5" fillId="2" borderId="11" xfId="0" applyFont="1" applyFill="1" applyBorder="1" applyAlignment="1">
      <alignment horizontal="right"/>
    </xf>
    <xf numFmtId="1" fontId="1" fillId="0" borderId="12" xfId="0" applyNumberFormat="1" applyFont="1" applyBorder="1" applyAlignment="1">
      <alignment horizontal="center"/>
    </xf>
    <xf numFmtId="0" fontId="16" fillId="0" borderId="10" xfId="0" applyFont="1" applyBorder="1" applyAlignment="1">
      <alignment horizontal="right" wrapText="1"/>
    </xf>
    <xf numFmtId="166" fontId="5" fillId="0" borderId="11" xfId="0" applyNumberFormat="1" applyFont="1" applyBorder="1" applyAlignment="1">
      <alignment horizontal="right"/>
    </xf>
    <xf numFmtId="0" fontId="0" fillId="2" borderId="11" xfId="0" applyFill="1" applyBorder="1" applyAlignment="1">
      <alignment horizontal="right"/>
    </xf>
    <xf numFmtId="1" fontId="1" fillId="0" borderId="12" xfId="0" applyNumberFormat="1" applyFont="1" applyBorder="1" applyAlignment="1">
      <alignment horizontal="right"/>
    </xf>
    <xf numFmtId="0" fontId="16" fillId="2" borderId="10" xfId="0" applyFont="1" applyFill="1" applyBorder="1" applyAlignment="1">
      <alignment horizontal="right"/>
    </xf>
    <xf numFmtId="166" fontId="8" fillId="0" borderId="11" xfId="3" applyNumberFormat="1" applyFont="1" applyBorder="1"/>
    <xf numFmtId="0" fontId="17" fillId="2" borderId="0" xfId="0" applyFont="1" applyFill="1"/>
    <xf numFmtId="0" fontId="37" fillId="2" borderId="0" xfId="0" applyFont="1" applyFill="1" applyAlignment="1">
      <alignment horizontal="left"/>
    </xf>
    <xf numFmtId="0" fontId="22" fillId="2" borderId="0" xfId="0" applyFont="1" applyFill="1" applyAlignment="1">
      <alignment horizontal="centerContinuous" vertical="center"/>
    </xf>
    <xf numFmtId="0" fontId="22" fillId="2" borderId="0" xfId="0" applyFont="1" applyFill="1" applyAlignment="1">
      <alignment horizontal="center" vertical="center"/>
    </xf>
    <xf numFmtId="0" fontId="16" fillId="2" borderId="0" xfId="0" applyFont="1" applyFill="1" applyAlignment="1">
      <alignment horizontal="center" vertical="center"/>
    </xf>
    <xf numFmtId="0" fontId="37" fillId="2" borderId="0" xfId="0" applyFont="1" applyFill="1" applyAlignment="1">
      <alignment horizontal="left" vertical="center"/>
    </xf>
    <xf numFmtId="0" fontId="4" fillId="4" borderId="0" xfId="0" applyFont="1" applyFill="1"/>
    <xf numFmtId="168" fontId="4" fillId="0" borderId="0" xfId="0" applyNumberFormat="1" applyFont="1" applyAlignment="1">
      <alignment horizontal="right"/>
    </xf>
    <xf numFmtId="168" fontId="16" fillId="2" borderId="0" xfId="0" applyNumberFormat="1" applyFont="1" applyFill="1" applyAlignment="1">
      <alignment horizontal="left"/>
    </xf>
    <xf numFmtId="0" fontId="22" fillId="2" borderId="0" xfId="0" applyFont="1" applyFill="1" applyAlignment="1">
      <alignment horizontal="left" vertical="center"/>
    </xf>
    <xf numFmtId="2" fontId="0" fillId="0" borderId="0" xfId="0" applyNumberFormat="1" applyAlignment="1">
      <alignment horizontal="right"/>
    </xf>
    <xf numFmtId="0" fontId="27" fillId="2" borderId="0" xfId="0" applyFont="1" applyFill="1" applyAlignment="1">
      <alignment horizontal="left" vertical="center"/>
    </xf>
    <xf numFmtId="167" fontId="5" fillId="0" borderId="0" xfId="3" applyNumberFormat="1" applyFont="1" applyAlignment="1">
      <alignment horizontal="right"/>
    </xf>
    <xf numFmtId="168" fontId="5" fillId="0" borderId="0" xfId="0" applyNumberFormat="1" applyFont="1" applyAlignment="1">
      <alignment horizontal="right"/>
    </xf>
    <xf numFmtId="166" fontId="5" fillId="0" borderId="0" xfId="3" applyNumberFormat="1" applyFont="1" applyAlignment="1">
      <alignment horizontal="right"/>
    </xf>
    <xf numFmtId="165" fontId="5" fillId="0" borderId="0" xfId="0" applyNumberFormat="1" applyFont="1" applyAlignment="1">
      <alignment horizontal="right"/>
    </xf>
    <xf numFmtId="168" fontId="5" fillId="0" borderId="0" xfId="0" applyNumberFormat="1" applyFont="1" applyAlignment="1">
      <alignment horizontal="left"/>
    </xf>
    <xf numFmtId="171" fontId="5" fillId="0" borderId="0" xfId="0" applyNumberFormat="1" applyFont="1" applyAlignment="1">
      <alignment horizontal="right"/>
    </xf>
    <xf numFmtId="0" fontId="5" fillId="0" borderId="0" xfId="0" applyFont="1" applyAlignment="1">
      <alignment horizontal="left"/>
    </xf>
    <xf numFmtId="168" fontId="1" fillId="0" borderId="0" xfId="0" applyNumberFormat="1" applyFont="1" applyAlignment="1">
      <alignment horizontal="right"/>
    </xf>
    <xf numFmtId="166" fontId="1" fillId="0" borderId="0" xfId="0" applyNumberFormat="1" applyFont="1" applyAlignment="1">
      <alignment horizontal="right"/>
    </xf>
    <xf numFmtId="167" fontId="5" fillId="0" borderId="0" xfId="3" applyNumberFormat="1" applyFont="1" applyFill="1" applyAlignment="1">
      <alignment horizontal="right"/>
    </xf>
    <xf numFmtId="0" fontId="16" fillId="2" borderId="11" xfId="0" applyFont="1" applyFill="1" applyBorder="1" applyAlignment="1">
      <alignment horizontal="center"/>
    </xf>
    <xf numFmtId="169" fontId="5" fillId="0" borderId="11" xfId="0" applyNumberFormat="1" applyFont="1" applyBorder="1" applyAlignment="1">
      <alignment horizontal="right"/>
    </xf>
    <xf numFmtId="0" fontId="5" fillId="0" borderId="12" xfId="0" applyFont="1" applyBorder="1" applyAlignment="1">
      <alignment horizontal="right"/>
    </xf>
    <xf numFmtId="168" fontId="16" fillId="2" borderId="10" xfId="0" applyNumberFormat="1" applyFont="1" applyFill="1" applyBorder="1" applyAlignment="1">
      <alignment horizontal="center"/>
    </xf>
    <xf numFmtId="168" fontId="16" fillId="2" borderId="11" xfId="0" applyNumberFormat="1" applyFont="1" applyFill="1" applyBorder="1" applyAlignment="1">
      <alignment horizontal="center"/>
    </xf>
    <xf numFmtId="2" fontId="5" fillId="0" borderId="11" xfId="0" applyNumberFormat="1" applyFont="1" applyBorder="1" applyAlignment="1">
      <alignment horizontal="right"/>
    </xf>
    <xf numFmtId="0" fontId="4" fillId="0" borderId="3" xfId="0" applyFont="1" applyBorder="1" applyAlignment="1">
      <alignment horizontal="left" vertical="top"/>
    </xf>
    <xf numFmtId="0" fontId="16" fillId="6" borderId="0" xfId="0" applyFont="1" applyFill="1" applyAlignment="1">
      <alignment horizontal="center"/>
    </xf>
    <xf numFmtId="0" fontId="4" fillId="0" borderId="0" xfId="0" applyFont="1" applyAlignment="1">
      <alignment horizontal="center" vertical="center"/>
    </xf>
    <xf numFmtId="0" fontId="4" fillId="0" borderId="3" xfId="0" applyFont="1" applyBorder="1" applyAlignment="1">
      <alignment horizontal="left" vertical="center"/>
    </xf>
    <xf numFmtId="0" fontId="38" fillId="2" borderId="0" xfId="0" applyFont="1" applyFill="1" applyAlignment="1">
      <alignment horizontal="center"/>
    </xf>
    <xf numFmtId="0" fontId="16" fillId="6" borderId="0" xfId="0" applyFont="1" applyFill="1" applyAlignment="1">
      <alignment vertical="center"/>
    </xf>
    <xf numFmtId="3" fontId="4" fillId="0" borderId="0" xfId="0" applyNumberFormat="1" applyFont="1"/>
    <xf numFmtId="168" fontId="4" fillId="0" borderId="0" xfId="0" applyNumberFormat="1" applyFont="1" applyAlignment="1">
      <alignment vertical="center"/>
    </xf>
    <xf numFmtId="10" fontId="4" fillId="0" borderId="0" xfId="0" applyNumberFormat="1" applyFont="1" applyAlignment="1">
      <alignment vertical="center"/>
    </xf>
    <xf numFmtId="167" fontId="4" fillId="0" borderId="0" xfId="3" applyNumberFormat="1" applyFont="1" applyAlignment="1">
      <alignment vertical="center"/>
    </xf>
    <xf numFmtId="10" fontId="4" fillId="0" borderId="0" xfId="3" applyNumberFormat="1" applyFont="1" applyAlignment="1"/>
    <xf numFmtId="168" fontId="4" fillId="0" borderId="0" xfId="0" applyNumberFormat="1" applyFont="1" applyAlignment="1">
      <alignment horizontal="right" wrapText="1"/>
    </xf>
    <xf numFmtId="10" fontId="4" fillId="0" borderId="0" xfId="3" applyNumberFormat="1" applyFont="1" applyFill="1"/>
    <xf numFmtId="168" fontId="4" fillId="2" borderId="0" xfId="0" applyNumberFormat="1" applyFont="1" applyFill="1"/>
    <xf numFmtId="169" fontId="4" fillId="0" borderId="0" xfId="0" applyNumberFormat="1" applyFont="1" applyAlignment="1">
      <alignment horizontal="right"/>
    </xf>
    <xf numFmtId="169" fontId="4" fillId="0" borderId="0" xfId="2" applyNumberFormat="1" applyFont="1" applyFill="1" applyBorder="1"/>
    <xf numFmtId="167" fontId="4" fillId="0" borderId="0" xfId="3" applyNumberFormat="1" applyFont="1"/>
    <xf numFmtId="0" fontId="27" fillId="6" borderId="0" xfId="0" applyFont="1" applyFill="1"/>
    <xf numFmtId="0" fontId="27" fillId="6" borderId="0" xfId="0" applyFont="1" applyFill="1" applyAlignment="1">
      <alignment horizontal="center"/>
    </xf>
    <xf numFmtId="0" fontId="27" fillId="6" borderId="0" xfId="0" applyFont="1" applyFill="1" applyAlignment="1">
      <alignment horizontal="left"/>
    </xf>
    <xf numFmtId="165" fontId="4" fillId="0" borderId="0" xfId="0" applyNumberFormat="1" applyFont="1"/>
    <xf numFmtId="0" fontId="5" fillId="0" borderId="0" xfId="0" applyFont="1" applyAlignment="1">
      <alignment vertical="top"/>
    </xf>
    <xf numFmtId="169" fontId="4" fillId="0" borderId="0" xfId="0" applyNumberFormat="1" applyFont="1" applyAlignment="1">
      <alignment horizontal="center"/>
    </xf>
    <xf numFmtId="0" fontId="4" fillId="0" borderId="2" xfId="0" applyFont="1" applyBorder="1"/>
    <xf numFmtId="169" fontId="4" fillId="8" borderId="2" xfId="0" applyNumberFormat="1" applyFont="1" applyFill="1" applyBorder="1" applyAlignment="1">
      <alignment horizontal="center"/>
    </xf>
    <xf numFmtId="165" fontId="0" fillId="0" borderId="0" xfId="0" applyNumberFormat="1"/>
    <xf numFmtId="167" fontId="4" fillId="0" borderId="0" xfId="3" applyNumberFormat="1" applyFont="1" applyAlignment="1">
      <alignment horizontal="left"/>
    </xf>
    <xf numFmtId="170" fontId="0" fillId="0" borderId="11" xfId="0" applyNumberFormat="1" applyBorder="1"/>
    <xf numFmtId="169" fontId="5" fillId="0" borderId="0" xfId="0" applyNumberFormat="1" applyFont="1" applyAlignment="1">
      <alignment horizontal="right"/>
    </xf>
    <xf numFmtId="0" fontId="42" fillId="0" borderId="0" xfId="0" applyFont="1"/>
    <xf numFmtId="169" fontId="16" fillId="2" borderId="0" xfId="0" applyNumberFormat="1" applyFont="1" applyFill="1" applyAlignment="1">
      <alignment horizontal="center"/>
    </xf>
    <xf numFmtId="169" fontId="16" fillId="2" borderId="0" xfId="0" applyNumberFormat="1" applyFont="1" applyFill="1" applyAlignment="1">
      <alignment horizontal="centerContinuous"/>
    </xf>
    <xf numFmtId="168" fontId="4" fillId="2" borderId="0" xfId="0" applyNumberFormat="1" applyFont="1" applyFill="1" applyAlignment="1">
      <alignment horizontal="center"/>
    </xf>
    <xf numFmtId="0" fontId="17" fillId="0" borderId="0" xfId="0" applyFont="1"/>
    <xf numFmtId="169" fontId="16" fillId="0" borderId="0" xfId="0" applyNumberFormat="1" applyFont="1" applyAlignment="1">
      <alignment horizontal="center"/>
    </xf>
    <xf numFmtId="0" fontId="29" fillId="0" borderId="0" xfId="0" applyFont="1"/>
    <xf numFmtId="169" fontId="17" fillId="0" borderId="0" xfId="0" applyNumberFormat="1" applyFont="1" applyAlignment="1">
      <alignment horizontal="center"/>
    </xf>
    <xf numFmtId="168" fontId="16" fillId="2" borderId="0" xfId="0" applyNumberFormat="1" applyFont="1" applyFill="1" applyAlignment="1">
      <alignment horizontal="centerContinuous"/>
    </xf>
    <xf numFmtId="169" fontId="4" fillId="0" borderId="0" xfId="0" applyNumberFormat="1" applyFont="1" applyAlignment="1">
      <alignment horizontal="left"/>
    </xf>
    <xf numFmtId="169" fontId="16" fillId="0" borderId="0" xfId="0" applyNumberFormat="1" applyFont="1" applyAlignment="1">
      <alignment horizontal="left"/>
    </xf>
    <xf numFmtId="169" fontId="4" fillId="2" borderId="0" xfId="0" applyNumberFormat="1" applyFont="1" applyFill="1" applyAlignment="1">
      <alignment horizontal="left"/>
    </xf>
    <xf numFmtId="168" fontId="4" fillId="2" borderId="0" xfId="0" applyNumberFormat="1" applyFont="1" applyFill="1" applyAlignment="1">
      <alignment horizontal="left"/>
    </xf>
    <xf numFmtId="168" fontId="16" fillId="2" borderId="0" xfId="0" applyNumberFormat="1" applyFont="1" applyFill="1" applyAlignment="1">
      <alignment horizontal="right" wrapText="1"/>
    </xf>
    <xf numFmtId="168" fontId="16" fillId="2" borderId="0" xfId="0" applyNumberFormat="1" applyFont="1" applyFill="1" applyAlignment="1">
      <alignment horizontal="right"/>
    </xf>
    <xf numFmtId="10" fontId="0" fillId="0" borderId="0" xfId="3" applyNumberFormat="1" applyFont="1" applyAlignment="1">
      <alignment horizontal="right"/>
    </xf>
    <xf numFmtId="168" fontId="0" fillId="2" borderId="0" xfId="0" applyNumberFormat="1" applyFill="1" applyAlignment="1">
      <alignment horizontal="right"/>
    </xf>
    <xf numFmtId="2" fontId="0" fillId="0" borderId="0" xfId="3" applyNumberFormat="1" applyFont="1" applyAlignment="1">
      <alignment horizontal="right"/>
    </xf>
    <xf numFmtId="166" fontId="0" fillId="0" borderId="0" xfId="0" applyNumberFormat="1" applyAlignment="1">
      <alignment horizontal="center"/>
    </xf>
    <xf numFmtId="168" fontId="31" fillId="0" borderId="0" xfId="0" applyNumberFormat="1" applyFont="1" applyAlignment="1">
      <alignment horizontal="left"/>
    </xf>
    <xf numFmtId="0" fontId="43" fillId="0" borderId="0" xfId="0" applyFont="1"/>
    <xf numFmtId="166" fontId="1" fillId="0" borderId="0" xfId="0" applyNumberFormat="1" applyFont="1" applyAlignment="1">
      <alignment horizontal="center"/>
    </xf>
    <xf numFmtId="166" fontId="0" fillId="2" borderId="0" xfId="0" applyNumberFormat="1" applyFill="1" applyAlignment="1">
      <alignment horizontal="center"/>
    </xf>
    <xf numFmtId="169" fontId="0" fillId="0" borderId="11" xfId="0" applyNumberFormat="1" applyBorder="1" applyAlignment="1">
      <alignment horizontal="center"/>
    </xf>
    <xf numFmtId="169" fontId="0" fillId="2" borderId="11" xfId="0" applyNumberFormat="1" applyFill="1" applyBorder="1" applyAlignment="1">
      <alignment horizontal="center"/>
    </xf>
    <xf numFmtId="169" fontId="1" fillId="0" borderId="11" xfId="0" applyNumberFormat="1" applyFont="1" applyBorder="1" applyAlignment="1">
      <alignment horizontal="center"/>
    </xf>
    <xf numFmtId="166" fontId="5" fillId="2" borderId="11" xfId="0" applyNumberFormat="1" applyFont="1" applyFill="1" applyBorder="1" applyAlignment="1">
      <alignment horizontal="center"/>
    </xf>
    <xf numFmtId="9" fontId="5" fillId="2" borderId="11" xfId="3" applyFont="1" applyFill="1" applyBorder="1"/>
    <xf numFmtId="0" fontId="43" fillId="2" borderId="0" xfId="0" applyFont="1" applyFill="1" applyAlignment="1">
      <alignment horizontal="center" wrapText="1"/>
    </xf>
    <xf numFmtId="0" fontId="16" fillId="2" borderId="10" xfId="0" applyFont="1" applyFill="1" applyBorder="1" applyAlignment="1">
      <alignment horizontal="center" wrapText="1"/>
    </xf>
    <xf numFmtId="0" fontId="4" fillId="0" borderId="11" xfId="0" applyFont="1" applyBorder="1" applyAlignment="1">
      <alignment horizontal="center"/>
    </xf>
    <xf numFmtId="0" fontId="4" fillId="0" borderId="11" xfId="0" applyFont="1" applyBorder="1"/>
    <xf numFmtId="169" fontId="0" fillId="0" borderId="0" xfId="0" applyNumberFormat="1"/>
    <xf numFmtId="0" fontId="28" fillId="0" borderId="0" xfId="4" applyFont="1" applyFill="1" applyBorder="1"/>
    <xf numFmtId="0" fontId="16" fillId="0" borderId="0" xfId="0" applyFont="1" applyAlignment="1">
      <alignment horizontal="center" wrapText="1"/>
    </xf>
    <xf numFmtId="0" fontId="16" fillId="0" borderId="14" xfId="0" applyFont="1" applyBorder="1" applyAlignment="1">
      <alignment horizontal="center" wrapText="1"/>
    </xf>
    <xf numFmtId="0" fontId="16" fillId="0" borderId="14" xfId="0" applyFont="1" applyBorder="1" applyAlignment="1">
      <alignment horizontal="left" wrapText="1"/>
    </xf>
    <xf numFmtId="0" fontId="16" fillId="0" borderId="15" xfId="0" applyFont="1" applyBorder="1" applyAlignment="1">
      <alignment horizontal="left" wrapText="1"/>
    </xf>
    <xf numFmtId="168" fontId="4" fillId="8" borderId="2" xfId="0" applyNumberFormat="1" applyFont="1" applyFill="1" applyBorder="1" applyAlignment="1">
      <alignment horizontal="center"/>
    </xf>
    <xf numFmtId="168" fontId="4" fillId="8" borderId="0" xfId="0" applyNumberFormat="1" applyFont="1" applyFill="1"/>
    <xf numFmtId="168" fontId="4" fillId="8" borderId="2" xfId="0" applyNumberFormat="1" applyFont="1" applyFill="1" applyBorder="1" applyAlignment="1">
      <alignment horizontal="right"/>
    </xf>
    <xf numFmtId="168" fontId="5" fillId="2" borderId="0" xfId="0" applyNumberFormat="1" applyFont="1" applyFill="1" applyAlignment="1">
      <alignment horizontal="right"/>
    </xf>
    <xf numFmtId="168" fontId="1" fillId="2" borderId="0" xfId="0" applyNumberFormat="1" applyFont="1" applyFill="1" applyAlignment="1">
      <alignment horizontal="right"/>
    </xf>
    <xf numFmtId="165" fontId="1" fillId="2" borderId="0" xfId="0" applyNumberFormat="1" applyFont="1" applyFill="1" applyAlignment="1">
      <alignment horizontal="right"/>
    </xf>
    <xf numFmtId="2" fontId="5" fillId="2" borderId="0" xfId="0" applyNumberFormat="1" applyFont="1" applyFill="1" applyAlignment="1">
      <alignment horizontal="left"/>
    </xf>
    <xf numFmtId="167" fontId="5" fillId="2" borderId="0" xfId="3" applyNumberFormat="1" applyFont="1" applyFill="1" applyAlignment="1">
      <alignment horizontal="right"/>
    </xf>
    <xf numFmtId="0" fontId="5" fillId="2" borderId="0" xfId="0" applyFont="1" applyFill="1" applyAlignment="1">
      <alignment horizontal="left"/>
    </xf>
    <xf numFmtId="0" fontId="44" fillId="3" borderId="0" xfId="0" applyFont="1" applyFill="1"/>
    <xf numFmtId="0" fontId="44" fillId="0" borderId="0" xfId="0" applyFont="1"/>
    <xf numFmtId="1" fontId="1" fillId="0" borderId="12" xfId="0" applyNumberFormat="1" applyFont="1" applyBorder="1"/>
    <xf numFmtId="166" fontId="5" fillId="0" borderId="11" xfId="0" applyNumberFormat="1" applyFont="1" applyBorder="1"/>
    <xf numFmtId="1" fontId="9" fillId="0" borderId="12" xfId="0" applyNumberFormat="1" applyFont="1" applyBorder="1"/>
    <xf numFmtId="168" fontId="5" fillId="0" borderId="11" xfId="0" applyNumberFormat="1" applyFont="1" applyBorder="1" applyAlignment="1">
      <alignment horizontal="right"/>
    </xf>
    <xf numFmtId="10" fontId="5" fillId="0" borderId="0" xfId="3" applyNumberFormat="1" applyFont="1" applyFill="1"/>
    <xf numFmtId="10" fontId="0" fillId="0" borderId="0" xfId="3" applyNumberFormat="1" applyFont="1"/>
    <xf numFmtId="10" fontId="5" fillId="0" borderId="0" xfId="3" applyNumberFormat="1" applyFont="1"/>
    <xf numFmtId="0" fontId="34" fillId="0" borderId="0" xfId="0" applyFont="1"/>
    <xf numFmtId="9" fontId="1" fillId="0" borderId="11" xfId="3" applyFont="1" applyFill="1" applyBorder="1" applyAlignment="1">
      <alignment horizontal="center" wrapText="1"/>
    </xf>
    <xf numFmtId="0" fontId="12" fillId="0" borderId="0" xfId="0" applyFont="1"/>
    <xf numFmtId="168" fontId="34" fillId="0" borderId="0" xfId="0" applyNumberFormat="1" applyFont="1" applyAlignment="1">
      <alignment horizontal="centerContinuous"/>
    </xf>
    <xf numFmtId="168" fontId="1" fillId="0" borderId="0" xfId="3" applyNumberFormat="1" applyFont="1"/>
    <xf numFmtId="168" fontId="0" fillId="0" borderId="0" xfId="3" applyNumberFormat="1" applyFont="1"/>
    <xf numFmtId="168" fontId="28" fillId="5" borderId="0" xfId="0" applyNumberFormat="1" applyFont="1" applyFill="1" applyAlignment="1">
      <alignment horizontal="centerContinuous"/>
    </xf>
    <xf numFmtId="167" fontId="0" fillId="0" borderId="0" xfId="3" applyNumberFormat="1" applyFont="1" applyAlignment="1">
      <alignment horizontal="right"/>
    </xf>
    <xf numFmtId="168" fontId="6" fillId="0" borderId="0" xfId="0" applyNumberFormat="1" applyFont="1" applyAlignment="1">
      <alignment horizontal="left"/>
    </xf>
    <xf numFmtId="0" fontId="31" fillId="0" borderId="0" xfId="0" applyFont="1" applyAlignment="1">
      <alignment horizontal="right"/>
    </xf>
    <xf numFmtId="168" fontId="31" fillId="0" borderId="0" xfId="0" applyNumberFormat="1" applyFont="1"/>
    <xf numFmtId="167" fontId="0" fillId="0" borderId="0" xfId="3" applyNumberFormat="1" applyFont="1" applyAlignment="1">
      <alignment horizontal="center"/>
    </xf>
    <xf numFmtId="2" fontId="5" fillId="0" borderId="0" xfId="3" applyNumberFormat="1" applyFont="1"/>
    <xf numFmtId="167" fontId="0" fillId="0" borderId="0" xfId="3" applyNumberFormat="1" applyFont="1" applyFill="1" applyAlignment="1"/>
    <xf numFmtId="169" fontId="1" fillId="0" borderId="0" xfId="0" applyNumberFormat="1" applyFont="1"/>
    <xf numFmtId="6" fontId="13" fillId="0" borderId="0" xfId="0" applyNumberFormat="1" applyFont="1" applyAlignment="1">
      <alignment horizontal="center"/>
    </xf>
    <xf numFmtId="0" fontId="45" fillId="0" borderId="0" xfId="0" applyFont="1"/>
    <xf numFmtId="0" fontId="46" fillId="0" borderId="0" xfId="0" applyFont="1"/>
    <xf numFmtId="166" fontId="0" fillId="0" borderId="0" xfId="3" applyNumberFormat="1" applyFont="1" applyAlignment="1">
      <alignment horizontal="right"/>
    </xf>
    <xf numFmtId="166" fontId="0" fillId="0" borderId="0" xfId="3" applyNumberFormat="1" applyFont="1" applyAlignment="1">
      <alignment horizontal="center"/>
    </xf>
    <xf numFmtId="1" fontId="0" fillId="0" borderId="0" xfId="3" applyNumberFormat="1" applyFont="1" applyAlignment="1">
      <alignment horizontal="right"/>
    </xf>
    <xf numFmtId="9" fontId="0" fillId="0" borderId="0" xfId="3" applyFont="1" applyAlignment="1">
      <alignment horizontal="right"/>
    </xf>
    <xf numFmtId="0" fontId="21" fillId="14" borderId="0" xfId="5" applyFont="1" applyFill="1"/>
    <xf numFmtId="0" fontId="24" fillId="15" borderId="0" xfId="6" applyFont="1" applyFill="1" applyBorder="1" applyAlignment="1">
      <alignment horizontal="centerContinuous" vertical="center" wrapText="1"/>
    </xf>
    <xf numFmtId="170" fontId="0" fillId="0" borderId="0" xfId="0" applyNumberFormat="1" applyAlignment="1">
      <alignment horizontal="right"/>
    </xf>
    <xf numFmtId="0" fontId="47" fillId="14" borderId="0" xfId="5" applyFont="1" applyFill="1"/>
    <xf numFmtId="0" fontId="38" fillId="15" borderId="0" xfId="6" applyFont="1" applyFill="1" applyBorder="1" applyAlignment="1">
      <alignment horizontal="centerContinuous" vertical="center" wrapText="1"/>
    </xf>
    <xf numFmtId="168" fontId="34" fillId="2" borderId="0" xfId="0" applyNumberFormat="1" applyFont="1" applyFill="1" applyAlignment="1">
      <alignment horizontal="centerContinuous"/>
    </xf>
    <xf numFmtId="0" fontId="34" fillId="2" borderId="0" xfId="0" applyFont="1" applyFill="1" applyAlignment="1">
      <alignment horizontal="left" wrapText="1"/>
    </xf>
    <xf numFmtId="169" fontId="13" fillId="0" borderId="0" xfId="0" applyNumberFormat="1" applyFont="1" applyAlignment="1">
      <alignment horizontal="left"/>
    </xf>
    <xf numFmtId="0" fontId="13" fillId="0" borderId="0" xfId="0" applyFont="1" applyAlignment="1">
      <alignment horizontal="center"/>
    </xf>
    <xf numFmtId="0" fontId="13" fillId="2" borderId="0" xfId="0" applyFont="1" applyFill="1" applyAlignment="1">
      <alignment horizontal="center"/>
    </xf>
    <xf numFmtId="0" fontId="34" fillId="0" borderId="0" xfId="0" applyFont="1" applyAlignment="1">
      <alignment horizontal="center"/>
    </xf>
    <xf numFmtId="168" fontId="13" fillId="0" borderId="0" xfId="0" applyNumberFormat="1" applyFont="1" applyAlignment="1">
      <alignment horizontal="left"/>
    </xf>
    <xf numFmtId="0" fontId="13" fillId="2" borderId="0" xfId="0" applyFont="1" applyFill="1"/>
    <xf numFmtId="168" fontId="13" fillId="0" borderId="0" xfId="0" applyNumberFormat="1" applyFont="1" applyAlignment="1">
      <alignment horizontal="center"/>
    </xf>
    <xf numFmtId="1" fontId="0" fillId="0" borderId="0" xfId="3" applyNumberFormat="1" applyFont="1" applyAlignment="1">
      <alignment horizontal="center"/>
    </xf>
    <xf numFmtId="168" fontId="9" fillId="0" borderId="0" xfId="0" applyNumberFormat="1" applyFont="1" applyAlignment="1">
      <alignment horizontal="center"/>
    </xf>
    <xf numFmtId="2" fontId="9" fillId="0" borderId="0" xfId="0" applyNumberFormat="1" applyFont="1" applyAlignment="1">
      <alignment horizontal="center"/>
    </xf>
    <xf numFmtId="0" fontId="21" fillId="14" borderId="0" xfId="5" applyFont="1" applyFill="1" applyAlignment="1">
      <alignment horizontal="center"/>
    </xf>
    <xf numFmtId="0" fontId="24" fillId="15" borderId="0" xfId="6" applyFont="1" applyFill="1" applyBorder="1" applyAlignment="1">
      <alignment horizontal="center" vertical="center" wrapText="1"/>
    </xf>
    <xf numFmtId="168" fontId="16" fillId="2" borderId="0" xfId="0" applyNumberFormat="1" applyFont="1" applyFill="1" applyAlignment="1">
      <alignment horizontal="center"/>
    </xf>
    <xf numFmtId="0" fontId="0" fillId="0" borderId="11" xfId="0" applyBorder="1" applyAlignment="1">
      <alignment horizontal="center"/>
    </xf>
    <xf numFmtId="0" fontId="0" fillId="2" borderId="11" xfId="0" applyFill="1" applyBorder="1" applyAlignment="1">
      <alignment horizontal="center"/>
    </xf>
    <xf numFmtId="0" fontId="1" fillId="0" borderId="11" xfId="0" applyFont="1" applyBorder="1" applyAlignment="1">
      <alignment horizontal="center"/>
    </xf>
    <xf numFmtId="168" fontId="0" fillId="0" borderId="11" xfId="0" applyNumberFormat="1" applyBorder="1" applyAlignment="1">
      <alignment horizontal="center"/>
    </xf>
    <xf numFmtId="0" fontId="4" fillId="2" borderId="11" xfId="0" applyFont="1" applyFill="1" applyBorder="1" applyAlignment="1">
      <alignment horizontal="center"/>
    </xf>
    <xf numFmtId="170" fontId="0" fillId="0" borderId="11" xfId="0" applyNumberFormat="1" applyBorder="1" applyAlignment="1">
      <alignment horizontal="center"/>
    </xf>
    <xf numFmtId="0" fontId="4" fillId="0" borderId="12" xfId="0" applyFont="1" applyBorder="1" applyAlignment="1">
      <alignment horizontal="center"/>
    </xf>
    <xf numFmtId="0" fontId="21" fillId="9" borderId="0" xfId="5" applyFont="1" applyAlignment="1">
      <alignment horizontal="center"/>
    </xf>
    <xf numFmtId="0" fontId="17" fillId="5" borderId="0" xfId="0" applyFont="1" applyFill="1" applyAlignment="1">
      <alignment horizontal="center"/>
    </xf>
    <xf numFmtId="168" fontId="48" fillId="0" borderId="0" xfId="0" applyNumberFormat="1" applyFont="1"/>
    <xf numFmtId="0" fontId="4" fillId="0" borderId="0" xfId="0" applyFont="1" applyAlignment="1">
      <alignment horizontal="left"/>
    </xf>
    <xf numFmtId="168" fontId="4" fillId="0" borderId="0" xfId="0" applyNumberFormat="1" applyFont="1" applyAlignment="1">
      <alignment horizontal="left"/>
    </xf>
    <xf numFmtId="0" fontId="28" fillId="11" borderId="0" xfId="4" applyFont="1" applyFill="1" applyBorder="1" applyAlignment="1">
      <alignment horizontal="right"/>
    </xf>
    <xf numFmtId="169" fontId="5" fillId="0" borderId="11" xfId="0" applyNumberFormat="1" applyFont="1" applyBorder="1"/>
    <xf numFmtId="169" fontId="5" fillId="0" borderId="12" xfId="0" applyNumberFormat="1" applyFont="1" applyBorder="1"/>
    <xf numFmtId="0" fontId="0" fillId="0" borderId="0" xfId="0" applyAlignment="1">
      <alignment horizontal="center"/>
    </xf>
    <xf numFmtId="0" fontId="48" fillId="0" borderId="0" xfId="0" applyFont="1"/>
    <xf numFmtId="1" fontId="13" fillId="0" borderId="0" xfId="0" applyNumberFormat="1" applyFont="1" applyAlignment="1">
      <alignment horizontal="center"/>
    </xf>
    <xf numFmtId="168" fontId="13" fillId="2" borderId="0" xfId="0" applyNumberFormat="1" applyFont="1" applyFill="1" applyAlignment="1">
      <alignment horizontal="center"/>
    </xf>
    <xf numFmtId="0" fontId="34" fillId="0" borderId="0" xfId="0" applyFont="1" applyAlignment="1">
      <alignment horizontal="left"/>
    </xf>
    <xf numFmtId="0" fontId="34" fillId="0" borderId="0" xfId="0" applyFont="1" applyAlignment="1">
      <alignment horizontal="left" vertical="center"/>
    </xf>
    <xf numFmtId="168" fontId="34" fillId="0" borderId="0" xfId="0" applyNumberFormat="1" applyFont="1" applyAlignment="1">
      <alignment horizontal="left"/>
    </xf>
    <xf numFmtId="168" fontId="34" fillId="0" borderId="0" xfId="0" applyNumberFormat="1" applyFont="1" applyAlignment="1">
      <alignment horizontal="left" vertical="center"/>
    </xf>
    <xf numFmtId="0" fontId="34" fillId="0" borderId="0" xfId="0" applyFont="1" applyAlignment="1">
      <alignment horizontal="center" vertical="center"/>
    </xf>
    <xf numFmtId="0" fontId="19" fillId="9" borderId="0" xfId="5"/>
    <xf numFmtId="0" fontId="4" fillId="5" borderId="0" xfId="0" applyFont="1" applyFill="1"/>
    <xf numFmtId="172" fontId="0" fillId="0" borderId="0" xfId="0" applyNumberFormat="1"/>
    <xf numFmtId="0" fontId="13" fillId="0" borderId="0" xfId="0" applyFont="1" applyAlignment="1">
      <alignment horizontal="left"/>
    </xf>
    <xf numFmtId="168" fontId="0" fillId="0" borderId="11" xfId="0" applyNumberFormat="1" applyBorder="1"/>
    <xf numFmtId="168" fontId="0" fillId="0" borderId="12" xfId="0" applyNumberFormat="1" applyBorder="1"/>
    <xf numFmtId="10" fontId="13" fillId="0" borderId="3" xfId="3" applyNumberFormat="1" applyFont="1" applyFill="1" applyBorder="1" applyAlignment="1">
      <alignment horizontal="center"/>
    </xf>
    <xf numFmtId="10" fontId="13" fillId="0" borderId="0" xfId="3" applyNumberFormat="1" applyFont="1" applyFill="1" applyAlignment="1">
      <alignment horizontal="center"/>
    </xf>
    <xf numFmtId="10" fontId="4" fillId="0" borderId="0" xfId="3" applyNumberFormat="1" applyFont="1" applyFill="1" applyBorder="1" applyAlignment="1">
      <alignment horizontal="center"/>
    </xf>
    <xf numFmtId="9" fontId="13" fillId="0" borderId="3" xfId="3" applyFont="1" applyFill="1" applyBorder="1" applyAlignment="1">
      <alignment horizontal="center"/>
    </xf>
    <xf numFmtId="9" fontId="13" fillId="0" borderId="0" xfId="3" applyFont="1" applyFill="1" applyAlignment="1">
      <alignment horizontal="center"/>
    </xf>
    <xf numFmtId="10" fontId="5" fillId="0" borderId="0" xfId="0" applyNumberFormat="1" applyFont="1" applyAlignment="1">
      <alignment horizontal="center"/>
    </xf>
    <xf numFmtId="169" fontId="5" fillId="0" borderId="0" xfId="0" applyNumberFormat="1" applyFont="1" applyAlignment="1">
      <alignment horizontal="center"/>
    </xf>
    <xf numFmtId="0" fontId="51" fillId="0" borderId="0" xfId="0" applyFont="1" applyAlignment="1">
      <alignment vertical="center"/>
    </xf>
    <xf numFmtId="0" fontId="51" fillId="0" borderId="0" xfId="0" applyFont="1"/>
    <xf numFmtId="0" fontId="52" fillId="0" borderId="0" xfId="0" applyFont="1"/>
    <xf numFmtId="0" fontId="51" fillId="0" borderId="0" xfId="0" quotePrefix="1" applyFont="1" applyAlignment="1">
      <alignment vertical="center"/>
    </xf>
    <xf numFmtId="0" fontId="53" fillId="0" borderId="0" xfId="0" applyFont="1"/>
    <xf numFmtId="0" fontId="13" fillId="0" borderId="3" xfId="3" applyNumberFormat="1" applyFont="1" applyFill="1" applyBorder="1" applyAlignment="1">
      <alignment horizontal="center"/>
    </xf>
    <xf numFmtId="0" fontId="13" fillId="0" borderId="0" xfId="3" applyNumberFormat="1" applyFont="1" applyFill="1" applyAlignment="1">
      <alignment horizontal="center"/>
    </xf>
    <xf numFmtId="0" fontId="48" fillId="0" borderId="0" xfId="3" applyNumberFormat="1" applyFont="1" applyFill="1" applyBorder="1" applyAlignment="1">
      <alignment horizontal="center"/>
    </xf>
    <xf numFmtId="0" fontId="54" fillId="0" borderId="0" xfId="0" applyFont="1"/>
    <xf numFmtId="168" fontId="5" fillId="0" borderId="0" xfId="0" applyNumberFormat="1" applyFont="1" applyAlignment="1">
      <alignment horizontal="center"/>
    </xf>
    <xf numFmtId="169" fontId="5" fillId="0" borderId="0" xfId="3" applyNumberFormat="1" applyFont="1" applyFill="1" applyBorder="1" applyAlignment="1">
      <alignment horizontal="center"/>
    </xf>
    <xf numFmtId="2" fontId="4" fillId="0" borderId="0" xfId="3" applyNumberFormat="1" applyFont="1" applyFill="1" applyBorder="1" applyAlignment="1">
      <alignment horizontal="center"/>
    </xf>
    <xf numFmtId="168" fontId="5" fillId="0" borderId="0" xfId="3" applyNumberFormat="1" applyFont="1" applyFill="1" applyBorder="1" applyAlignment="1">
      <alignment horizontal="center"/>
    </xf>
    <xf numFmtId="9" fontId="4" fillId="0" borderId="0" xfId="3" applyFont="1" applyFill="1" applyBorder="1" applyAlignment="1">
      <alignment horizontal="center"/>
    </xf>
    <xf numFmtId="0" fontId="4" fillId="0" borderId="0" xfId="3" applyNumberFormat="1" applyFont="1" applyFill="1" applyBorder="1" applyAlignment="1">
      <alignment horizontal="center"/>
    </xf>
    <xf numFmtId="1" fontId="4" fillId="0" borderId="0" xfId="3" applyNumberFormat="1" applyFont="1" applyFill="1" applyBorder="1" applyAlignment="1">
      <alignment horizontal="center"/>
    </xf>
    <xf numFmtId="169" fontId="8" fillId="0" borderId="0" xfId="0" applyNumberFormat="1" applyFont="1" applyAlignment="1">
      <alignment horizontal="center"/>
    </xf>
    <xf numFmtId="167" fontId="5" fillId="0" borderId="0" xfId="3" applyNumberFormat="1" applyFont="1" applyFill="1" applyBorder="1"/>
    <xf numFmtId="9" fontId="5" fillId="0" borderId="0" xfId="3" applyFont="1" applyFill="1" applyBorder="1" applyAlignment="1">
      <alignment horizontal="right"/>
    </xf>
    <xf numFmtId="168" fontId="4" fillId="0" borderId="0" xfId="3" applyNumberFormat="1" applyFont="1" applyFill="1" applyBorder="1" applyAlignment="1">
      <alignment horizontal="center"/>
    </xf>
    <xf numFmtId="167" fontId="4" fillId="0" borderId="0" xfId="3" applyNumberFormat="1" applyFont="1" applyFill="1" applyBorder="1" applyAlignment="1">
      <alignment horizontal="center"/>
    </xf>
    <xf numFmtId="0" fontId="5" fillId="0" borderId="0" xfId="0" applyFont="1" applyAlignment="1">
      <alignment horizontal="center"/>
    </xf>
    <xf numFmtId="167" fontId="5" fillId="0" borderId="0" xfId="3" applyNumberFormat="1" applyFont="1" applyFill="1" applyBorder="1" applyAlignment="1">
      <alignment horizontal="center"/>
    </xf>
    <xf numFmtId="9" fontId="5" fillId="0" borderId="0" xfId="3" applyFont="1" applyFill="1" applyBorder="1" applyAlignment="1">
      <alignment horizontal="center"/>
    </xf>
    <xf numFmtId="2" fontId="5" fillId="0" borderId="0" xfId="0" applyNumberFormat="1" applyFont="1" applyAlignment="1">
      <alignment horizontal="center"/>
    </xf>
    <xf numFmtId="167" fontId="4" fillId="0" borderId="0" xfId="3" applyNumberFormat="1" applyFont="1" applyFill="1" applyBorder="1"/>
    <xf numFmtId="9" fontId="4" fillId="0" borderId="0" xfId="3" applyFont="1" applyFill="1" applyBorder="1" applyAlignment="1">
      <alignment horizontal="right"/>
    </xf>
    <xf numFmtId="2" fontId="5" fillId="0" borderId="0" xfId="0" applyNumberFormat="1" applyFont="1"/>
    <xf numFmtId="1" fontId="9" fillId="0" borderId="0" xfId="0" applyNumberFormat="1" applyFont="1"/>
    <xf numFmtId="10" fontId="13" fillId="0" borderId="3" xfId="3" applyNumberFormat="1" applyFont="1" applyBorder="1" applyAlignment="1">
      <alignment horizontal="center"/>
    </xf>
    <xf numFmtId="10" fontId="13" fillId="0" borderId="0" xfId="3" applyNumberFormat="1" applyFont="1" applyFill="1" applyBorder="1" applyAlignment="1">
      <alignment horizontal="center"/>
    </xf>
    <xf numFmtId="10" fontId="13" fillId="0" borderId="0" xfId="0" applyNumberFormat="1" applyFont="1" applyAlignment="1">
      <alignment horizontal="center"/>
    </xf>
    <xf numFmtId="10" fontId="0" fillId="7" borderId="3" xfId="3" applyNumberFormat="1" applyFont="1" applyFill="1" applyBorder="1" applyAlignment="1">
      <alignment horizontal="center"/>
    </xf>
    <xf numFmtId="10" fontId="0" fillId="7" borderId="0" xfId="3" applyNumberFormat="1" applyFont="1" applyFill="1" applyAlignment="1">
      <alignment horizontal="center"/>
    </xf>
    <xf numFmtId="168" fontId="55" fillId="7" borderId="0" xfId="0" applyNumberFormat="1" applyFont="1" applyFill="1" applyAlignment="1">
      <alignment horizontal="center"/>
    </xf>
    <xf numFmtId="168" fontId="55" fillId="7" borderId="6" xfId="0" applyNumberFormat="1" applyFont="1" applyFill="1" applyBorder="1" applyAlignment="1">
      <alignment horizontal="center"/>
    </xf>
    <xf numFmtId="168" fontId="55" fillId="7" borderId="7" xfId="0" applyNumberFormat="1" applyFont="1" applyFill="1" applyBorder="1" applyAlignment="1">
      <alignment horizontal="center"/>
    </xf>
    <xf numFmtId="10" fontId="4" fillId="7" borderId="0" xfId="3" applyNumberFormat="1" applyFont="1" applyFill="1" applyBorder="1" applyAlignment="1">
      <alignment horizontal="center"/>
    </xf>
    <xf numFmtId="167" fontId="4" fillId="7" borderId="0" xfId="0" applyNumberFormat="1" applyFont="1" applyFill="1" applyAlignment="1">
      <alignment horizontal="center"/>
    </xf>
    <xf numFmtId="10" fontId="13" fillId="0" borderId="0" xfId="3" applyNumberFormat="1" applyFont="1" applyAlignment="1">
      <alignment horizontal="center"/>
    </xf>
    <xf numFmtId="0" fontId="56" fillId="0" borderId="0" xfId="0" applyFont="1"/>
    <xf numFmtId="172" fontId="1" fillId="2" borderId="0" xfId="0" applyNumberFormat="1" applyFont="1" applyFill="1" applyAlignment="1">
      <alignment horizontal="center"/>
    </xf>
    <xf numFmtId="168" fontId="1" fillId="2" borderId="0" xfId="0" applyNumberFormat="1" applyFont="1" applyFill="1" applyAlignment="1">
      <alignment horizontal="center"/>
    </xf>
    <xf numFmtId="2" fontId="1" fillId="2" borderId="0" xfId="0" applyNumberFormat="1" applyFont="1" applyFill="1" applyAlignment="1">
      <alignment horizontal="center"/>
    </xf>
    <xf numFmtId="170" fontId="1" fillId="2" borderId="0" xfId="0" applyNumberFormat="1" applyFont="1" applyFill="1" applyAlignment="1">
      <alignment horizontal="center"/>
    </xf>
    <xf numFmtId="0" fontId="1" fillId="2" borderId="0" xfId="0" applyFont="1" applyFill="1" applyAlignment="1">
      <alignment horizontal="center"/>
    </xf>
    <xf numFmtId="0" fontId="59" fillId="0" borderId="0" xfId="0" applyFont="1" applyAlignment="1">
      <alignment horizontal="center" vertical="center"/>
    </xf>
    <xf numFmtId="0" fontId="58" fillId="0" borderId="0" xfId="6" applyFont="1" applyFill="1" applyBorder="1" applyAlignment="1">
      <alignment horizontal="center" vertical="center"/>
    </xf>
    <xf numFmtId="0" fontId="4" fillId="16" borderId="6" xfId="0" applyFont="1" applyFill="1" applyBorder="1"/>
    <xf numFmtId="0" fontId="13" fillId="16" borderId="6" xfId="6" applyFont="1" applyFill="1" applyBorder="1" applyAlignment="1">
      <alignment horizontal="left"/>
    </xf>
    <xf numFmtId="0" fontId="57" fillId="17" borderId="4" xfId="0" applyFont="1" applyFill="1" applyBorder="1"/>
    <xf numFmtId="172" fontId="0" fillId="0" borderId="0" xfId="0" applyNumberFormat="1" applyAlignment="1">
      <alignment horizontal="center"/>
    </xf>
    <xf numFmtId="0" fontId="0" fillId="16" borderId="6" xfId="0" applyFill="1" applyBorder="1"/>
    <xf numFmtId="0" fontId="60" fillId="0" borderId="0" xfId="6" applyFont="1" applyFill="1" applyBorder="1" applyAlignment="1">
      <alignment horizontal="center" vertical="center"/>
    </xf>
    <xf numFmtId="0" fontId="4" fillId="16" borderId="8" xfId="0" applyFont="1" applyFill="1" applyBorder="1"/>
    <xf numFmtId="0" fontId="0" fillId="7" borderId="4" xfId="0" applyFill="1" applyBorder="1"/>
    <xf numFmtId="0" fontId="58" fillId="7" borderId="10" xfId="6" applyFont="1" applyFill="1" applyBorder="1" applyAlignment="1">
      <alignment horizontal="center" vertical="center"/>
    </xf>
    <xf numFmtId="0" fontId="34" fillId="7" borderId="8" xfId="0" applyFont="1" applyFill="1" applyBorder="1" applyAlignment="1">
      <alignment horizontal="center" vertical="center"/>
    </xf>
    <xf numFmtId="0" fontId="34" fillId="7" borderId="12" xfId="6" applyFont="1" applyFill="1" applyBorder="1" applyAlignment="1">
      <alignment horizontal="center" vertical="center"/>
    </xf>
    <xf numFmtId="1" fontId="13" fillId="3" borderId="0" xfId="0" applyNumberFormat="1" applyFont="1" applyFill="1" applyAlignment="1">
      <alignment horizontal="right"/>
    </xf>
    <xf numFmtId="9" fontId="5" fillId="2" borderId="0" xfId="0" applyNumberFormat="1" applyFont="1" applyFill="1" applyAlignment="1">
      <alignment horizontal="center"/>
    </xf>
    <xf numFmtId="9" fontId="4" fillId="0" borderId="0" xfId="0" applyNumberFormat="1" applyFont="1" applyAlignment="1">
      <alignment horizontal="center"/>
    </xf>
    <xf numFmtId="9" fontId="5" fillId="0" borderId="0" xfId="0" applyNumberFormat="1" applyFont="1" applyAlignment="1">
      <alignment horizontal="center"/>
    </xf>
    <xf numFmtId="168" fontId="61" fillId="0" borderId="0" xfId="0" applyNumberFormat="1" applyFont="1" applyAlignment="1">
      <alignment horizontal="center"/>
    </xf>
    <xf numFmtId="167" fontId="61" fillId="0" borderId="0" xfId="3" applyNumberFormat="1" applyFont="1" applyFill="1" applyBorder="1" applyAlignment="1">
      <alignment horizontal="center"/>
    </xf>
    <xf numFmtId="168" fontId="4" fillId="7" borderId="0" xfId="0" applyNumberFormat="1" applyFont="1" applyFill="1" applyAlignment="1">
      <alignment horizontal="center"/>
    </xf>
    <xf numFmtId="0" fontId="13" fillId="0" borderId="0" xfId="3" applyNumberFormat="1" applyFont="1" applyFill="1" applyBorder="1" applyAlignment="1">
      <alignment horizontal="center"/>
    </xf>
    <xf numFmtId="167" fontId="5" fillId="0" borderId="0" xfId="0" applyNumberFormat="1" applyFont="1" applyAlignment="1">
      <alignment horizontal="center"/>
    </xf>
    <xf numFmtId="9" fontId="13" fillId="0" borderId="0" xfId="3" applyFont="1" applyFill="1" applyBorder="1" applyAlignment="1">
      <alignment horizontal="center"/>
    </xf>
    <xf numFmtId="0" fontId="43" fillId="2" borderId="0" xfId="0" applyFont="1" applyFill="1" applyAlignment="1">
      <alignment horizontal="center"/>
    </xf>
    <xf numFmtId="0" fontId="5" fillId="2" borderId="0" xfId="0" applyFont="1" applyFill="1" applyAlignment="1">
      <alignment vertical="distributed" wrapText="1"/>
    </xf>
    <xf numFmtId="49" fontId="43" fillId="2" borderId="0" xfId="0" quotePrefix="1" applyNumberFormat="1" applyFont="1" applyFill="1" applyAlignment="1">
      <alignment horizontal="center" vertical="distributed" wrapText="1"/>
    </xf>
    <xf numFmtId="0" fontId="43" fillId="2" borderId="0" xfId="0" applyFont="1" applyFill="1" applyAlignment="1">
      <alignment horizontal="centerContinuous" wrapText="1"/>
    </xf>
    <xf numFmtId="0" fontId="0" fillId="11" borderId="0" xfId="0" applyFill="1"/>
    <xf numFmtId="0" fontId="22" fillId="11" borderId="0" xfId="0" applyFont="1" applyFill="1" applyAlignment="1">
      <alignment horizontal="left"/>
    </xf>
    <xf numFmtId="1" fontId="13" fillId="0" borderId="3" xfId="3" applyNumberFormat="1" applyFont="1" applyFill="1" applyBorder="1" applyAlignment="1">
      <alignment horizontal="center"/>
    </xf>
    <xf numFmtId="1" fontId="13" fillId="0" borderId="0" xfId="3" applyNumberFormat="1" applyFont="1" applyFill="1" applyAlignment="1">
      <alignment horizontal="center"/>
    </xf>
    <xf numFmtId="9" fontId="48" fillId="0" borderId="0" xfId="3" applyFont="1" applyBorder="1"/>
    <xf numFmtId="0" fontId="16" fillId="2" borderId="0" xfId="0" applyFont="1" applyFill="1" applyAlignment="1">
      <alignment horizontal="center" vertical="top" wrapText="1"/>
    </xf>
    <xf numFmtId="0" fontId="16" fillId="2" borderId="10" xfId="0" applyFont="1" applyFill="1" applyBorder="1" applyAlignment="1">
      <alignment horizontal="left" vertical="top" wrapText="1"/>
    </xf>
    <xf numFmtId="0" fontId="16" fillId="2" borderId="10" xfId="0" applyFont="1" applyFill="1" applyBorder="1" applyAlignment="1">
      <alignment horizontal="center" vertical="top" wrapText="1"/>
    </xf>
    <xf numFmtId="0" fontId="16" fillId="2" borderId="0" xfId="0" applyFont="1" applyFill="1" applyAlignment="1">
      <alignment horizontal="left" vertical="top" wrapText="1"/>
    </xf>
    <xf numFmtId="0" fontId="62" fillId="2" borderId="0" xfId="4" applyFont="1" applyFill="1" applyBorder="1"/>
    <xf numFmtId="0" fontId="4" fillId="2" borderId="12" xfId="0" applyFont="1" applyFill="1" applyBorder="1"/>
    <xf numFmtId="0" fontId="4" fillId="0" borderId="6" xfId="0" applyFont="1" applyBorder="1"/>
    <xf numFmtId="0" fontId="4" fillId="0" borderId="7" xfId="0" applyFont="1" applyBorder="1"/>
    <xf numFmtId="1" fontId="0" fillId="0" borderId="7" xfId="0" applyNumberFormat="1" applyBorder="1"/>
    <xf numFmtId="1" fontId="0" fillId="0" borderId="9" xfId="0" applyNumberFormat="1" applyBorder="1"/>
    <xf numFmtId="0" fontId="16" fillId="2" borderId="4" xfId="0" applyFont="1" applyFill="1" applyBorder="1" applyAlignment="1">
      <alignment horizontal="center" vertical="top" wrapText="1"/>
    </xf>
    <xf numFmtId="169" fontId="5" fillId="0" borderId="6" xfId="0" applyNumberFormat="1" applyFont="1" applyBorder="1"/>
    <xf numFmtId="169" fontId="5" fillId="0" borderId="8" xfId="0" applyNumberFormat="1" applyFont="1" applyBorder="1"/>
    <xf numFmtId="0" fontId="16" fillId="2" borderId="5" xfId="0" applyFont="1" applyFill="1" applyBorder="1" applyAlignment="1">
      <alignment wrapText="1"/>
    </xf>
    <xf numFmtId="169" fontId="0" fillId="0" borderId="8" xfId="0" applyNumberFormat="1" applyBorder="1" applyAlignment="1">
      <alignment horizontal="center"/>
    </xf>
    <xf numFmtId="169" fontId="0" fillId="0" borderId="23" xfId="0" applyNumberFormat="1" applyBorder="1" applyAlignment="1">
      <alignment horizontal="center"/>
    </xf>
    <xf numFmtId="169" fontId="0" fillId="0" borderId="9" xfId="0" applyNumberFormat="1" applyBorder="1" applyAlignment="1">
      <alignment horizontal="center"/>
    </xf>
    <xf numFmtId="0" fontId="34" fillId="2" borderId="0" xfId="0" applyFont="1" applyFill="1" applyAlignment="1">
      <alignment horizontal="center" vertical="top" wrapText="1"/>
    </xf>
    <xf numFmtId="169" fontId="1" fillId="2" borderId="0" xfId="0" applyNumberFormat="1" applyFont="1" applyFill="1"/>
    <xf numFmtId="0" fontId="34" fillId="2" borderId="0" xfId="0" applyFont="1" applyFill="1" applyAlignment="1">
      <alignment horizontal="right" vertical="top" wrapText="1"/>
    </xf>
    <xf numFmtId="167" fontId="1" fillId="2" borderId="0" xfId="3" applyNumberFormat="1" applyFont="1" applyFill="1" applyAlignment="1">
      <alignment horizontal="right"/>
    </xf>
    <xf numFmtId="166" fontId="1" fillId="2" borderId="0" xfId="0" applyNumberFormat="1" applyFont="1" applyFill="1" applyAlignment="1">
      <alignment horizontal="right"/>
    </xf>
    <xf numFmtId="168" fontId="1" fillId="2" borderId="0" xfId="0" applyNumberFormat="1" applyFont="1" applyFill="1" applyAlignment="1">
      <alignment horizontal="left"/>
    </xf>
    <xf numFmtId="0" fontId="1" fillId="2" borderId="0" xfId="0" applyFont="1" applyFill="1" applyAlignment="1">
      <alignment horizontal="left"/>
    </xf>
    <xf numFmtId="169" fontId="0" fillId="0" borderId="0" xfId="3" applyNumberFormat="1" applyFont="1"/>
    <xf numFmtId="170" fontId="0" fillId="0" borderId="12" xfId="0" applyNumberFormat="1" applyBorder="1"/>
    <xf numFmtId="168" fontId="0" fillId="0" borderId="10" xfId="0" applyNumberFormat="1" applyBorder="1"/>
    <xf numFmtId="44" fontId="4" fillId="0" borderId="0" xfId="0" applyNumberFormat="1" applyFont="1"/>
    <xf numFmtId="166" fontId="1" fillId="2" borderId="0" xfId="0" applyNumberFormat="1" applyFont="1" applyFill="1" applyAlignment="1">
      <alignment horizontal="center"/>
    </xf>
    <xf numFmtId="170" fontId="1" fillId="0" borderId="0" xfId="0" applyNumberFormat="1" applyFont="1" applyAlignment="1">
      <alignment horizontal="right"/>
    </xf>
    <xf numFmtId="169" fontId="1" fillId="0" borderId="0" xfId="0" applyNumberFormat="1" applyFont="1" applyAlignment="1">
      <alignment horizontal="right"/>
    </xf>
    <xf numFmtId="10" fontId="5" fillId="0" borderId="0" xfId="3" applyNumberFormat="1" applyFont="1" applyAlignment="1">
      <alignment horizontal="right"/>
    </xf>
    <xf numFmtId="166" fontId="5" fillId="2" borderId="0" xfId="0" applyNumberFormat="1" applyFont="1" applyFill="1"/>
    <xf numFmtId="1" fontId="5" fillId="0" borderId="0" xfId="3" applyNumberFormat="1" applyFont="1" applyAlignment="1">
      <alignment horizontal="right"/>
    </xf>
    <xf numFmtId="10" fontId="5" fillId="0" borderId="0" xfId="3" applyNumberFormat="1" applyFont="1" applyAlignment="1">
      <alignment horizontal="center"/>
    </xf>
    <xf numFmtId="1" fontId="5" fillId="0" borderId="0" xfId="3" applyNumberFormat="1" applyFont="1" applyAlignment="1">
      <alignment horizontal="center"/>
    </xf>
    <xf numFmtId="170" fontId="5" fillId="0" borderId="0" xfId="0" applyNumberFormat="1" applyFont="1" applyAlignment="1">
      <alignment horizontal="right"/>
    </xf>
    <xf numFmtId="168" fontId="28" fillId="5" borderId="0" xfId="0" applyNumberFormat="1" applyFont="1" applyFill="1" applyAlignment="1">
      <alignment horizontal="center"/>
    </xf>
    <xf numFmtId="168" fontId="17" fillId="5" borderId="0" xfId="0" applyNumberFormat="1" applyFont="1" applyFill="1" applyAlignment="1">
      <alignment horizontal="center"/>
    </xf>
    <xf numFmtId="166" fontId="5" fillId="0" borderId="0" xfId="3" applyNumberFormat="1" applyFont="1" applyAlignment="1">
      <alignment horizontal="center"/>
    </xf>
    <xf numFmtId="168" fontId="48" fillId="0" borderId="0" xfId="0" applyNumberFormat="1" applyFont="1" applyAlignment="1">
      <alignment horizontal="center"/>
    </xf>
    <xf numFmtId="169" fontId="8" fillId="0" borderId="0" xfId="0" applyNumberFormat="1" applyFont="1"/>
    <xf numFmtId="170" fontId="8" fillId="0" borderId="0" xfId="0" applyNumberFormat="1" applyFont="1"/>
    <xf numFmtId="168" fontId="0" fillId="0" borderId="0" xfId="3" applyNumberFormat="1" applyFont="1" applyFill="1"/>
    <xf numFmtId="168" fontId="5" fillId="0" borderId="0" xfId="3" applyNumberFormat="1" applyFont="1" applyFill="1"/>
    <xf numFmtId="170" fontId="1" fillId="0" borderId="0" xfId="0" applyNumberFormat="1" applyFont="1"/>
    <xf numFmtId="167" fontId="0" fillId="2" borderId="0" xfId="3" applyNumberFormat="1" applyFont="1" applyFill="1" applyAlignment="1"/>
    <xf numFmtId="166" fontId="5" fillId="2" borderId="0" xfId="3" applyNumberFormat="1" applyFont="1" applyFill="1"/>
    <xf numFmtId="170" fontId="8" fillId="2" borderId="11" xfId="0" applyNumberFormat="1" applyFont="1" applyFill="1" applyBorder="1"/>
    <xf numFmtId="10" fontId="0" fillId="0" borderId="0" xfId="0" applyNumberFormat="1"/>
    <xf numFmtId="10" fontId="0" fillId="0" borderId="0" xfId="3" applyNumberFormat="1" applyFont="1" applyFill="1" applyAlignment="1"/>
    <xf numFmtId="168" fontId="5" fillId="2" borderId="0" xfId="3" applyNumberFormat="1" applyFont="1" applyFill="1"/>
    <xf numFmtId="168" fontId="0" fillId="2" borderId="0" xfId="3" applyNumberFormat="1" applyFont="1" applyFill="1"/>
    <xf numFmtId="172" fontId="0" fillId="0" borderId="11" xfId="0" applyNumberFormat="1" applyBorder="1" applyAlignment="1">
      <alignment horizontal="center"/>
    </xf>
    <xf numFmtId="168" fontId="8" fillId="0" borderId="0" xfId="0" applyNumberFormat="1" applyFont="1"/>
    <xf numFmtId="166" fontId="9" fillId="0" borderId="0" xfId="0" applyNumberFormat="1" applyFont="1"/>
    <xf numFmtId="0" fontId="9" fillId="0" borderId="0" xfId="0" applyFont="1" applyAlignment="1">
      <alignment horizontal="left" vertical="top"/>
    </xf>
    <xf numFmtId="0" fontId="34" fillId="2" borderId="0" xfId="0" applyFont="1" applyFill="1" applyAlignment="1">
      <alignment horizontal="left" vertical="top" wrapText="1"/>
    </xf>
    <xf numFmtId="2" fontId="1" fillId="2" borderId="0" xfId="0" applyNumberFormat="1" applyFont="1" applyFill="1"/>
    <xf numFmtId="0" fontId="63" fillId="2" borderId="0" xfId="4" applyFont="1" applyFill="1" applyBorder="1"/>
    <xf numFmtId="168" fontId="0" fillId="0" borderId="7" xfId="0" applyNumberFormat="1" applyBorder="1"/>
    <xf numFmtId="170" fontId="0" fillId="0" borderId="0" xfId="0" applyNumberFormat="1"/>
    <xf numFmtId="167" fontId="5" fillId="0" borderId="0" xfId="3" applyNumberFormat="1" applyFont="1" applyAlignment="1">
      <alignment horizontal="center"/>
    </xf>
    <xf numFmtId="169" fontId="1" fillId="0" borderId="0" xfId="0" applyNumberFormat="1" applyFont="1" applyAlignment="1">
      <alignment horizontal="center"/>
    </xf>
    <xf numFmtId="0" fontId="12" fillId="2" borderId="0" xfId="0" applyFont="1" applyFill="1" applyAlignment="1">
      <alignment horizontal="center" vertical="top" wrapText="1"/>
    </xf>
    <xf numFmtId="9" fontId="12" fillId="0" borderId="0" xfId="3" applyFont="1" applyFill="1" applyBorder="1" applyAlignment="1">
      <alignment horizontal="center" wrapText="1"/>
    </xf>
    <xf numFmtId="0" fontId="16" fillId="2" borderId="22" xfId="0" applyFont="1" applyFill="1" applyBorder="1" applyAlignment="1">
      <alignment horizontal="center" vertical="top" wrapText="1"/>
    </xf>
    <xf numFmtId="0" fontId="16" fillId="2" borderId="22" xfId="0" applyFont="1" applyFill="1" applyBorder="1" applyAlignment="1">
      <alignment wrapText="1"/>
    </xf>
    <xf numFmtId="1" fontId="0" fillId="0" borderId="23" xfId="0" applyNumberFormat="1" applyBorder="1"/>
    <xf numFmtId="168" fontId="5" fillId="0" borderId="11" xfId="0" applyNumberFormat="1" applyFont="1" applyBorder="1"/>
    <xf numFmtId="169" fontId="5" fillId="0" borderId="23" xfId="0" applyNumberFormat="1" applyFont="1" applyBorder="1"/>
    <xf numFmtId="0" fontId="4" fillId="3" borderId="0" xfId="0" applyFont="1" applyFill="1"/>
    <xf numFmtId="168" fontId="13" fillId="18" borderId="6" xfId="0" applyNumberFormat="1" applyFont="1" applyFill="1" applyBorder="1" applyAlignment="1">
      <alignment horizontal="center"/>
    </xf>
    <xf numFmtId="168" fontId="13" fillId="18" borderId="11" xfId="6" applyNumberFormat="1" applyFont="1" applyFill="1" applyBorder="1" applyAlignment="1">
      <alignment horizontal="center" vertical="center"/>
    </xf>
    <xf numFmtId="0" fontId="13" fillId="18" borderId="6" xfId="6" applyFont="1" applyFill="1" applyBorder="1" applyAlignment="1">
      <alignment horizontal="center" vertical="center"/>
    </xf>
    <xf numFmtId="0" fontId="13" fillId="18" borderId="11" xfId="6" applyFont="1" applyFill="1" applyBorder="1" applyAlignment="1">
      <alignment horizontal="center" vertical="center"/>
    </xf>
    <xf numFmtId="168" fontId="13" fillId="18" borderId="6" xfId="6" applyNumberFormat="1" applyFont="1" applyFill="1" applyBorder="1" applyAlignment="1">
      <alignment horizontal="center" vertical="center"/>
    </xf>
    <xf numFmtId="0" fontId="13" fillId="18" borderId="8" xfId="6" applyFont="1" applyFill="1" applyBorder="1" applyAlignment="1">
      <alignment horizontal="center" vertical="center"/>
    </xf>
    <xf numFmtId="0" fontId="13" fillId="18" borderId="12" xfId="6" applyFont="1" applyFill="1" applyBorder="1" applyAlignment="1">
      <alignment horizontal="center" vertical="center"/>
    </xf>
    <xf numFmtId="0" fontId="39" fillId="0" borderId="4" xfId="1" applyFont="1" applyBorder="1"/>
    <xf numFmtId="0" fontId="39" fillId="0" borderId="6" xfId="1" applyFont="1" applyBorder="1" applyAlignment="1">
      <alignment horizontal="left" wrapText="1"/>
    </xf>
    <xf numFmtId="0" fontId="39" fillId="0" borderId="6" xfId="1" applyFont="1" applyFill="1" applyBorder="1"/>
    <xf numFmtId="2" fontId="4" fillId="0" borderId="0" xfId="0" applyNumberFormat="1" applyFont="1" applyAlignment="1">
      <alignment horizontal="center"/>
    </xf>
    <xf numFmtId="0" fontId="53" fillId="3" borderId="0" xfId="1" applyFont="1" applyFill="1" applyAlignment="1" applyProtection="1"/>
    <xf numFmtId="0" fontId="53" fillId="3" borderId="0" xfId="0" applyFont="1" applyFill="1"/>
    <xf numFmtId="2" fontId="0" fillId="0" borderId="11" xfId="0" applyNumberFormat="1" applyBorder="1" applyAlignment="1">
      <alignment horizontal="center"/>
    </xf>
    <xf numFmtId="0" fontId="0" fillId="0" borderId="12" xfId="0" applyBorder="1" applyAlignment="1">
      <alignment horizontal="center"/>
    </xf>
    <xf numFmtId="169" fontId="0" fillId="0" borderId="11" xfId="0" applyNumberFormat="1" applyBorder="1" applyAlignment="1">
      <alignment horizontal="center" vertical="center"/>
    </xf>
    <xf numFmtId="169" fontId="0" fillId="2" borderId="11" xfId="0" applyNumberFormat="1" applyFill="1" applyBorder="1" applyAlignment="1">
      <alignment horizontal="center" vertical="center"/>
    </xf>
    <xf numFmtId="169" fontId="1" fillId="0" borderId="11" xfId="0" applyNumberFormat="1" applyFont="1" applyBorder="1" applyAlignment="1">
      <alignment horizontal="center" vertical="center"/>
    </xf>
    <xf numFmtId="0" fontId="0" fillId="0" borderId="12" xfId="0" applyBorder="1" applyAlignment="1">
      <alignment horizontal="center" vertical="center"/>
    </xf>
    <xf numFmtId="168" fontId="0" fillId="0" borderId="11" xfId="0" applyNumberFormat="1" applyBorder="1" applyAlignment="1">
      <alignment horizontal="center" vertical="center"/>
    </xf>
    <xf numFmtId="172" fontId="0" fillId="0" borderId="11" xfId="0" applyNumberFormat="1" applyBorder="1" applyAlignment="1">
      <alignment horizontal="center" vertical="center"/>
    </xf>
    <xf numFmtId="172" fontId="5" fillId="0" borderId="6" xfId="0" applyNumberFormat="1" applyFont="1" applyBorder="1"/>
    <xf numFmtId="172" fontId="5" fillId="0" borderId="0" xfId="0" applyNumberFormat="1" applyFont="1"/>
    <xf numFmtId="0" fontId="16" fillId="7" borderId="0" xfId="0" applyFont="1" applyFill="1" applyAlignment="1">
      <alignment horizontal="center" wrapText="1"/>
    </xf>
    <xf numFmtId="0" fontId="34" fillId="7" borderId="0" xfId="0" applyFont="1" applyFill="1" applyAlignment="1">
      <alignment horizontal="center" wrapText="1"/>
    </xf>
    <xf numFmtId="0" fontId="22" fillId="15" borderId="0" xfId="0" applyFont="1" applyFill="1" applyAlignment="1">
      <alignment horizontal="centerContinuous"/>
    </xf>
    <xf numFmtId="0" fontId="16" fillId="7" borderId="0" xfId="0" applyFont="1" applyFill="1" applyAlignment="1">
      <alignment horizontal="centerContinuous"/>
    </xf>
    <xf numFmtId="0" fontId="16" fillId="7" borderId="0" xfId="0" applyFont="1" applyFill="1" applyAlignment="1">
      <alignment horizontal="centerContinuous" vertical="top"/>
    </xf>
    <xf numFmtId="0" fontId="32" fillId="7" borderId="0" xfId="0" applyFont="1" applyFill="1" applyAlignment="1">
      <alignment horizontal="centerContinuous" vertical="top"/>
    </xf>
    <xf numFmtId="0" fontId="32" fillId="7" borderId="0" xfId="0" applyFont="1" applyFill="1" applyAlignment="1">
      <alignment horizontal="centerContinuous"/>
    </xf>
    <xf numFmtId="0" fontId="24" fillId="12" borderId="0" xfId="6" applyFont="1" applyFill="1" applyBorder="1" applyAlignment="1">
      <alignment horizontal="centerContinuous" vertical="center" wrapText="1"/>
    </xf>
    <xf numFmtId="0" fontId="4" fillId="12" borderId="0" xfId="0" applyFont="1" applyFill="1"/>
    <xf numFmtId="0" fontId="16" fillId="12" borderId="0" xfId="0" applyFont="1" applyFill="1" applyAlignment="1">
      <alignment horizontal="centerContinuous" wrapText="1"/>
    </xf>
    <xf numFmtId="0" fontId="32" fillId="12" borderId="0" xfId="0" applyFont="1" applyFill="1"/>
    <xf numFmtId="0" fontId="16" fillId="12" borderId="0" xfId="0" applyFont="1" applyFill="1" applyAlignment="1">
      <alignment horizontal="right" wrapText="1"/>
    </xf>
    <xf numFmtId="169" fontId="0" fillId="12" borderId="0" xfId="0" applyNumberFormat="1" applyFill="1"/>
    <xf numFmtId="170" fontId="0" fillId="12" borderId="0" xfId="0" applyNumberFormat="1" applyFill="1"/>
    <xf numFmtId="0" fontId="64" fillId="10" borderId="0" xfId="6" applyFont="1" applyBorder="1" applyAlignment="1">
      <alignment horizontal="centerContinuous" vertical="center" wrapText="1"/>
    </xf>
    <xf numFmtId="0" fontId="65" fillId="5" borderId="0" xfId="0" applyFont="1" applyFill="1" applyAlignment="1">
      <alignment horizontal="centerContinuous"/>
    </xf>
    <xf numFmtId="0" fontId="22" fillId="12" borderId="0" xfId="0" applyFont="1" applyFill="1" applyAlignment="1">
      <alignment horizontal="left"/>
    </xf>
    <xf numFmtId="0" fontId="4" fillId="12" borderId="0" xfId="0" applyFont="1" applyFill="1" applyAlignment="1">
      <alignment wrapText="1"/>
    </xf>
    <xf numFmtId="0" fontId="12" fillId="2" borderId="0" xfId="0" applyFont="1" applyFill="1" applyAlignment="1">
      <alignment horizontal="center" wrapText="1"/>
    </xf>
    <xf numFmtId="0" fontId="16" fillId="2" borderId="0" xfId="0" applyFont="1" applyFill="1" applyAlignment="1">
      <alignment vertical="top"/>
    </xf>
    <xf numFmtId="0" fontId="19" fillId="12" borderId="0" xfId="5" applyFill="1"/>
    <xf numFmtId="0" fontId="28" fillId="12" borderId="0" xfId="4" applyFont="1" applyFill="1" applyBorder="1"/>
    <xf numFmtId="0" fontId="16" fillId="12" borderId="0" xfId="0" applyFont="1" applyFill="1" applyAlignment="1">
      <alignment horizontal="center" wrapText="1"/>
    </xf>
    <xf numFmtId="169" fontId="4" fillId="12" borderId="0" xfId="0" applyNumberFormat="1" applyFont="1" applyFill="1"/>
    <xf numFmtId="168" fontId="4" fillId="12" borderId="0" xfId="0" applyNumberFormat="1" applyFont="1" applyFill="1"/>
    <xf numFmtId="172" fontId="4" fillId="0" borderId="0" xfId="0" applyNumberFormat="1" applyFont="1"/>
    <xf numFmtId="173" fontId="4" fillId="0" borderId="0" xfId="0" applyNumberFormat="1" applyFont="1"/>
    <xf numFmtId="0" fontId="21" fillId="12" borderId="0" xfId="5" applyFont="1" applyFill="1"/>
    <xf numFmtId="170" fontId="5" fillId="0" borderId="6" xfId="0" applyNumberFormat="1" applyFont="1" applyBorder="1"/>
    <xf numFmtId="0" fontId="28" fillId="2" borderId="0" xfId="4" applyFont="1" applyFill="1" applyBorder="1" applyAlignment="1">
      <alignment horizontal="left" vertical="top" wrapText="1"/>
    </xf>
    <xf numFmtId="0" fontId="16" fillId="2" borderId="0" xfId="0" applyFont="1" applyFill="1" applyAlignment="1">
      <alignment horizontal="left" vertical="top"/>
    </xf>
    <xf numFmtId="0" fontId="22" fillId="0" borderId="0" xfId="0" applyFont="1" applyAlignment="1">
      <alignment horizontal="left"/>
    </xf>
    <xf numFmtId="0" fontId="39" fillId="0" borderId="0" xfId="0" applyFont="1"/>
    <xf numFmtId="0" fontId="16" fillId="2" borderId="0" xfId="0" applyFont="1" applyFill="1" applyAlignment="1">
      <alignment horizontal="center" vertical="top"/>
    </xf>
    <xf numFmtId="170" fontId="5" fillId="0" borderId="11" xfId="0" applyNumberFormat="1" applyFont="1" applyBorder="1"/>
    <xf numFmtId="0" fontId="12" fillId="0" borderId="0" xfId="0" applyFont="1" applyAlignment="1">
      <alignment horizontal="center" wrapText="1"/>
    </xf>
    <xf numFmtId="0" fontId="28" fillId="5" borderId="0" xfId="0" applyFont="1" applyFill="1" applyAlignment="1">
      <alignment horizontal="centerContinuous"/>
    </xf>
    <xf numFmtId="0" fontId="28" fillId="11" borderId="0" xfId="0" applyFont="1" applyFill="1" applyAlignment="1">
      <alignment horizontal="centerContinuous"/>
    </xf>
    <xf numFmtId="169" fontId="66" fillId="0" borderId="0" xfId="0" applyNumberFormat="1" applyFont="1"/>
    <xf numFmtId="169" fontId="4" fillId="2" borderId="0" xfId="0" applyNumberFormat="1" applyFont="1" applyFill="1"/>
    <xf numFmtId="170" fontId="4" fillId="0" borderId="0" xfId="0" applyNumberFormat="1" applyFont="1"/>
    <xf numFmtId="170" fontId="4" fillId="2" borderId="0" xfId="0" applyNumberFormat="1" applyFont="1" applyFill="1"/>
    <xf numFmtId="174" fontId="4" fillId="8" borderId="2" xfId="2" applyNumberFormat="1" applyFont="1" applyFill="1" applyBorder="1" applyAlignment="1">
      <alignment horizontal="center"/>
    </xf>
    <xf numFmtId="174" fontId="4" fillId="8" borderId="17" xfId="2" applyNumberFormat="1" applyFont="1" applyFill="1" applyBorder="1" applyAlignment="1">
      <alignment horizontal="center"/>
    </xf>
    <xf numFmtId="174" fontId="4" fillId="8" borderId="19" xfId="2" applyNumberFormat="1" applyFont="1" applyFill="1" applyBorder="1" applyAlignment="1">
      <alignment horizontal="center"/>
    </xf>
    <xf numFmtId="174" fontId="4" fillId="8" borderId="20" xfId="2" applyNumberFormat="1" applyFont="1" applyFill="1" applyBorder="1" applyAlignment="1">
      <alignment horizontal="center"/>
    </xf>
    <xf numFmtId="169" fontId="6" fillId="0" borderId="11" xfId="0" applyNumberFormat="1" applyFont="1" applyBorder="1"/>
    <xf numFmtId="169" fontId="6" fillId="0" borderId="0" xfId="3" applyNumberFormat="1" applyFont="1"/>
    <xf numFmtId="0" fontId="16" fillId="5" borderId="0" xfId="0" applyFont="1" applyFill="1"/>
    <xf numFmtId="0" fontId="16" fillId="5" borderId="0" xfId="0" applyFont="1" applyFill="1" applyAlignment="1">
      <alignment wrapText="1"/>
    </xf>
    <xf numFmtId="0" fontId="16" fillId="5" borderId="0" xfId="0" applyFont="1" applyFill="1" applyAlignment="1">
      <alignment horizontal="right"/>
    </xf>
    <xf numFmtId="0" fontId="4" fillId="5" borderId="0" xfId="0" applyFont="1" applyFill="1" applyAlignment="1">
      <alignment horizontal="left" vertical="top"/>
    </xf>
    <xf numFmtId="169" fontId="4" fillId="5" borderId="0" xfId="0" applyNumberFormat="1" applyFont="1" applyFill="1"/>
    <xf numFmtId="169" fontId="66" fillId="5" borderId="0" xfId="0" applyNumberFormat="1" applyFont="1" applyFill="1"/>
    <xf numFmtId="170" fontId="4" fillId="5" borderId="0" xfId="0" applyNumberFormat="1" applyFont="1" applyFill="1"/>
    <xf numFmtId="0" fontId="28" fillId="19" borderId="0" xfId="0" applyFont="1" applyFill="1" applyAlignment="1">
      <alignment horizontal="centerContinuous"/>
    </xf>
    <xf numFmtId="0" fontId="65" fillId="19" borderId="0" xfId="0" applyFont="1" applyFill="1" applyAlignment="1">
      <alignment horizontal="centerContinuous"/>
    </xf>
    <xf numFmtId="0" fontId="16" fillId="20" borderId="0" xfId="0" applyFont="1" applyFill="1"/>
    <xf numFmtId="0" fontId="16" fillId="20" borderId="0" xfId="0" applyFont="1" applyFill="1" applyAlignment="1">
      <alignment horizontal="centerContinuous"/>
    </xf>
    <xf numFmtId="0" fontId="16" fillId="8" borderId="0" xfId="0" applyFont="1" applyFill="1"/>
    <xf numFmtId="0" fontId="4" fillId="8" borderId="0" xfId="0" applyFont="1" applyFill="1"/>
    <xf numFmtId="0" fontId="67" fillId="2" borderId="0" xfId="0" applyFont="1" applyFill="1"/>
    <xf numFmtId="0" fontId="6" fillId="8" borderId="0" xfId="0" applyFont="1" applyFill="1"/>
    <xf numFmtId="0" fontId="66" fillId="0" borderId="0" xfId="0" applyFont="1"/>
    <xf numFmtId="1" fontId="66" fillId="0" borderId="0" xfId="0" applyNumberFormat="1" applyFont="1"/>
    <xf numFmtId="1" fontId="66" fillId="0" borderId="0" xfId="3" applyNumberFormat="1" applyFont="1" applyFill="1"/>
    <xf numFmtId="166" fontId="66" fillId="0" borderId="0" xfId="0" applyNumberFormat="1" applyFont="1"/>
    <xf numFmtId="1" fontId="66" fillId="0" borderId="0" xfId="3" applyNumberFormat="1" applyFont="1"/>
    <xf numFmtId="2" fontId="66" fillId="0" borderId="0" xfId="0" applyNumberFormat="1" applyFont="1"/>
    <xf numFmtId="0" fontId="16" fillId="8" borderId="0" xfId="0" applyFont="1" applyFill="1" applyAlignment="1">
      <alignment horizontal="right" wrapText="1"/>
    </xf>
    <xf numFmtId="2" fontId="6" fillId="0" borderId="0" xfId="0" applyNumberFormat="1" applyFont="1" applyAlignment="1">
      <alignment horizontal="right"/>
    </xf>
    <xf numFmtId="0" fontId="68" fillId="0" borderId="0" xfId="0" applyFont="1"/>
    <xf numFmtId="0" fontId="68" fillId="2" borderId="0" xfId="0" applyFont="1" applyFill="1"/>
    <xf numFmtId="166" fontId="68" fillId="0" borderId="0" xfId="0" applyNumberFormat="1" applyFont="1"/>
    <xf numFmtId="0" fontId="6" fillId="21" borderId="0" xfId="0" applyFont="1" applyFill="1"/>
    <xf numFmtId="166" fontId="6" fillId="21" borderId="0" xfId="0" applyNumberFormat="1" applyFont="1" applyFill="1"/>
    <xf numFmtId="167" fontId="6" fillId="21" borderId="0" xfId="3" applyNumberFormat="1" applyFont="1" applyFill="1"/>
    <xf numFmtId="167" fontId="12" fillId="21" borderId="0" xfId="3" applyNumberFormat="1" applyFont="1" applyFill="1"/>
    <xf numFmtId="0" fontId="4" fillId="21" borderId="0" xfId="0" applyFont="1" applyFill="1"/>
    <xf numFmtId="0" fontId="16" fillId="21" borderId="0" xfId="0" applyFont="1" applyFill="1" applyAlignment="1">
      <alignment horizontal="center" wrapText="1"/>
    </xf>
    <xf numFmtId="9" fontId="1" fillId="21" borderId="0" xfId="3" applyFont="1" applyFill="1" applyAlignment="1">
      <alignment horizontal="center"/>
    </xf>
    <xf numFmtId="169" fontId="5" fillId="21" borderId="0" xfId="0" applyNumberFormat="1" applyFont="1" applyFill="1"/>
    <xf numFmtId="8" fontId="0" fillId="0" borderId="14" xfId="0" applyNumberFormat="1" applyBorder="1" applyAlignment="1">
      <alignment horizontal="center" vertical="center"/>
    </xf>
    <xf numFmtId="10" fontId="0" fillId="0" borderId="14" xfId="0" applyNumberFormat="1" applyBorder="1" applyAlignment="1">
      <alignment horizontal="center" vertical="center"/>
    </xf>
    <xf numFmtId="175" fontId="0" fillId="0" borderId="2" xfId="0" applyNumberFormat="1" applyBorder="1" applyAlignment="1">
      <alignment horizontal="center" vertical="center"/>
    </xf>
    <xf numFmtId="10" fontId="0" fillId="0" borderId="2" xfId="0" applyNumberFormat="1" applyBorder="1" applyAlignment="1">
      <alignment horizontal="center" vertical="center"/>
    </xf>
    <xf numFmtId="176" fontId="0" fillId="0" borderId="2" xfId="0" applyNumberFormat="1" applyBorder="1" applyAlignment="1">
      <alignment horizontal="center" vertical="center"/>
    </xf>
    <xf numFmtId="8" fontId="0" fillId="0" borderId="0" xfId="0" applyNumberFormat="1" applyAlignment="1">
      <alignment horizontal="center"/>
    </xf>
    <xf numFmtId="0" fontId="0" fillId="21" borderId="0" xfId="0" applyFill="1" applyAlignment="1">
      <alignment horizontal="center"/>
    </xf>
    <xf numFmtId="1" fontId="0" fillId="21" borderId="0" xfId="0" applyNumberFormat="1" applyFill="1"/>
    <xf numFmtId="9" fontId="0" fillId="0" borderId="14" xfId="0" applyNumberFormat="1" applyBorder="1" applyAlignment="1">
      <alignment horizontal="center" vertical="center"/>
    </xf>
    <xf numFmtId="169" fontId="4" fillId="22" borderId="2" xfId="0" applyNumberFormat="1" applyFont="1" applyFill="1" applyBorder="1" applyAlignment="1">
      <alignment horizontal="right" indent="1"/>
    </xf>
    <xf numFmtId="9" fontId="34" fillId="2" borderId="0" xfId="3" applyFont="1" applyFill="1" applyAlignment="1">
      <alignment horizontal="center"/>
    </xf>
    <xf numFmtId="0" fontId="4" fillId="11" borderId="0" xfId="0" applyFont="1" applyFill="1"/>
    <xf numFmtId="0" fontId="66" fillId="0" borderId="0" xfId="0" applyFont="1" applyAlignment="1">
      <alignment horizontal="left" vertical="top"/>
    </xf>
    <xf numFmtId="169" fontId="66" fillId="0" borderId="0" xfId="3" applyNumberFormat="1" applyFont="1"/>
    <xf numFmtId="169" fontId="66" fillId="21" borderId="0" xfId="0" applyNumberFormat="1" applyFont="1" applyFill="1"/>
    <xf numFmtId="169" fontId="66" fillId="0" borderId="11" xfId="0" applyNumberFormat="1" applyFont="1" applyBorder="1"/>
    <xf numFmtId="168" fontId="66" fillId="0" borderId="0" xfId="0" applyNumberFormat="1" applyFont="1"/>
    <xf numFmtId="169" fontId="66" fillId="12" borderId="0" xfId="0" applyNumberFormat="1" applyFont="1" applyFill="1"/>
    <xf numFmtId="0" fontId="66" fillId="12" borderId="0" xfId="0" applyFont="1" applyFill="1"/>
    <xf numFmtId="169" fontId="66" fillId="0" borderId="6" xfId="0" applyNumberFormat="1" applyFont="1" applyBorder="1"/>
    <xf numFmtId="1" fontId="66" fillId="0" borderId="7" xfId="0" applyNumberFormat="1" applyFont="1" applyBorder="1"/>
    <xf numFmtId="169" fontId="66" fillId="0" borderId="12" xfId="0" applyNumberFormat="1" applyFont="1" applyBorder="1"/>
    <xf numFmtId="169" fontId="66" fillId="0" borderId="8" xfId="0" applyNumberFormat="1" applyFont="1" applyBorder="1"/>
    <xf numFmtId="169" fontId="66" fillId="0" borderId="23" xfId="0" applyNumberFormat="1" applyFont="1" applyBorder="1"/>
    <xf numFmtId="1" fontId="66" fillId="0" borderId="23" xfId="0" applyNumberFormat="1" applyFont="1" applyBorder="1"/>
    <xf numFmtId="1" fontId="66" fillId="0" borderId="9" xfId="0" applyNumberFormat="1" applyFont="1" applyBorder="1"/>
    <xf numFmtId="0" fontId="69" fillId="0" borderId="27" xfId="0" applyFont="1" applyBorder="1" applyAlignment="1">
      <alignment horizontal="left"/>
    </xf>
    <xf numFmtId="0" fontId="69" fillId="0" borderId="29" xfId="0" applyFont="1" applyBorder="1" applyAlignment="1">
      <alignment horizontal="left"/>
    </xf>
    <xf numFmtId="2" fontId="69" fillId="0" borderId="0" xfId="0" applyNumberFormat="1" applyFont="1" applyAlignment="1">
      <alignment horizontal="center" wrapText="1"/>
    </xf>
    <xf numFmtId="0" fontId="69" fillId="0" borderId="27" xfId="0" applyFont="1" applyBorder="1" applyAlignment="1">
      <alignment horizontal="center" wrapText="1"/>
    </xf>
    <xf numFmtId="0" fontId="0" fillId="0" borderId="30" xfId="0" applyBorder="1" applyAlignment="1">
      <alignment horizontal="left" vertical="top"/>
    </xf>
    <xf numFmtId="0" fontId="0" fillId="0" borderId="31" xfId="0" applyBorder="1" applyAlignment="1">
      <alignment horizontal="left" vertical="top" wrapText="1"/>
    </xf>
    <xf numFmtId="2" fontId="0" fillId="0" borderId="30" xfId="0" applyNumberFormat="1" applyBorder="1" applyAlignment="1">
      <alignment vertical="top"/>
    </xf>
    <xf numFmtId="2" fontId="0" fillId="0" borderId="31" xfId="0" applyNumberFormat="1" applyBorder="1" applyAlignment="1">
      <alignment vertical="top"/>
    </xf>
    <xf numFmtId="0" fontId="0" fillId="0" borderId="27" xfId="0" applyBorder="1" applyAlignment="1">
      <alignment horizontal="left" vertical="top" wrapText="1"/>
    </xf>
    <xf numFmtId="2" fontId="0" fillId="23" borderId="0" xfId="0" applyNumberFormat="1" applyFill="1" applyAlignment="1">
      <alignment vertical="top"/>
    </xf>
    <xf numFmtId="2" fontId="0" fillId="0" borderId="27" xfId="0" applyNumberFormat="1" applyBorder="1" applyAlignment="1">
      <alignment vertical="top"/>
    </xf>
    <xf numFmtId="2" fontId="0" fillId="0" borderId="0" xfId="0" applyNumberFormat="1" applyAlignment="1">
      <alignment vertical="top"/>
    </xf>
    <xf numFmtId="0" fontId="0" fillId="0" borderId="28" xfId="0" applyBorder="1" applyAlignment="1">
      <alignment horizontal="left" vertical="top"/>
    </xf>
    <xf numFmtId="0" fontId="0" fillId="0" borderId="29" xfId="0" applyBorder="1" applyAlignment="1">
      <alignment horizontal="left" vertical="top" wrapText="1"/>
    </xf>
    <xf numFmtId="2" fontId="0" fillId="0" borderId="28" xfId="0" applyNumberFormat="1" applyBorder="1" applyAlignment="1">
      <alignment vertical="top"/>
    </xf>
    <xf numFmtId="2" fontId="0" fillId="0" borderId="29" xfId="0" applyNumberFormat="1" applyBorder="1" applyAlignment="1">
      <alignment vertical="top"/>
    </xf>
    <xf numFmtId="165" fontId="0" fillId="23" borderId="0" xfId="0" applyNumberFormat="1" applyFill="1" applyAlignment="1">
      <alignment vertical="top"/>
    </xf>
    <xf numFmtId="165" fontId="0" fillId="0" borderId="0" xfId="0" applyNumberFormat="1" applyAlignment="1">
      <alignment vertical="top"/>
    </xf>
    <xf numFmtId="177" fontId="0" fillId="0" borderId="0" xfId="0" applyNumberFormat="1" applyAlignment="1">
      <alignment vertical="top"/>
    </xf>
    <xf numFmtId="165" fontId="0" fillId="0" borderId="28" xfId="0" applyNumberFormat="1" applyBorder="1" applyAlignment="1">
      <alignment vertical="top"/>
    </xf>
    <xf numFmtId="2" fontId="69" fillId="0" borderId="32" xfId="0" applyNumberFormat="1" applyFont="1" applyBorder="1" applyAlignment="1">
      <alignment horizontal="center" wrapText="1"/>
    </xf>
    <xf numFmtId="0" fontId="69" fillId="0" borderId="29" xfId="0" applyFont="1" applyBorder="1" applyAlignment="1">
      <alignment horizontal="center" wrapText="1"/>
    </xf>
    <xf numFmtId="2" fontId="69" fillId="0" borderId="28" xfId="0" applyNumberFormat="1" applyFont="1" applyBorder="1" applyAlignment="1">
      <alignment horizontal="center" wrapText="1"/>
    </xf>
    <xf numFmtId="169" fontId="0" fillId="0" borderId="0" xfId="0" applyNumberFormat="1" applyAlignment="1">
      <alignment horizontal="right" indent="1"/>
    </xf>
    <xf numFmtId="0" fontId="0" fillId="0" borderId="0" xfId="0" applyAlignment="1">
      <alignment horizontal="right" indent="1"/>
    </xf>
    <xf numFmtId="0" fontId="70" fillId="0" borderId="0" xfId="0" applyFont="1"/>
    <xf numFmtId="2" fontId="71" fillId="0" borderId="0" xfId="0" applyNumberFormat="1" applyFont="1" applyAlignment="1">
      <alignment horizontal="center" wrapText="1"/>
    </xf>
    <xf numFmtId="0" fontId="71" fillId="0" borderId="27" xfId="0" applyFont="1" applyBorder="1" applyAlignment="1">
      <alignment horizontal="center" wrapText="1"/>
    </xf>
    <xf numFmtId="2" fontId="70" fillId="0" borderId="30" xfId="0" applyNumberFormat="1" applyFont="1" applyBorder="1" applyAlignment="1">
      <alignment vertical="top"/>
    </xf>
    <xf numFmtId="2" fontId="70" fillId="0" borderId="31" xfId="0" applyNumberFormat="1" applyFont="1" applyBorder="1" applyAlignment="1">
      <alignment vertical="top"/>
    </xf>
    <xf numFmtId="2" fontId="70" fillId="23" borderId="0" xfId="0" applyNumberFormat="1" applyFont="1" applyFill="1" applyAlignment="1">
      <alignment vertical="top"/>
    </xf>
    <xf numFmtId="2" fontId="70" fillId="0" borderId="27" xfId="0" applyNumberFormat="1" applyFont="1" applyBorder="1" applyAlignment="1">
      <alignment vertical="top"/>
    </xf>
    <xf numFmtId="2" fontId="70" fillId="0" borderId="0" xfId="0" applyNumberFormat="1" applyFont="1" applyAlignment="1">
      <alignment vertical="top"/>
    </xf>
    <xf numFmtId="2" fontId="70" fillId="0" borderId="28" xfId="0" applyNumberFormat="1" applyFont="1" applyBorder="1" applyAlignment="1">
      <alignment vertical="top"/>
    </xf>
    <xf numFmtId="2" fontId="70" fillId="0" borderId="29" xfId="0" applyNumberFormat="1" applyFont="1" applyBorder="1" applyAlignment="1">
      <alignment vertical="top"/>
    </xf>
    <xf numFmtId="2" fontId="71" fillId="0" borderId="28" xfId="0" applyNumberFormat="1" applyFont="1" applyBorder="1" applyAlignment="1">
      <alignment horizontal="center" wrapText="1"/>
    </xf>
    <xf numFmtId="0" fontId="71" fillId="0" borderId="29" xfId="0" applyFont="1" applyBorder="1" applyAlignment="1">
      <alignment horizontal="center" wrapText="1"/>
    </xf>
    <xf numFmtId="165" fontId="70" fillId="23" borderId="0" xfId="0" applyNumberFormat="1" applyFont="1" applyFill="1" applyAlignment="1">
      <alignment vertical="top"/>
    </xf>
    <xf numFmtId="165" fontId="70" fillId="0" borderId="0" xfId="0" applyNumberFormat="1" applyFont="1" applyAlignment="1">
      <alignment vertical="top"/>
    </xf>
    <xf numFmtId="177" fontId="70" fillId="0" borderId="0" xfId="0" applyNumberFormat="1" applyFont="1" applyAlignment="1">
      <alignment vertical="top"/>
    </xf>
    <xf numFmtId="165" fontId="70" fillId="0" borderId="28" xfId="0" applyNumberFormat="1" applyFont="1" applyBorder="1" applyAlignment="1">
      <alignment vertical="top"/>
    </xf>
    <xf numFmtId="0" fontId="73" fillId="24" borderId="6" xfId="1" applyFont="1" applyFill="1" applyBorder="1"/>
    <xf numFmtId="0" fontId="75" fillId="24" borderId="0" xfId="5" applyFont="1" applyFill="1" applyAlignment="1"/>
    <xf numFmtId="0" fontId="72" fillId="24" borderId="0" xfId="0" applyFont="1" applyFill="1" applyAlignment="1">
      <alignment horizontal="centerContinuous"/>
    </xf>
    <xf numFmtId="0" fontId="76" fillId="24" borderId="0" xfId="0" applyFont="1" applyFill="1"/>
    <xf numFmtId="0" fontId="72" fillId="24" borderId="0" xfId="0" applyFont="1" applyFill="1" applyAlignment="1">
      <alignment horizontal="center" wrapText="1"/>
    </xf>
    <xf numFmtId="9" fontId="72" fillId="24" borderId="0" xfId="3" applyFont="1" applyFill="1" applyBorder="1" applyAlignment="1">
      <alignment horizontal="center" wrapText="1"/>
    </xf>
    <xf numFmtId="0" fontId="19" fillId="24" borderId="0" xfId="0" applyFont="1" applyFill="1"/>
    <xf numFmtId="169" fontId="19" fillId="24" borderId="0" xfId="0" applyNumberFormat="1" applyFont="1" applyFill="1"/>
    <xf numFmtId="166" fontId="19" fillId="24" borderId="0" xfId="0" applyNumberFormat="1" applyFont="1" applyFill="1"/>
    <xf numFmtId="0" fontId="72" fillId="24" borderId="0" xfId="0" applyFont="1" applyFill="1" applyAlignment="1">
      <alignment horizontal="right" wrapText="1"/>
    </xf>
    <xf numFmtId="0" fontId="74" fillId="24" borderId="0" xfId="5" applyFont="1" applyFill="1"/>
    <xf numFmtId="0" fontId="77" fillId="24" borderId="0" xfId="0" applyFont="1" applyFill="1"/>
    <xf numFmtId="2" fontId="19" fillId="24" borderId="0" xfId="0" applyNumberFormat="1" applyFont="1" applyFill="1" applyAlignment="1">
      <alignment horizontal="right"/>
    </xf>
    <xf numFmtId="0" fontId="16" fillId="24" borderId="0" xfId="0" applyFont="1" applyFill="1" applyAlignment="1">
      <alignment horizontal="center"/>
    </xf>
    <xf numFmtId="0" fontId="78" fillId="24" borderId="33" xfId="0" applyFont="1" applyFill="1" applyBorder="1" applyAlignment="1">
      <alignment horizontal="left" vertical="center" wrapText="1" indent="1"/>
    </xf>
    <xf numFmtId="0" fontId="78" fillId="24" borderId="34" xfId="0" applyFont="1" applyFill="1" applyBorder="1" applyAlignment="1">
      <alignment horizontal="left" vertical="center" wrapText="1" indent="1"/>
    </xf>
    <xf numFmtId="9" fontId="79" fillId="24" borderId="12" xfId="0" applyNumberFormat="1" applyFont="1" applyFill="1" applyBorder="1" applyAlignment="1">
      <alignment horizontal="left" vertical="center" wrapText="1" indent="1"/>
    </xf>
    <xf numFmtId="9" fontId="79" fillId="24" borderId="9" xfId="0" applyNumberFormat="1" applyFont="1" applyFill="1" applyBorder="1" applyAlignment="1">
      <alignment horizontal="left" vertical="center" wrapText="1" indent="1"/>
    </xf>
    <xf numFmtId="168" fontId="19" fillId="24" borderId="0" xfId="0" applyNumberFormat="1" applyFont="1" applyFill="1"/>
    <xf numFmtId="2" fontId="19" fillId="24" borderId="0" xfId="0" applyNumberFormat="1" applyFont="1" applyFill="1"/>
    <xf numFmtId="0" fontId="0" fillId="8" borderId="0" xfId="0" applyFill="1" applyAlignment="1">
      <alignment horizontal="right" indent="1"/>
    </xf>
    <xf numFmtId="0" fontId="0" fillId="0" borderId="0" xfId="0" applyAlignment="1">
      <alignment horizontal="center" wrapText="1"/>
    </xf>
    <xf numFmtId="0" fontId="0" fillId="0" borderId="28" xfId="0" applyBorder="1" applyAlignment="1">
      <alignment horizontal="center"/>
    </xf>
    <xf numFmtId="0" fontId="1" fillId="0" borderId="28" xfId="0" applyFont="1" applyBorder="1" applyAlignment="1">
      <alignment horizontal="center"/>
    </xf>
    <xf numFmtId="169" fontId="1" fillId="0" borderId="0" xfId="0" applyNumberFormat="1" applyFont="1" applyAlignment="1">
      <alignment horizontal="right" indent="1"/>
    </xf>
    <xf numFmtId="0" fontId="31" fillId="21" borderId="0" xfId="0" applyFont="1" applyFill="1"/>
    <xf numFmtId="0" fontId="6" fillId="16" borderId="0" xfId="0" applyFont="1" applyFill="1"/>
    <xf numFmtId="169" fontId="19" fillId="24" borderId="0" xfId="0" applyNumberFormat="1" applyFont="1" applyFill="1" applyAlignment="1">
      <alignment horizontal="right"/>
    </xf>
    <xf numFmtId="169" fontId="66" fillId="0" borderId="0" xfId="0" applyNumberFormat="1" applyFont="1" applyAlignment="1">
      <alignment horizontal="right"/>
    </xf>
    <xf numFmtId="168" fontId="19" fillId="24" borderId="0" xfId="0" applyNumberFormat="1" applyFont="1" applyFill="1" applyAlignment="1">
      <alignment horizontal="right"/>
    </xf>
    <xf numFmtId="170" fontId="19" fillId="24" borderId="0" xfId="0" applyNumberFormat="1" applyFont="1" applyFill="1" applyAlignment="1">
      <alignment horizontal="right"/>
    </xf>
    <xf numFmtId="1" fontId="5" fillId="0" borderId="11" xfId="0" applyNumberFormat="1" applyFont="1" applyBorder="1"/>
    <xf numFmtId="1" fontId="66" fillId="0" borderId="11" xfId="0" applyNumberFormat="1" applyFont="1" applyBorder="1"/>
    <xf numFmtId="1" fontId="66" fillId="0" borderId="12" xfId="0" applyNumberFormat="1" applyFont="1" applyBorder="1"/>
    <xf numFmtId="169" fontId="80" fillId="21" borderId="0" xfId="0" applyNumberFormat="1" applyFont="1" applyFill="1" applyAlignment="1">
      <alignment horizontal="right"/>
    </xf>
    <xf numFmtId="0" fontId="73" fillId="24" borderId="11" xfId="1" applyFont="1" applyFill="1" applyBorder="1"/>
    <xf numFmtId="0" fontId="4" fillId="25" borderId="11" xfId="0" applyFont="1" applyFill="1" applyBorder="1" applyAlignment="1">
      <alignment horizontal="center"/>
    </xf>
    <xf numFmtId="0" fontId="73" fillId="24" borderId="12" xfId="1" applyFont="1" applyFill="1" applyBorder="1"/>
    <xf numFmtId="0" fontId="4" fillId="25" borderId="12" xfId="0" applyFont="1" applyFill="1" applyBorder="1" applyAlignment="1">
      <alignment horizontal="center"/>
    </xf>
    <xf numFmtId="0" fontId="4" fillId="25" borderId="10" xfId="0" applyFont="1" applyFill="1" applyBorder="1" applyAlignment="1">
      <alignment horizontal="center"/>
    </xf>
    <xf numFmtId="0" fontId="0" fillId="8" borderId="0" xfId="0" applyFill="1"/>
    <xf numFmtId="2" fontId="0" fillId="0" borderId="0" xfId="0" applyNumberFormat="1" applyAlignment="1">
      <alignment horizontal="right" indent="1"/>
    </xf>
    <xf numFmtId="0" fontId="5" fillId="8" borderId="0" xfId="0" applyFont="1" applyFill="1"/>
    <xf numFmtId="0" fontId="81" fillId="2" borderId="0" xfId="4" applyFont="1" applyFill="1" applyBorder="1"/>
    <xf numFmtId="3" fontId="82" fillId="0" borderId="0" xfId="0" applyNumberFormat="1" applyFont="1" applyAlignment="1">
      <alignment horizontal="right" indent="1"/>
    </xf>
    <xf numFmtId="169" fontId="0" fillId="0" borderId="0" xfId="0" applyNumberFormat="1" applyAlignment="1">
      <alignment horizontal="right"/>
    </xf>
    <xf numFmtId="169" fontId="0" fillId="16" borderId="0" xfId="0" applyNumberFormat="1" applyFill="1"/>
    <xf numFmtId="0" fontId="84" fillId="0" borderId="0" xfId="0" applyFont="1" applyAlignment="1">
      <alignment vertical="center" wrapText="1"/>
    </xf>
    <xf numFmtId="0" fontId="85" fillId="0" borderId="0" xfId="0" applyFont="1" applyAlignment="1">
      <alignment vertical="center" wrapText="1"/>
    </xf>
    <xf numFmtId="0" fontId="85" fillId="0" borderId="36" xfId="0" applyFont="1" applyBorder="1" applyAlignment="1">
      <alignment vertical="center" wrapText="1"/>
    </xf>
    <xf numFmtId="0" fontId="84" fillId="0" borderId="37" xfId="0" applyFont="1" applyBorder="1" applyAlignment="1">
      <alignment vertical="center" wrapText="1"/>
    </xf>
    <xf numFmtId="0" fontId="84" fillId="0" borderId="38" xfId="0" applyFont="1" applyBorder="1" applyAlignment="1">
      <alignment vertical="center" wrapText="1"/>
    </xf>
    <xf numFmtId="0" fontId="85" fillId="0" borderId="0" xfId="0" applyFont="1" applyAlignment="1">
      <alignment horizontal="right" vertical="center" wrapText="1"/>
    </xf>
    <xf numFmtId="0" fontId="85" fillId="0" borderId="35" xfId="0" applyFont="1" applyBorder="1" applyAlignment="1">
      <alignment vertical="center" wrapText="1"/>
    </xf>
    <xf numFmtId="0" fontId="85" fillId="0" borderId="39" xfId="0" applyFont="1" applyBorder="1" applyAlignment="1">
      <alignment vertical="center" wrapText="1"/>
    </xf>
    <xf numFmtId="0" fontId="85" fillId="0" borderId="36" xfId="0" applyFont="1" applyBorder="1" applyAlignment="1">
      <alignment horizontal="right" vertical="center" wrapText="1"/>
    </xf>
    <xf numFmtId="0" fontId="86" fillId="0" borderId="40" xfId="0" applyFont="1" applyBorder="1" applyAlignment="1">
      <alignment horizontal="right" vertical="center" wrapText="1"/>
    </xf>
    <xf numFmtId="0" fontId="86" fillId="0" borderId="40" xfId="0" applyFont="1" applyBorder="1" applyAlignment="1">
      <alignment vertical="center" wrapText="1"/>
    </xf>
    <xf numFmtId="0" fontId="86" fillId="0" borderId="41" xfId="0" applyFont="1" applyBorder="1" applyAlignment="1">
      <alignment vertical="center" wrapText="1"/>
    </xf>
    <xf numFmtId="0" fontId="86" fillId="0" borderId="40" xfId="0" applyFont="1" applyBorder="1" applyAlignment="1">
      <alignment horizontal="left" vertical="center" wrapText="1" indent="1"/>
    </xf>
    <xf numFmtId="0" fontId="86" fillId="0" borderId="42" xfId="0" applyFont="1" applyBorder="1" applyAlignment="1">
      <alignment horizontal="right" vertical="center" wrapText="1"/>
    </xf>
    <xf numFmtId="0" fontId="86" fillId="0" borderId="41" xfId="0" applyFont="1" applyBorder="1" applyAlignment="1">
      <alignment horizontal="right" vertical="center" wrapText="1"/>
    </xf>
    <xf numFmtId="0" fontId="86" fillId="0" borderId="35" xfId="0" applyFont="1" applyBorder="1" applyAlignment="1">
      <alignment vertical="center" wrapText="1"/>
    </xf>
    <xf numFmtId="0" fontId="86" fillId="0" borderId="45" xfId="0" applyFont="1" applyBorder="1" applyAlignment="1">
      <alignment vertical="center" wrapText="1"/>
    </xf>
    <xf numFmtId="0" fontId="86" fillId="0" borderId="46" xfId="0" applyFont="1" applyBorder="1" applyAlignment="1">
      <alignment vertical="center" wrapText="1"/>
    </xf>
    <xf numFmtId="0" fontId="86" fillId="0" borderId="50" xfId="0" applyFont="1" applyBorder="1" applyAlignment="1">
      <alignment horizontal="left" vertical="center" wrapText="1" indent="1"/>
    </xf>
    <xf numFmtId="0" fontId="86" fillId="0" borderId="52" xfId="0" applyFont="1" applyBorder="1" applyAlignment="1">
      <alignment horizontal="right" vertical="center" wrapText="1"/>
    </xf>
    <xf numFmtId="0" fontId="86" fillId="0" borderId="50" xfId="0" applyFont="1" applyBorder="1" applyAlignment="1">
      <alignment horizontal="right" vertical="center" wrapText="1"/>
    </xf>
    <xf numFmtId="0" fontId="86" fillId="0" borderId="51" xfId="0" applyFont="1" applyBorder="1" applyAlignment="1">
      <alignment horizontal="right" vertical="center" wrapText="1"/>
    </xf>
    <xf numFmtId="0" fontId="86" fillId="0" borderId="36" xfId="0" applyFont="1" applyBorder="1" applyAlignment="1">
      <alignment vertical="center" wrapText="1"/>
    </xf>
    <xf numFmtId="0" fontId="86" fillId="0" borderId="49" xfId="0" applyFont="1" applyBorder="1" applyAlignment="1">
      <alignment vertical="center" wrapText="1"/>
    </xf>
    <xf numFmtId="0" fontId="86" fillId="0" borderId="53" xfId="0" applyFont="1" applyBorder="1" applyAlignment="1">
      <alignment vertical="center" wrapText="1"/>
    </xf>
    <xf numFmtId="0" fontId="86" fillId="0" borderId="48" xfId="0" applyFont="1" applyBorder="1" applyAlignment="1">
      <alignment vertical="center" wrapText="1"/>
    </xf>
    <xf numFmtId="0" fontId="86" fillId="0" borderId="39" xfId="0" applyFont="1" applyBorder="1" applyAlignment="1">
      <alignment vertical="center" wrapText="1"/>
    </xf>
    <xf numFmtId="0" fontId="86" fillId="0" borderId="47" xfId="0" applyFont="1" applyBorder="1" applyAlignment="1">
      <alignment vertical="center" wrapText="1"/>
    </xf>
    <xf numFmtId="0" fontId="86" fillId="0" borderId="43" xfId="0" applyFont="1" applyBorder="1" applyAlignment="1">
      <alignment vertical="center" wrapText="1"/>
    </xf>
    <xf numFmtId="0" fontId="86" fillId="0" borderId="42" xfId="0" applyFont="1" applyBorder="1" applyAlignment="1">
      <alignment vertical="center" wrapText="1"/>
    </xf>
    <xf numFmtId="0" fontId="86" fillId="0" borderId="45" xfId="0" applyFont="1" applyBorder="1" applyAlignment="1">
      <alignment horizontal="left" vertical="center" wrapText="1"/>
    </xf>
    <xf numFmtId="0" fontId="86" fillId="0" borderId="0" xfId="0" applyFont="1" applyAlignment="1">
      <alignment horizontal="left" vertical="center" wrapText="1"/>
    </xf>
    <xf numFmtId="0" fontId="86" fillId="0" borderId="40" xfId="0" applyFont="1" applyBorder="1" applyAlignment="1">
      <alignment horizontal="left" vertical="center" wrapText="1"/>
    </xf>
    <xf numFmtId="0" fontId="86" fillId="0" borderId="36" xfId="0" applyFont="1" applyBorder="1" applyAlignment="1">
      <alignment horizontal="left" vertical="center" wrapText="1"/>
    </xf>
    <xf numFmtId="0" fontId="86" fillId="0" borderId="50" xfId="0" applyFont="1" applyBorder="1" applyAlignment="1">
      <alignment horizontal="left" vertical="center" wrapText="1"/>
    </xf>
    <xf numFmtId="0" fontId="86" fillId="0" borderId="46" xfId="0" applyFont="1" applyBorder="1" applyAlignment="1">
      <alignment horizontal="left" vertical="center"/>
    </xf>
    <xf numFmtId="0" fontId="86" fillId="0" borderId="41" xfId="0" applyFont="1" applyBorder="1" applyAlignment="1">
      <alignment horizontal="left" vertical="center"/>
    </xf>
    <xf numFmtId="0" fontId="86" fillId="0" borderId="37" xfId="0" applyFont="1" applyBorder="1" applyAlignment="1">
      <alignment horizontal="left" vertical="center"/>
    </xf>
    <xf numFmtId="0" fontId="86" fillId="0" borderId="35" xfId="0" applyFont="1" applyBorder="1" applyAlignment="1">
      <alignment horizontal="left" vertical="center"/>
    </xf>
    <xf numFmtId="0" fontId="86" fillId="0" borderId="51" xfId="0" applyFont="1" applyBorder="1" applyAlignment="1">
      <alignment horizontal="left" vertical="center" indent="1"/>
    </xf>
    <xf numFmtId="0" fontId="86" fillId="0" borderId="41" xfId="0" applyFont="1" applyBorder="1" applyAlignment="1">
      <alignment horizontal="left" vertical="center" indent="1"/>
    </xf>
    <xf numFmtId="0" fontId="86" fillId="0" borderId="40" xfId="0" applyFont="1" applyBorder="1" applyAlignment="1">
      <alignment horizontal="right" vertical="center"/>
    </xf>
    <xf numFmtId="0" fontId="86" fillId="0" borderId="40" xfId="0" applyFont="1" applyBorder="1" applyAlignment="1">
      <alignment horizontal="right" vertical="center" indent="1"/>
    </xf>
    <xf numFmtId="0" fontId="86" fillId="0" borderId="36" xfId="0" applyFont="1" applyBorder="1" applyAlignment="1">
      <alignment horizontal="right" vertical="center"/>
    </xf>
    <xf numFmtId="0" fontId="86" fillId="0" borderId="50" xfId="0" applyFont="1" applyBorder="1" applyAlignment="1">
      <alignment horizontal="right" vertical="center" indent="1"/>
    </xf>
    <xf numFmtId="2" fontId="86" fillId="0" borderId="40" xfId="0" applyNumberFormat="1" applyFont="1" applyBorder="1" applyAlignment="1">
      <alignment horizontal="left" vertical="center" wrapText="1" indent="1"/>
    </xf>
    <xf numFmtId="2" fontId="86" fillId="0" borderId="42" xfId="0" applyNumberFormat="1" applyFont="1" applyBorder="1" applyAlignment="1">
      <alignment horizontal="right" vertical="center" wrapText="1"/>
    </xf>
    <xf numFmtId="2" fontId="86" fillId="0" borderId="40" xfId="0" applyNumberFormat="1" applyFont="1" applyBorder="1" applyAlignment="1">
      <alignment horizontal="right" vertical="center" wrapText="1"/>
    </xf>
    <xf numFmtId="2" fontId="86" fillId="0" borderId="41" xfId="0" applyNumberFormat="1" applyFont="1" applyBorder="1" applyAlignment="1">
      <alignment horizontal="right" vertical="center" wrapText="1"/>
    </xf>
    <xf numFmtId="2" fontId="86" fillId="0" borderId="47" xfId="0" applyNumberFormat="1" applyFont="1" applyBorder="1" applyAlignment="1">
      <alignment horizontal="right" vertical="center"/>
    </xf>
    <xf numFmtId="2" fontId="86" fillId="0" borderId="48" xfId="0" applyNumberFormat="1" applyFont="1" applyBorder="1" applyAlignment="1">
      <alignment vertical="center" wrapText="1"/>
    </xf>
    <xf numFmtId="2" fontId="86" fillId="0" borderId="49" xfId="0" applyNumberFormat="1" applyFont="1" applyBorder="1" applyAlignment="1">
      <alignment vertical="center" wrapText="1"/>
    </xf>
    <xf numFmtId="2" fontId="86" fillId="0" borderId="46" xfId="0" applyNumberFormat="1" applyFont="1" applyBorder="1" applyAlignment="1">
      <alignment vertical="center" wrapText="1"/>
    </xf>
    <xf numFmtId="2" fontId="86" fillId="0" borderId="40" xfId="0" applyNumberFormat="1" applyFont="1" applyBorder="1" applyAlignment="1">
      <alignment horizontal="right" vertical="center"/>
    </xf>
    <xf numFmtId="2" fontId="86" fillId="0" borderId="42" xfId="0" applyNumberFormat="1" applyFont="1" applyBorder="1" applyAlignment="1">
      <alignment vertical="center" wrapText="1"/>
    </xf>
    <xf numFmtId="2" fontId="86" fillId="0" borderId="40" xfId="0" applyNumberFormat="1" applyFont="1" applyBorder="1" applyAlignment="1">
      <alignment vertical="center" wrapText="1"/>
    </xf>
    <xf numFmtId="2" fontId="86" fillId="0" borderId="41" xfId="0" applyNumberFormat="1" applyFont="1" applyBorder="1" applyAlignment="1">
      <alignment vertical="center" wrapText="1"/>
    </xf>
    <xf numFmtId="2" fontId="86" fillId="0" borderId="40" xfId="0" applyNumberFormat="1" applyFont="1" applyBorder="1" applyAlignment="1">
      <alignment horizontal="right" vertical="center" indent="1"/>
    </xf>
    <xf numFmtId="2" fontId="86" fillId="0" borderId="36" xfId="0" applyNumberFormat="1" applyFont="1" applyBorder="1" applyAlignment="1">
      <alignment horizontal="right" vertical="center"/>
    </xf>
    <xf numFmtId="2" fontId="86" fillId="0" borderId="39" xfId="0" applyNumberFormat="1" applyFont="1" applyBorder="1" applyAlignment="1">
      <alignment vertical="center" wrapText="1"/>
    </xf>
    <xf numFmtId="2" fontId="86" fillId="0" borderId="36" xfId="0" applyNumberFormat="1" applyFont="1" applyBorder="1" applyAlignment="1">
      <alignment vertical="center" wrapText="1"/>
    </xf>
    <xf numFmtId="2" fontId="86" fillId="0" borderId="35" xfId="0" applyNumberFormat="1" applyFont="1" applyBorder="1" applyAlignment="1">
      <alignment vertical="center" wrapText="1"/>
    </xf>
    <xf numFmtId="2" fontId="86" fillId="0" borderId="50" xfId="0" applyNumberFormat="1" applyFont="1" applyBorder="1" applyAlignment="1">
      <alignment horizontal="right" vertical="center" indent="1"/>
    </xf>
    <xf numFmtId="2" fontId="86" fillId="0" borderId="52" xfId="0" applyNumberFormat="1" applyFont="1" applyBorder="1" applyAlignment="1">
      <alignment horizontal="right" vertical="center" wrapText="1"/>
    </xf>
    <xf numFmtId="2" fontId="86" fillId="0" borderId="50" xfId="0" applyNumberFormat="1" applyFont="1" applyBorder="1" applyAlignment="1">
      <alignment horizontal="right" vertical="center" wrapText="1"/>
    </xf>
    <xf numFmtId="2" fontId="86" fillId="0" borderId="51" xfId="0" applyNumberFormat="1" applyFont="1" applyBorder="1" applyAlignment="1">
      <alignment horizontal="right" vertical="center" wrapText="1"/>
    </xf>
    <xf numFmtId="0" fontId="86" fillId="0" borderId="45" xfId="0" applyFont="1" applyBorder="1" applyAlignment="1">
      <alignment horizontal="right" vertical="center"/>
    </xf>
    <xf numFmtId="2" fontId="70" fillId="0" borderId="37" xfId="0" applyNumberFormat="1" applyFont="1" applyBorder="1" applyAlignment="1">
      <alignment vertical="top"/>
    </xf>
    <xf numFmtId="2" fontId="70" fillId="0" borderId="54" xfId="0" applyNumberFormat="1" applyFont="1" applyBorder="1" applyAlignment="1">
      <alignment vertical="top"/>
    </xf>
    <xf numFmtId="2" fontId="71" fillId="0" borderId="55" xfId="0" applyNumberFormat="1" applyFont="1" applyBorder="1" applyAlignment="1">
      <alignment horizontal="center" wrapText="1"/>
    </xf>
    <xf numFmtId="0" fontId="71" fillId="0" borderId="56" xfId="0" applyFont="1" applyBorder="1" applyAlignment="1">
      <alignment horizontal="center" wrapText="1"/>
    </xf>
    <xf numFmtId="2" fontId="70" fillId="23" borderId="55" xfId="0" applyNumberFormat="1" applyFont="1" applyFill="1" applyBorder="1" applyAlignment="1">
      <alignment vertical="top"/>
    </xf>
    <xf numFmtId="2" fontId="70" fillId="0" borderId="56" xfId="0" applyNumberFormat="1" applyFont="1" applyBorder="1" applyAlignment="1">
      <alignment vertical="top"/>
    </xf>
    <xf numFmtId="169" fontId="4" fillId="8" borderId="0" xfId="0" applyNumberFormat="1" applyFont="1" applyFill="1"/>
    <xf numFmtId="169" fontId="1" fillId="8" borderId="0" xfId="0" applyNumberFormat="1" applyFont="1" applyFill="1" applyAlignment="1">
      <alignment horizontal="right" indent="1"/>
    </xf>
    <xf numFmtId="169" fontId="0" fillId="8" borderId="0" xfId="0" applyNumberFormat="1" applyFill="1" applyAlignment="1">
      <alignment horizontal="right" indent="1"/>
    </xf>
    <xf numFmtId="0" fontId="29" fillId="2" borderId="0" xfId="4" applyFont="1" applyFill="1" applyBorder="1"/>
    <xf numFmtId="0" fontId="39" fillId="0" borderId="0" xfId="1" applyFont="1" applyFill="1" applyBorder="1" applyAlignment="1"/>
    <xf numFmtId="0" fontId="39" fillId="0" borderId="0" xfId="1" applyFont="1" applyFill="1" applyBorder="1" applyAlignment="1">
      <alignment horizontal="left"/>
    </xf>
    <xf numFmtId="0" fontId="39" fillId="0" borderId="7" xfId="1" applyFont="1" applyFill="1" applyBorder="1" applyAlignment="1"/>
    <xf numFmtId="164" fontId="13" fillId="3" borderId="0" xfId="0" applyNumberFormat="1" applyFont="1" applyFill="1" applyAlignment="1">
      <alignment horizontal="left"/>
    </xf>
    <xf numFmtId="0" fontId="87" fillId="3" borderId="0" xfId="0" applyFont="1" applyFill="1"/>
    <xf numFmtId="0" fontId="88" fillId="0" borderId="0" xfId="0" applyFont="1"/>
    <xf numFmtId="0" fontId="90" fillId="27" borderId="60" xfId="0" applyFont="1" applyFill="1" applyBorder="1" applyAlignment="1">
      <alignment vertical="center" wrapText="1"/>
    </xf>
    <xf numFmtId="0" fontId="93" fillId="27" borderId="61" xfId="0" applyFont="1" applyFill="1" applyBorder="1" applyAlignment="1">
      <alignment vertical="center" wrapText="1"/>
    </xf>
    <xf numFmtId="0" fontId="93" fillId="0" borderId="61" xfId="0" applyFont="1" applyBorder="1" applyAlignment="1">
      <alignment vertical="center" wrapText="1"/>
    </xf>
    <xf numFmtId="0" fontId="93" fillId="0" borderId="63" xfId="0" applyFont="1" applyBorder="1" applyAlignment="1">
      <alignment vertical="center" wrapText="1"/>
    </xf>
    <xf numFmtId="0" fontId="93" fillId="0" borderId="64" xfId="0" applyFont="1" applyBorder="1" applyAlignment="1">
      <alignment vertical="center" wrapText="1"/>
    </xf>
    <xf numFmtId="0" fontId="92" fillId="26" borderId="59" xfId="0" applyFont="1" applyFill="1" applyBorder="1" applyAlignment="1">
      <alignment horizontal="center" vertical="center" wrapText="1"/>
    </xf>
    <xf numFmtId="0" fontId="90" fillId="0" borderId="60" xfId="0" applyFont="1" applyBorder="1" applyAlignment="1">
      <alignment vertical="center" wrapText="1"/>
    </xf>
    <xf numFmtId="0" fontId="90" fillId="0" borderId="65" xfId="0" applyFont="1" applyBorder="1" applyAlignment="1">
      <alignment vertical="center" wrapText="1"/>
    </xf>
    <xf numFmtId="0" fontId="90" fillId="27" borderId="67" xfId="0" applyFont="1" applyFill="1" applyBorder="1" applyAlignment="1">
      <alignment vertical="center" wrapText="1"/>
    </xf>
    <xf numFmtId="0" fontId="90" fillId="0" borderId="67" xfId="0" applyFont="1" applyBorder="1" applyAlignment="1">
      <alignment vertical="center" wrapText="1"/>
    </xf>
    <xf numFmtId="0" fontId="90" fillId="0" borderId="67" xfId="0" applyFont="1" applyBorder="1" applyAlignment="1">
      <alignment vertical="center"/>
    </xf>
    <xf numFmtId="0" fontId="94" fillId="0" borderId="69" xfId="0" applyFont="1" applyBorder="1" applyAlignment="1">
      <alignment vertical="center" wrapText="1"/>
    </xf>
    <xf numFmtId="0" fontId="90" fillId="27" borderId="67" xfId="0" applyFont="1" applyFill="1" applyBorder="1" applyAlignment="1">
      <alignment vertical="center"/>
    </xf>
    <xf numFmtId="0" fontId="90" fillId="27" borderId="71" xfId="0" applyFont="1" applyFill="1" applyBorder="1" applyAlignment="1">
      <alignment vertical="center" wrapText="1"/>
    </xf>
    <xf numFmtId="0" fontId="95" fillId="27" borderId="73" xfId="0" applyFont="1" applyFill="1" applyBorder="1" applyAlignment="1">
      <alignment vertical="center" wrapText="1"/>
    </xf>
    <xf numFmtId="0" fontId="95" fillId="27" borderId="68" xfId="0" applyFont="1" applyFill="1" applyBorder="1" applyAlignment="1">
      <alignment vertical="center" wrapText="1"/>
    </xf>
    <xf numFmtId="0" fontId="94" fillId="0" borderId="73" xfId="0" applyFont="1" applyBorder="1" applyAlignment="1">
      <alignment vertical="center" wrapText="1"/>
    </xf>
    <xf numFmtId="0" fontId="89" fillId="27" borderId="70" xfId="0" applyFont="1" applyFill="1" applyBorder="1" applyAlignment="1">
      <alignment horizontal="left" vertical="center" wrapText="1"/>
    </xf>
    <xf numFmtId="0" fontId="89" fillId="27" borderId="68" xfId="0" applyFont="1" applyFill="1" applyBorder="1" applyAlignment="1">
      <alignment horizontal="left" vertical="center" wrapText="1"/>
    </xf>
    <xf numFmtId="0" fontId="89" fillId="27" borderId="72" xfId="0" applyFont="1" applyFill="1" applyBorder="1" applyAlignment="1">
      <alignment horizontal="left" vertical="center" wrapText="1"/>
    </xf>
    <xf numFmtId="0" fontId="91" fillId="26" borderId="57" xfId="0" applyFont="1" applyFill="1" applyBorder="1" applyAlignment="1">
      <alignment vertical="center" wrapText="1"/>
    </xf>
    <xf numFmtId="0" fontId="91" fillId="26" borderId="58" xfId="0" applyFont="1" applyFill="1" applyBorder="1" applyAlignment="1">
      <alignment vertical="center" wrapText="1"/>
    </xf>
    <xf numFmtId="0" fontId="90" fillId="0" borderId="64" xfId="0" applyFont="1" applyBorder="1" applyAlignment="1">
      <alignment vertical="center" wrapText="1"/>
    </xf>
    <xf numFmtId="0" fontId="90" fillId="0" borderId="60" xfId="0" applyFont="1" applyBorder="1" applyAlignment="1">
      <alignment vertical="center" wrapText="1"/>
    </xf>
    <xf numFmtId="0" fontId="93" fillId="0" borderId="64" xfId="0" applyFont="1" applyBorder="1" applyAlignment="1">
      <alignment vertical="center" wrapText="1"/>
    </xf>
    <xf numFmtId="0" fontId="93" fillId="0" borderId="60" xfId="0" applyFont="1" applyBorder="1" applyAlignment="1">
      <alignment vertical="center" wrapText="1"/>
    </xf>
    <xf numFmtId="0" fontId="90" fillId="27" borderId="64" xfId="0" applyFont="1" applyFill="1" applyBorder="1" applyAlignment="1">
      <alignment vertical="center" wrapText="1"/>
    </xf>
    <xf numFmtId="0" fontId="90" fillId="27" borderId="62" xfId="0" applyFont="1" applyFill="1" applyBorder="1" applyAlignment="1">
      <alignment vertical="center" wrapText="1"/>
    </xf>
    <xf numFmtId="0" fontId="90" fillId="27" borderId="60" xfId="0" applyFont="1" applyFill="1" applyBorder="1" applyAlignment="1">
      <alignment vertical="center" wrapText="1"/>
    </xf>
    <xf numFmtId="0" fontId="95" fillId="0" borderId="66" xfId="0" applyFont="1" applyBorder="1" applyAlignment="1">
      <alignment vertical="center" wrapText="1"/>
    </xf>
    <xf numFmtId="0" fontId="95" fillId="0" borderId="68" xfId="0" applyFont="1" applyBorder="1" applyAlignment="1">
      <alignment vertical="center" wrapText="1"/>
    </xf>
    <xf numFmtId="0" fontId="0" fillId="0" borderId="28" xfId="0" applyBorder="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69" fillId="0" borderId="28" xfId="0" applyFont="1" applyBorder="1" applyAlignment="1">
      <alignment horizontal="left"/>
    </xf>
    <xf numFmtId="0" fontId="69" fillId="0" borderId="0" xfId="0" applyFont="1" applyAlignment="1">
      <alignment horizontal="center"/>
    </xf>
    <xf numFmtId="0" fontId="69" fillId="0" borderId="27" xfId="0" applyFont="1" applyBorder="1" applyAlignment="1">
      <alignment horizontal="center"/>
    </xf>
    <xf numFmtId="0" fontId="71" fillId="0" borderId="0" xfId="0" applyFont="1" applyAlignment="1">
      <alignment horizontal="center"/>
    </xf>
    <xf numFmtId="0" fontId="71" fillId="0" borderId="27" xfId="0" applyFont="1" applyBorder="1" applyAlignment="1">
      <alignment horizontal="center"/>
    </xf>
    <xf numFmtId="0" fontId="85" fillId="0" borderId="36" xfId="0" applyFont="1" applyBorder="1" applyAlignment="1">
      <alignment vertical="center" wrapText="1"/>
    </xf>
    <xf numFmtId="0" fontId="71" fillId="0" borderId="37" xfId="0" applyFont="1" applyBorder="1" applyAlignment="1">
      <alignment horizontal="center"/>
    </xf>
    <xf numFmtId="0" fontId="85" fillId="0" borderId="43" xfId="0" applyFont="1" applyBorder="1" applyAlignment="1">
      <alignment vertical="center" wrapText="1"/>
    </xf>
    <xf numFmtId="0" fontId="84" fillId="0" borderId="36" xfId="0" applyFont="1" applyBorder="1" applyAlignment="1">
      <alignment vertical="center" wrapText="1"/>
    </xf>
    <xf numFmtId="0" fontId="84" fillId="0" borderId="35" xfId="0" applyFont="1" applyBorder="1" applyAlignment="1">
      <alignment vertical="center" wrapText="1"/>
    </xf>
    <xf numFmtId="0" fontId="85" fillId="0" borderId="35" xfId="0" applyFont="1" applyBorder="1" applyAlignment="1">
      <alignment vertical="center" wrapText="1"/>
    </xf>
    <xf numFmtId="0" fontId="84" fillId="0" borderId="44" xfId="0" applyFont="1" applyBorder="1" applyAlignment="1">
      <alignment vertical="center" wrapText="1"/>
    </xf>
    <xf numFmtId="0" fontId="17" fillId="2" borderId="0" xfId="0" applyFont="1" applyFill="1" applyAlignment="1">
      <alignment horizontal="left" wrapText="1"/>
    </xf>
    <xf numFmtId="0" fontId="0" fillId="0" borderId="24" xfId="0" applyBorder="1" applyAlignment="1">
      <alignment horizontal="left" vertical="center" wrapText="1" indent="1"/>
    </xf>
    <xf numFmtId="0" fontId="0" fillId="0" borderId="25" xfId="0" applyBorder="1" applyAlignment="1">
      <alignment horizontal="left" vertical="center" wrapText="1" indent="1"/>
    </xf>
    <xf numFmtId="0" fontId="0" fillId="0" borderId="26" xfId="0" applyBorder="1" applyAlignment="1">
      <alignment horizontal="left" vertical="center" wrapText="1" indent="1"/>
    </xf>
    <xf numFmtId="0" fontId="16" fillId="2" borderId="0" xfId="0" applyFont="1" applyFill="1" applyAlignment="1">
      <alignment horizontal="right" wrapText="1"/>
    </xf>
    <xf numFmtId="0" fontId="34" fillId="2" borderId="0" xfId="0" applyFont="1" applyFill="1" applyAlignment="1">
      <alignment horizontal="right"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16" fillId="0" borderId="0" xfId="0" applyFont="1" applyAlignment="1">
      <alignment horizontal="center" wrapText="1"/>
    </xf>
    <xf numFmtId="0" fontId="6" fillId="12" borderId="0" xfId="0" applyFont="1" applyFill="1" applyAlignment="1">
      <alignment horizontal="left" wrapText="1"/>
    </xf>
  </cellXfs>
  <cellStyles count="8">
    <cellStyle name="Accent2" xfId="5" builtinId="33"/>
    <cellStyle name="Accent3" xfId="6" builtinId="37"/>
    <cellStyle name="Comma" xfId="2" builtinId="3"/>
    <cellStyle name="Heading 1" xfId="4" builtinId="16"/>
    <cellStyle name="Hyperlink" xfId="1" builtinId="8"/>
    <cellStyle name="Hyperlink 2" xfId="7" xr:uid="{00000000-0005-0000-0000-000005000000}"/>
    <cellStyle name="Normal" xfId="0" builtinId="0"/>
    <cellStyle name="Percent" xfId="3" builtinId="5"/>
  </cellStyles>
  <dxfs count="86">
    <dxf>
      <fill>
        <patternFill>
          <bgColor rgb="FFF76E57"/>
        </patternFill>
      </fill>
    </dxf>
    <dxf>
      <fill>
        <patternFill>
          <bgColor rgb="FFF76E57"/>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rgb="FFF76E57"/>
        </patternFill>
      </fill>
    </dxf>
    <dxf>
      <fill>
        <patternFill>
          <bgColor rgb="FFF76E57"/>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6" tint="0.79998168889431442"/>
        </patternFill>
      </fill>
    </dxf>
    <dxf>
      <fill>
        <patternFill>
          <bgColor theme="6" tint="0.79998168889431442"/>
        </patternFill>
      </fill>
    </dxf>
    <dxf>
      <fill>
        <patternFill>
          <bgColor theme="5" tint="0.59996337778862885"/>
        </patternFill>
      </fill>
    </dxf>
    <dxf>
      <fill>
        <patternFill>
          <bgColor theme="9" tint="0.39994506668294322"/>
        </patternFill>
      </fill>
    </dxf>
    <dxf>
      <fill>
        <patternFill>
          <bgColor rgb="FFFFFF99"/>
        </patternFill>
      </fill>
    </dxf>
    <dxf>
      <fill>
        <patternFill>
          <bgColor rgb="FFFFCC66"/>
        </patternFill>
      </fill>
    </dxf>
    <dxf>
      <fill>
        <patternFill>
          <bgColor theme="0" tint="-0.34998626667073579"/>
        </patternFill>
      </fill>
    </dxf>
    <dxf>
      <fill>
        <patternFill>
          <bgColor rgb="FF99FF99"/>
        </patternFill>
      </fill>
    </dxf>
    <dxf>
      <fill>
        <patternFill>
          <bgColor theme="9" tint="0.39994506668294322"/>
        </patternFill>
      </fill>
    </dxf>
    <dxf>
      <fill>
        <patternFill>
          <bgColor theme="5" tint="0.59996337778862885"/>
        </patternFill>
      </fill>
    </dxf>
    <dxf>
      <fill>
        <patternFill>
          <bgColor rgb="FF99FF99"/>
        </patternFill>
      </fill>
    </dxf>
    <dxf>
      <fill>
        <patternFill>
          <bgColor rgb="FFFFFF99"/>
        </patternFill>
      </fill>
    </dxf>
    <dxf>
      <fill>
        <patternFill>
          <bgColor rgb="FFFFCC66"/>
        </patternFill>
      </fill>
    </dxf>
    <dxf>
      <fill>
        <patternFill>
          <bgColor theme="0" tint="-0.34998626667073579"/>
        </patternFill>
      </fill>
    </dxf>
    <dxf>
      <fill>
        <patternFill>
          <bgColor rgb="FF99FF99"/>
        </patternFill>
      </fill>
    </dxf>
    <dxf>
      <fill>
        <patternFill>
          <bgColor rgb="FFFFFF99"/>
        </patternFill>
      </fill>
    </dxf>
    <dxf>
      <fill>
        <patternFill>
          <bgColor rgb="FFFFCC66"/>
        </patternFill>
      </fill>
    </dxf>
    <dxf>
      <fill>
        <patternFill>
          <bgColor theme="0" tint="-0.34998626667073579"/>
        </patternFill>
      </fill>
    </dxf>
    <dxf>
      <fill>
        <patternFill>
          <bgColor rgb="FFFFFF99"/>
        </patternFill>
      </fill>
    </dxf>
    <dxf>
      <fill>
        <patternFill>
          <bgColor rgb="FFFFCC66"/>
        </patternFill>
      </fill>
    </dxf>
    <dxf>
      <fill>
        <patternFill>
          <bgColor theme="0" tint="-0.34998626667073579"/>
        </patternFill>
      </fill>
    </dxf>
    <dxf>
      <fill>
        <patternFill>
          <bgColor rgb="FF99FF99"/>
        </patternFill>
      </fill>
    </dxf>
    <dxf>
      <fill>
        <patternFill>
          <bgColor rgb="FF99FF99"/>
        </patternFill>
      </fill>
    </dxf>
    <dxf>
      <fill>
        <patternFill>
          <bgColor rgb="FFFFFF99"/>
        </patternFill>
      </fill>
    </dxf>
    <dxf>
      <fill>
        <patternFill>
          <bgColor rgb="FFFFCC66"/>
        </patternFill>
      </fill>
    </dxf>
    <dxf>
      <fill>
        <patternFill>
          <bgColor theme="0" tint="-0.34998626667073579"/>
        </patternFill>
      </fill>
    </dxf>
    <dxf>
      <fill>
        <patternFill>
          <bgColor rgb="FFFFFF99"/>
        </patternFill>
      </fill>
    </dxf>
    <dxf>
      <fill>
        <patternFill>
          <bgColor rgb="FFFFCC66"/>
        </patternFill>
      </fill>
    </dxf>
    <dxf>
      <fill>
        <patternFill>
          <bgColor theme="0" tint="-0.34998626667073579"/>
        </patternFill>
      </fill>
    </dxf>
    <dxf>
      <fill>
        <patternFill>
          <bgColor rgb="FF99FF99"/>
        </patternFill>
      </fill>
    </dxf>
    <dxf>
      <fill>
        <patternFill>
          <bgColor rgb="FF99FF99"/>
        </patternFill>
      </fill>
    </dxf>
    <dxf>
      <fill>
        <patternFill>
          <bgColor rgb="FFFFFF99"/>
        </patternFill>
      </fill>
    </dxf>
    <dxf>
      <fill>
        <patternFill>
          <bgColor rgb="FFFFCC66"/>
        </patternFill>
      </fill>
    </dxf>
    <dxf>
      <fill>
        <patternFill>
          <bgColor theme="0" tint="-0.34998626667073579"/>
        </patternFill>
      </fill>
    </dxf>
    <dxf>
      <fill>
        <patternFill>
          <bgColor theme="0" tint="-0.34998626667073579"/>
        </patternFill>
      </fill>
    </dxf>
    <dxf>
      <fill>
        <patternFill>
          <bgColor rgb="FFFFCC66"/>
        </patternFill>
      </fill>
    </dxf>
    <dxf>
      <fill>
        <patternFill>
          <bgColor rgb="FFFFFF99"/>
        </patternFill>
      </fill>
    </dxf>
    <dxf>
      <fill>
        <patternFill>
          <bgColor rgb="FF99FF99"/>
        </patternFill>
      </fill>
    </dxf>
    <dxf>
      <fill>
        <patternFill>
          <bgColor rgb="FF99FF99"/>
        </patternFill>
      </fill>
    </dxf>
    <dxf>
      <fill>
        <patternFill>
          <bgColor rgb="FFFFFF99"/>
        </patternFill>
      </fill>
    </dxf>
    <dxf>
      <fill>
        <patternFill>
          <bgColor rgb="FFFFCC66"/>
        </patternFill>
      </fill>
    </dxf>
    <dxf>
      <fill>
        <patternFill>
          <bgColor theme="0" tint="-0.34998626667073579"/>
        </patternFill>
      </fill>
    </dxf>
    <dxf>
      <fill>
        <patternFill>
          <bgColor rgb="FFFFFF99"/>
        </patternFill>
      </fill>
    </dxf>
    <dxf>
      <fill>
        <patternFill>
          <bgColor rgb="FFFFCC66"/>
        </patternFill>
      </fill>
    </dxf>
    <dxf>
      <fill>
        <patternFill>
          <bgColor theme="0" tint="-0.34998626667073579"/>
        </patternFill>
      </fill>
    </dxf>
    <dxf>
      <fill>
        <patternFill>
          <bgColor rgb="FF99FF99"/>
        </patternFill>
      </fill>
    </dxf>
    <dxf>
      <fill>
        <patternFill>
          <bgColor rgb="FF99FF99"/>
        </patternFill>
      </fill>
    </dxf>
    <dxf>
      <fill>
        <patternFill>
          <bgColor rgb="FFFFFF99"/>
        </patternFill>
      </fill>
    </dxf>
    <dxf>
      <fill>
        <patternFill>
          <bgColor rgb="FFFFCC66"/>
        </patternFill>
      </fill>
    </dxf>
    <dxf>
      <fill>
        <patternFill>
          <bgColor theme="0" tint="-0.34998626667073579"/>
        </patternFill>
      </fill>
    </dxf>
    <dxf>
      <fill>
        <patternFill>
          <bgColor rgb="FF99FF99"/>
        </patternFill>
      </fill>
    </dxf>
    <dxf>
      <fill>
        <patternFill>
          <bgColor rgb="FFFFFF99"/>
        </patternFill>
      </fill>
    </dxf>
    <dxf>
      <fill>
        <patternFill>
          <bgColor rgb="FFFFCC66"/>
        </patternFill>
      </fill>
    </dxf>
    <dxf>
      <fill>
        <patternFill>
          <bgColor theme="0" tint="-0.34998626667073579"/>
        </patternFill>
      </fill>
    </dxf>
    <dxf>
      <fill>
        <patternFill>
          <bgColor rgb="FF99FF99"/>
        </patternFill>
      </fill>
    </dxf>
    <dxf>
      <fill>
        <patternFill>
          <bgColor rgb="FFFFFF99"/>
        </patternFill>
      </fill>
    </dxf>
    <dxf>
      <fill>
        <patternFill>
          <bgColor rgb="FFFFCC66"/>
        </patternFill>
      </fill>
    </dxf>
    <dxf>
      <fill>
        <patternFill>
          <bgColor theme="0" tint="-0.34998626667073579"/>
        </patternFill>
      </fill>
    </dxf>
    <dxf>
      <fill>
        <patternFill>
          <bgColor rgb="FF99FF99"/>
        </patternFill>
      </fill>
    </dxf>
    <dxf>
      <fill>
        <patternFill>
          <bgColor rgb="FFFFFF99"/>
        </patternFill>
      </fill>
    </dxf>
    <dxf>
      <fill>
        <patternFill>
          <bgColor rgb="FFFFCC66"/>
        </patternFill>
      </fill>
    </dxf>
    <dxf>
      <fill>
        <patternFill>
          <bgColor theme="0" tint="-0.34998626667073579"/>
        </patternFill>
      </fill>
    </dxf>
    <dxf>
      <fill>
        <patternFill>
          <bgColor theme="0" tint="-0.34998626667073579"/>
        </patternFill>
      </fill>
    </dxf>
    <dxf>
      <fill>
        <patternFill>
          <bgColor rgb="FF99FF99"/>
        </patternFill>
      </fill>
    </dxf>
    <dxf>
      <fill>
        <patternFill>
          <bgColor rgb="FFFFFF99"/>
        </patternFill>
      </fill>
    </dxf>
    <dxf>
      <fill>
        <patternFill>
          <bgColor rgb="FFFFCC66"/>
        </patternFill>
      </fill>
    </dxf>
  </dxfs>
  <tableStyles count="0" defaultTableStyle="TableStyleMedium2" defaultPivotStyle="PivotStyleLight16"/>
  <colors>
    <mruColors>
      <color rgb="FFFFFF00"/>
      <color rgb="FF99FF99"/>
      <color rgb="FFFFFF99"/>
      <color rgb="FFFFCC66"/>
      <color rgb="FF777777"/>
      <color rgb="FFFF66CC"/>
      <color rgb="FF000000"/>
      <color rgb="FF1F669D"/>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SSW WTP Unit Values and Range</a:t>
            </a:r>
            <a:r>
              <a:rPr lang="en-US" b="1" baseline="0"/>
              <a:t> - Services at Property (HH and NHH)</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2"/>
            </a:solidFill>
            <a:ln>
              <a:noFill/>
            </a:ln>
            <a:effectLst/>
          </c:spPr>
          <c:invertIfNegative val="0"/>
          <c:errBars>
            <c:errBarType val="both"/>
            <c:errValType val="cust"/>
            <c:noEndCap val="0"/>
            <c:plus>
              <c:numRef>
                <c:f>'WTP Main'!$F$105:$F$112</c:f>
                <c:numCache>
                  <c:formatCode>General</c:formatCode>
                  <c:ptCount val="8"/>
                  <c:pt idx="0">
                    <c:v>265731.59880584345</c:v>
                  </c:pt>
                  <c:pt idx="1">
                    <c:v>54996.639748061905</c:v>
                  </c:pt>
                  <c:pt idx="2">
                    <c:v>11029.03243816426</c:v>
                  </c:pt>
                  <c:pt idx="3">
                    <c:v>621.60247455080059</c:v>
                  </c:pt>
                  <c:pt idx="4">
                    <c:v>4962.8529548368051</c:v>
                  </c:pt>
                  <c:pt idx="5">
                    <c:v>3076.4618441829343</c:v>
                  </c:pt>
                  <c:pt idx="6">
                    <c:v>2845.8384056613222</c:v>
                  </c:pt>
                  <c:pt idx="7">
                    <c:v>39.494141671154551</c:v>
                  </c:pt>
                </c:numCache>
              </c:numRef>
            </c:plus>
            <c:minus>
              <c:numRef>
                <c:f>'WTP Main'!$E$105:$E$112</c:f>
                <c:numCache>
                  <c:formatCode>General</c:formatCode>
                  <c:ptCount val="8"/>
                  <c:pt idx="0">
                    <c:v>67176.117761217683</c:v>
                  </c:pt>
                  <c:pt idx="1">
                    <c:v>16583.720969716214</c:v>
                  </c:pt>
                  <c:pt idx="2">
                    <c:v>2582.1551824317767</c:v>
                  </c:pt>
                  <c:pt idx="3">
                    <c:v>264.39382985603959</c:v>
                  </c:pt>
                  <c:pt idx="4">
                    <c:v>1583.9521622771413</c:v>
                  </c:pt>
                  <c:pt idx="5">
                    <c:v>1468.5661990971116</c:v>
                  </c:pt>
                  <c:pt idx="6">
                    <c:v>899.99209738094692</c:v>
                  </c:pt>
                  <c:pt idx="7">
                    <c:v>31.706011129689227</c:v>
                  </c:pt>
                </c:numCache>
              </c:numRef>
            </c:minus>
            <c:spPr>
              <a:noFill/>
              <a:ln w="9525" cap="flat" cmpd="sng" algn="ctr">
                <a:solidFill>
                  <a:sysClr val="windowText" lastClr="000000"/>
                </a:solidFill>
                <a:round/>
              </a:ln>
              <a:effectLst/>
            </c:spPr>
          </c:errBars>
          <c:cat>
            <c:strRef>
              <c:f>'WTP Main'!$A$105:$A$112</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Main'!$D$105:$D$112</c:f>
              <c:numCache>
                <c:formatCode>"£"#,##0</c:formatCode>
                <c:ptCount val="8"/>
                <c:pt idx="0">
                  <c:v>84029.708455016007</c:v>
                </c:pt>
                <c:pt idx="1">
                  <c:v>21048.503770088868</c:v>
                </c:pt>
                <c:pt idx="2">
                  <c:v>3227.6939780397211</c:v>
                </c:pt>
                <c:pt idx="3">
                  <c:v>330.49228732004951</c:v>
                </c:pt>
                <c:pt idx="4">
                  <c:v>1979.9402028464265</c:v>
                </c:pt>
                <c:pt idx="5">
                  <c:v>1835.7077488713896</c:v>
                </c:pt>
                <c:pt idx="6">
                  <c:v>1124.9901217261836</c:v>
                </c:pt>
                <c:pt idx="7">
                  <c:v>39.632513912111534</c:v>
                </c:pt>
              </c:numCache>
            </c:numRef>
          </c:val>
          <c:extLst>
            <c:ext xmlns:c16="http://schemas.microsoft.com/office/drawing/2014/chart" uri="{C3380CC4-5D6E-409C-BE32-E72D297353CC}">
              <c16:uniqueId val="{00000000-4E21-42C8-A9E7-3BD0A05350EC}"/>
            </c:ext>
          </c:extLst>
        </c:ser>
        <c:dLbls>
          <c:showLegendKey val="0"/>
          <c:showVal val="0"/>
          <c:showCatName val="0"/>
          <c:showSerName val="0"/>
          <c:showPercent val="0"/>
          <c:showBubbleSize val="0"/>
        </c:dLbls>
        <c:gapWidth val="219"/>
        <c:overlap val="-27"/>
        <c:axId val="-1205622528"/>
        <c:axId val="-1205623616"/>
      </c:barChart>
      <c:catAx>
        <c:axId val="-120562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205623616"/>
        <c:crosses val="autoZero"/>
        <c:auto val="1"/>
        <c:lblAlgn val="ctr"/>
        <c:lblOffset val="100"/>
        <c:noMultiLvlLbl val="0"/>
      </c:catAx>
      <c:valAx>
        <c:axId val="-1205623616"/>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20562252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CAM WTP Unit Values and Range</a:t>
            </a:r>
            <a:r>
              <a:rPr lang="en-US" b="1" baseline="0"/>
              <a:t> - Drought Restrictions </a:t>
            </a:r>
            <a:r>
              <a:rPr lang="en-US" sz="1400" b="1" i="0" u="none" strike="noStrike" baseline="0">
                <a:effectLst/>
              </a:rPr>
              <a:t>(£/1% Risk/yr) (HH and NHH)</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Main'!$BY$155</c:f>
              <c:strCache>
                <c:ptCount val="1"/>
                <c:pt idx="0">
                  <c:v>COMBINED</c:v>
                </c:pt>
              </c:strCache>
            </c:strRef>
          </c:tx>
          <c:spPr>
            <a:solidFill>
              <a:schemeClr val="accent2"/>
            </a:solidFill>
            <a:ln>
              <a:noFill/>
            </a:ln>
            <a:effectLst/>
          </c:spPr>
          <c:invertIfNegative val="0"/>
          <c:errBars>
            <c:errBarType val="both"/>
            <c:errValType val="cust"/>
            <c:noEndCap val="0"/>
            <c:plus>
              <c:numRef>
                <c:f>'WTP Main'!$CA$156:$CA$157</c:f>
                <c:numCache>
                  <c:formatCode>General</c:formatCode>
                  <c:ptCount val="2"/>
                  <c:pt idx="0">
                    <c:v>687865.67635296471</c:v>
                  </c:pt>
                  <c:pt idx="1">
                    <c:v>732214.1286745586</c:v>
                  </c:pt>
                </c:numCache>
              </c:numRef>
            </c:plus>
            <c:minus>
              <c:numRef>
                <c:f>'WTP Main'!$BZ$156:$BZ$157</c:f>
                <c:numCache>
                  <c:formatCode>General</c:formatCode>
                  <c:ptCount val="2"/>
                  <c:pt idx="0">
                    <c:v>1044306.0033347323</c:v>
                  </c:pt>
                  <c:pt idx="1">
                    <c:v>403637.59612544125</c:v>
                  </c:pt>
                </c:numCache>
              </c:numRef>
            </c:minus>
            <c:spPr>
              <a:noFill/>
              <a:ln w="9525" cap="flat" cmpd="sng" algn="ctr">
                <a:solidFill>
                  <a:sysClr val="windowText" lastClr="000000"/>
                </a:solidFill>
                <a:round/>
              </a:ln>
              <a:effectLst/>
            </c:spPr>
          </c:errBars>
          <c:cat>
            <c:strRef>
              <c:f>'WTP Main'!$A$156:$A$157</c:f>
              <c:strCache>
                <c:ptCount val="2"/>
                <c:pt idx="0">
                  <c:v>Drought restrictions</c:v>
                </c:pt>
                <c:pt idx="1">
                  <c:v>Temporary use ban</c:v>
                </c:pt>
              </c:strCache>
            </c:strRef>
          </c:cat>
          <c:val>
            <c:numRef>
              <c:f>'WTP Main'!$BY$156:$BY$157</c:f>
              <c:numCache>
                <c:formatCode>"£"#,##0</c:formatCode>
                <c:ptCount val="2"/>
                <c:pt idx="0">
                  <c:v>2006451.38148598</c:v>
                </c:pt>
                <c:pt idx="1">
                  <c:v>504546.9951568016</c:v>
                </c:pt>
              </c:numCache>
            </c:numRef>
          </c:val>
          <c:extLst>
            <c:ext xmlns:c16="http://schemas.microsoft.com/office/drawing/2014/chart" uri="{C3380CC4-5D6E-409C-BE32-E72D297353CC}">
              <c16:uniqueId val="{00000000-0B32-45D3-88D8-1941DA83B50A}"/>
            </c:ext>
          </c:extLst>
        </c:ser>
        <c:dLbls>
          <c:showLegendKey val="0"/>
          <c:showVal val="0"/>
          <c:showCatName val="0"/>
          <c:showSerName val="0"/>
          <c:showPercent val="0"/>
          <c:showBubbleSize val="0"/>
        </c:dLbls>
        <c:gapWidth val="219"/>
        <c:overlap val="-27"/>
        <c:axId val="-1160290464"/>
        <c:axId val="-1160280672"/>
        <c:extLst/>
      </c:barChart>
      <c:catAx>
        <c:axId val="-116029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80672"/>
        <c:crosses val="autoZero"/>
        <c:auto val="1"/>
        <c:lblAlgn val="ctr"/>
        <c:lblOffset val="100"/>
        <c:noMultiLvlLbl val="0"/>
      </c:catAx>
      <c:valAx>
        <c:axId val="-1160280672"/>
        <c:scaling>
          <c:orientation val="minMax"/>
          <c:max val="25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9046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CAM HH WTP Unit Values and Range</a:t>
            </a:r>
            <a:r>
              <a:rPr lang="en-US" b="1" baseline="0"/>
              <a:t> - Leakage (£/MLD/yr)</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Main'!$CC$191</c:f>
              <c:strCache>
                <c:ptCount val="1"/>
                <c:pt idx="0">
                  <c:v>COMBINED</c:v>
                </c:pt>
              </c:strCache>
            </c:strRef>
          </c:tx>
          <c:spPr>
            <a:solidFill>
              <a:schemeClr val="accent2"/>
            </a:solidFill>
            <a:ln>
              <a:noFill/>
            </a:ln>
            <a:effectLst/>
          </c:spPr>
          <c:invertIfNegative val="0"/>
          <c:errBars>
            <c:errBarType val="both"/>
            <c:errValType val="cust"/>
            <c:noEndCap val="0"/>
            <c:plus>
              <c:numRef>
                <c:f>'WTP Main'!$CW$192</c:f>
                <c:numCache>
                  <c:formatCode>General</c:formatCode>
                  <c:ptCount val="1"/>
                  <c:pt idx="0">
                    <c:v>77887.573080748247</c:v>
                  </c:pt>
                </c:numCache>
              </c:numRef>
            </c:plus>
            <c:minus>
              <c:numRef>
                <c:f>'WTP Main'!$CV$192</c:f>
                <c:numCache>
                  <c:formatCode>General</c:formatCode>
                  <c:ptCount val="1"/>
                  <c:pt idx="0">
                    <c:v>53119.058989565703</c:v>
                  </c:pt>
                </c:numCache>
              </c:numRef>
            </c:minus>
            <c:spPr>
              <a:noFill/>
              <a:ln w="9525" cap="flat" cmpd="sng" algn="ctr">
                <a:solidFill>
                  <a:sysClr val="windowText" lastClr="000000"/>
                </a:solidFill>
                <a:round/>
              </a:ln>
              <a:effectLst/>
            </c:spPr>
          </c:errBars>
          <c:cat>
            <c:strRef>
              <c:f>'WTP Main'!$A$192</c:f>
              <c:strCache>
                <c:ptCount val="1"/>
                <c:pt idx="0">
                  <c:v>Leakage</c:v>
                </c:pt>
              </c:strCache>
            </c:strRef>
          </c:cat>
          <c:val>
            <c:numRef>
              <c:f>'WTP Main'!$CC$192</c:f>
              <c:numCache>
                <c:formatCode>"£"#,##0</c:formatCode>
                <c:ptCount val="1"/>
                <c:pt idx="0">
                  <c:v>89325.793874844283</c:v>
                </c:pt>
              </c:numCache>
            </c:numRef>
          </c:val>
          <c:extLst>
            <c:ext xmlns:c16="http://schemas.microsoft.com/office/drawing/2014/chart" uri="{C3380CC4-5D6E-409C-BE32-E72D297353CC}">
              <c16:uniqueId val="{00000000-0E82-4C4E-BD49-B4887B45E049}"/>
            </c:ext>
          </c:extLst>
        </c:ser>
        <c:ser>
          <c:idx val="1"/>
          <c:order val="1"/>
          <c:tx>
            <c:strRef>
              <c:f>'WTP Main'!$CD$191</c:f>
              <c:strCache>
                <c:ptCount val="1"/>
                <c:pt idx="0">
                  <c:v>WTPCore_DCE</c:v>
                </c:pt>
              </c:strCache>
            </c:strRef>
          </c:tx>
          <c:spPr>
            <a:solidFill>
              <a:schemeClr val="accent4"/>
            </a:solidFill>
            <a:ln>
              <a:noFill/>
            </a:ln>
            <a:effectLst/>
          </c:spPr>
          <c:invertIfNegative val="0"/>
          <c:cat>
            <c:strRef>
              <c:f>'WTP Main'!$A$192</c:f>
              <c:strCache>
                <c:ptCount val="1"/>
                <c:pt idx="0">
                  <c:v>Leakage</c:v>
                </c:pt>
              </c:strCache>
            </c:strRef>
          </c:cat>
          <c:val>
            <c:numRef>
              <c:f>'WTP Main'!$CD$192</c:f>
              <c:numCache>
                <c:formatCode>"£"#,##0</c:formatCode>
                <c:ptCount val="1"/>
                <c:pt idx="0">
                  <c:v>145343.41333333333</c:v>
                </c:pt>
              </c:numCache>
            </c:numRef>
          </c:val>
          <c:extLst>
            <c:ext xmlns:c16="http://schemas.microsoft.com/office/drawing/2014/chart" uri="{C3380CC4-5D6E-409C-BE32-E72D297353CC}">
              <c16:uniqueId val="{00000001-0E82-4C4E-BD49-B4887B45E049}"/>
            </c:ext>
          </c:extLst>
        </c:ser>
        <c:ser>
          <c:idx val="2"/>
          <c:order val="2"/>
          <c:tx>
            <c:strRef>
              <c:f>'WTP Main'!$CE$191</c:f>
              <c:strCache>
                <c:ptCount val="1"/>
                <c:pt idx="0">
                  <c:v>WTPCore_DCE2</c:v>
                </c:pt>
              </c:strCache>
            </c:strRef>
          </c:tx>
          <c:spPr>
            <a:solidFill>
              <a:schemeClr val="accent6"/>
            </a:solidFill>
            <a:ln>
              <a:noFill/>
            </a:ln>
            <a:effectLst/>
          </c:spPr>
          <c:invertIfNegative val="0"/>
          <c:cat>
            <c:strRef>
              <c:f>'WTP Main'!$A$192</c:f>
              <c:strCache>
                <c:ptCount val="1"/>
                <c:pt idx="0">
                  <c:v>Leakage</c:v>
                </c:pt>
              </c:strCache>
            </c:strRef>
          </c:cat>
          <c:val>
            <c:numRef>
              <c:f>'WTP Main'!$CE$192</c:f>
              <c:numCache>
                <c:formatCode>"£"#,##0</c:formatCode>
                <c:ptCount val="1"/>
                <c:pt idx="0">
                  <c:v>63212.565775492993</c:v>
                </c:pt>
              </c:numCache>
            </c:numRef>
          </c:val>
          <c:extLst>
            <c:ext xmlns:c16="http://schemas.microsoft.com/office/drawing/2014/chart" uri="{C3380CC4-5D6E-409C-BE32-E72D297353CC}">
              <c16:uniqueId val="{00000002-0E82-4C4E-BD49-B4887B45E049}"/>
            </c:ext>
          </c:extLst>
        </c:ser>
        <c:ser>
          <c:idx val="3"/>
          <c:order val="3"/>
          <c:tx>
            <c:strRef>
              <c:f>'WTP Main'!$CF$191</c:f>
              <c:strCache>
                <c:ptCount val="1"/>
                <c:pt idx="0">
                  <c:v>WTP core_DCE_Private</c:v>
                </c:pt>
              </c:strCache>
            </c:strRef>
          </c:tx>
          <c:spPr>
            <a:solidFill>
              <a:schemeClr val="accent2">
                <a:lumMod val="60000"/>
              </a:schemeClr>
            </a:solidFill>
            <a:ln>
              <a:noFill/>
            </a:ln>
            <a:effectLst/>
          </c:spPr>
          <c:invertIfNegative val="0"/>
          <c:cat>
            <c:strRef>
              <c:f>'WTP Main'!$A$192</c:f>
              <c:strCache>
                <c:ptCount val="1"/>
                <c:pt idx="0">
                  <c:v>Leakage</c:v>
                </c:pt>
              </c:strCache>
            </c:strRef>
          </c:cat>
          <c:val>
            <c:numRef>
              <c:f>'WTP Main'!$CF$192</c:f>
              <c:numCache>
                <c:formatCode>"£"#,##0</c:formatCode>
                <c:ptCount val="1"/>
                <c:pt idx="0">
                  <c:v>65827.28</c:v>
                </c:pt>
              </c:numCache>
            </c:numRef>
          </c:val>
          <c:extLst>
            <c:ext xmlns:c16="http://schemas.microsoft.com/office/drawing/2014/chart" uri="{C3380CC4-5D6E-409C-BE32-E72D297353CC}">
              <c16:uniqueId val="{00000003-0E82-4C4E-BD49-B4887B45E049}"/>
            </c:ext>
          </c:extLst>
        </c:ser>
        <c:ser>
          <c:idx val="4"/>
          <c:order val="4"/>
          <c:tx>
            <c:strRef>
              <c:f>'WTP Main'!$CG$191</c:f>
              <c:strCache>
                <c:ptCount val="1"/>
                <c:pt idx="0">
                  <c:v>WTPCore_DCE2_LowBill</c:v>
                </c:pt>
              </c:strCache>
            </c:strRef>
          </c:tx>
          <c:spPr>
            <a:solidFill>
              <a:schemeClr val="accent4">
                <a:lumMod val="60000"/>
              </a:schemeClr>
            </a:solidFill>
            <a:ln>
              <a:noFill/>
            </a:ln>
            <a:effectLst/>
          </c:spPr>
          <c:invertIfNegative val="0"/>
          <c:cat>
            <c:strRef>
              <c:f>'WTP Main'!$A$192</c:f>
              <c:strCache>
                <c:ptCount val="1"/>
                <c:pt idx="0">
                  <c:v>Leakage</c:v>
                </c:pt>
              </c:strCache>
            </c:strRef>
          </c:cat>
          <c:val>
            <c:numRef>
              <c:f>'WTP Main'!$CG$192</c:f>
              <c:numCache>
                <c:formatCode>"£"#,##0</c:formatCode>
                <c:ptCount val="1"/>
                <c:pt idx="0">
                  <c:v>44801.465487768932</c:v>
                </c:pt>
              </c:numCache>
            </c:numRef>
          </c:val>
          <c:extLst xmlns:c15="http://schemas.microsoft.com/office/drawing/2012/chart">
            <c:ext xmlns:c16="http://schemas.microsoft.com/office/drawing/2014/chart" uri="{C3380CC4-5D6E-409C-BE32-E72D297353CC}">
              <c16:uniqueId val="{00000004-0E82-4C4E-BD49-B4887B45E049}"/>
            </c:ext>
          </c:extLst>
        </c:ser>
        <c:ser>
          <c:idx val="5"/>
          <c:order val="5"/>
          <c:tx>
            <c:strRef>
              <c:f>'WTP Main'!$CI$191</c:f>
              <c:strCache>
                <c:ptCount val="1"/>
                <c:pt idx="0">
                  <c:v>ExternalWTP14</c:v>
                </c:pt>
              </c:strCache>
            </c:strRef>
          </c:tx>
          <c:spPr>
            <a:solidFill>
              <a:schemeClr val="accent6">
                <a:lumMod val="60000"/>
              </a:schemeClr>
            </a:solidFill>
            <a:ln>
              <a:noFill/>
            </a:ln>
            <a:effectLst/>
          </c:spPr>
          <c:invertIfNegative val="0"/>
          <c:cat>
            <c:strRef>
              <c:f>'WTP Main'!$A$192</c:f>
              <c:strCache>
                <c:ptCount val="1"/>
                <c:pt idx="0">
                  <c:v>Leakage</c:v>
                </c:pt>
              </c:strCache>
            </c:strRef>
          </c:cat>
          <c:val>
            <c:numRef>
              <c:f>'WTP Main'!$CI$192</c:f>
              <c:numCache>
                <c:formatCode>"£"#,##0</c:formatCode>
                <c:ptCount val="1"/>
                <c:pt idx="0">
                  <c:v>89447.570893103664</c:v>
                </c:pt>
              </c:numCache>
            </c:numRef>
          </c:val>
          <c:extLst>
            <c:ext xmlns:c16="http://schemas.microsoft.com/office/drawing/2014/chart" uri="{C3380CC4-5D6E-409C-BE32-E72D297353CC}">
              <c16:uniqueId val="{00000000-E54E-4251-9296-0B43A792A02F}"/>
            </c:ext>
          </c:extLst>
        </c:ser>
        <c:ser>
          <c:idx val="6"/>
          <c:order val="6"/>
          <c:tx>
            <c:strRef>
              <c:f>'WTP Main'!$CJ$191</c:f>
              <c:strCache>
                <c:ptCount val="1"/>
                <c:pt idx="0">
                  <c:v>ExternalWTP19</c:v>
                </c:pt>
              </c:strCache>
            </c:strRef>
          </c:tx>
          <c:spPr>
            <a:solidFill>
              <a:schemeClr val="accent2">
                <a:lumMod val="80000"/>
                <a:lumOff val="20000"/>
              </a:schemeClr>
            </a:solidFill>
            <a:ln>
              <a:noFill/>
            </a:ln>
            <a:effectLst/>
          </c:spPr>
          <c:invertIfNegative val="0"/>
          <c:cat>
            <c:strRef>
              <c:f>'WTP Main'!$A$192</c:f>
              <c:strCache>
                <c:ptCount val="1"/>
                <c:pt idx="0">
                  <c:v>Leakage</c:v>
                </c:pt>
              </c:strCache>
            </c:strRef>
          </c:cat>
          <c:val>
            <c:numRef>
              <c:f>'WTP Main'!$CJ$192</c:f>
              <c:numCache>
                <c:formatCode>"£"#,##0</c:formatCode>
                <c:ptCount val="1"/>
                <c:pt idx="0">
                  <c:v>88713.293371291657</c:v>
                </c:pt>
              </c:numCache>
            </c:numRef>
          </c:val>
          <c:extLst>
            <c:ext xmlns:c16="http://schemas.microsoft.com/office/drawing/2014/chart" uri="{C3380CC4-5D6E-409C-BE32-E72D297353CC}">
              <c16:uniqueId val="{00000001-E54E-4251-9296-0B43A792A02F}"/>
            </c:ext>
          </c:extLst>
        </c:ser>
        <c:ser>
          <c:idx val="7"/>
          <c:order val="7"/>
          <c:tx>
            <c:strRef>
              <c:f>'WTP Main'!$CK$191</c:f>
              <c:strCache>
                <c:ptCount val="1"/>
                <c:pt idx="0">
                  <c:v>WTPCore_MaxDiff</c:v>
                </c:pt>
              </c:strCache>
            </c:strRef>
          </c:tx>
          <c:spPr>
            <a:solidFill>
              <a:srgbClr val="FF0000"/>
            </a:solidFill>
            <a:ln>
              <a:noFill/>
            </a:ln>
            <a:effectLst/>
          </c:spPr>
          <c:invertIfNegative val="0"/>
          <c:cat>
            <c:strRef>
              <c:f>'WTP Main'!$A$192</c:f>
              <c:strCache>
                <c:ptCount val="1"/>
                <c:pt idx="0">
                  <c:v>Leakage</c:v>
                </c:pt>
              </c:strCache>
            </c:strRef>
          </c:cat>
          <c:val>
            <c:numRef>
              <c:f>'WTP Main'!$CK$192</c:f>
              <c:numCache>
                <c:formatCode>"£"#,##0</c:formatCode>
                <c:ptCount val="1"/>
                <c:pt idx="0">
                  <c:v>42848.422020190264</c:v>
                </c:pt>
              </c:numCache>
            </c:numRef>
          </c:val>
          <c:extLst>
            <c:ext xmlns:c16="http://schemas.microsoft.com/office/drawing/2014/chart" uri="{C3380CC4-5D6E-409C-BE32-E72D297353CC}">
              <c16:uniqueId val="{00000002-E54E-4251-9296-0B43A792A02F}"/>
            </c:ext>
          </c:extLst>
        </c:ser>
        <c:ser>
          <c:idx val="8"/>
          <c:order val="8"/>
          <c:tx>
            <c:strRef>
              <c:f>'WTP Main'!$CL$191</c:f>
              <c:strCache>
                <c:ptCount val="1"/>
                <c:pt idx="0">
                  <c:v>Priorities</c:v>
                </c:pt>
              </c:strCache>
            </c:strRef>
          </c:tx>
          <c:spPr>
            <a:solidFill>
              <a:srgbClr val="92D050"/>
            </a:solidFill>
            <a:ln>
              <a:noFill/>
            </a:ln>
            <a:effectLst/>
          </c:spPr>
          <c:invertIfNegative val="0"/>
          <c:cat>
            <c:strRef>
              <c:f>'WTP Main'!$A$192</c:f>
              <c:strCache>
                <c:ptCount val="1"/>
                <c:pt idx="0">
                  <c:v>Leakage</c:v>
                </c:pt>
              </c:strCache>
            </c:strRef>
          </c:cat>
          <c:val>
            <c:numRef>
              <c:f>'WTP Main'!$CL$192</c:f>
              <c:numCache>
                <c:formatCode>"£"#,##0</c:formatCode>
                <c:ptCount val="1"/>
                <c:pt idx="0">
                  <c:v>52543.694635346968</c:v>
                </c:pt>
              </c:numCache>
            </c:numRef>
          </c:val>
          <c:extLst>
            <c:ext xmlns:c16="http://schemas.microsoft.com/office/drawing/2014/chart" uri="{C3380CC4-5D6E-409C-BE32-E72D297353CC}">
              <c16:uniqueId val="{00000003-E54E-4251-9296-0B43A792A02F}"/>
            </c:ext>
          </c:extLst>
        </c:ser>
        <c:ser>
          <c:idx val="9"/>
          <c:order val="9"/>
          <c:tx>
            <c:strRef>
              <c:f>'WTP Main'!$CM$191</c:f>
              <c:strCache>
                <c:ptCount val="1"/>
                <c:pt idx="0">
                  <c:v>WRMP_online</c:v>
                </c:pt>
              </c:strCache>
            </c:strRef>
          </c:tx>
          <c:spPr>
            <a:solidFill>
              <a:schemeClr val="accent2">
                <a:lumMod val="80000"/>
              </a:schemeClr>
            </a:solidFill>
            <a:ln>
              <a:noFill/>
            </a:ln>
            <a:effectLst/>
          </c:spPr>
          <c:invertIfNegative val="0"/>
          <c:cat>
            <c:strRef>
              <c:f>'WTP Main'!$A$192</c:f>
              <c:strCache>
                <c:ptCount val="1"/>
                <c:pt idx="0">
                  <c:v>Leakage</c:v>
                </c:pt>
              </c:strCache>
            </c:strRef>
          </c:cat>
          <c:val>
            <c:numRef>
              <c:f>'WTP Main'!$CM$192</c:f>
              <c:numCache>
                <c:formatCode>"£"#,##0</c:formatCode>
                <c:ptCount val="1"/>
                <c:pt idx="0">
                  <c:v>155997.76570414286</c:v>
                </c:pt>
              </c:numCache>
            </c:numRef>
          </c:val>
          <c:extLst>
            <c:ext xmlns:c16="http://schemas.microsoft.com/office/drawing/2014/chart" uri="{C3380CC4-5D6E-409C-BE32-E72D297353CC}">
              <c16:uniqueId val="{00000004-E54E-4251-9296-0B43A792A02F}"/>
            </c:ext>
          </c:extLst>
        </c:ser>
        <c:ser>
          <c:idx val="10"/>
          <c:order val="10"/>
          <c:tx>
            <c:strRef>
              <c:f>'WTP Main'!$CN$191</c:f>
              <c:strCache>
                <c:ptCount val="1"/>
                <c:pt idx="0">
                  <c:v>WRMP_workshop</c:v>
                </c:pt>
              </c:strCache>
            </c:strRef>
          </c:tx>
          <c:spPr>
            <a:solidFill>
              <a:schemeClr val="accent4">
                <a:lumMod val="80000"/>
              </a:schemeClr>
            </a:solidFill>
            <a:ln>
              <a:noFill/>
            </a:ln>
            <a:effectLst/>
          </c:spPr>
          <c:invertIfNegative val="0"/>
          <c:cat>
            <c:strRef>
              <c:f>'WTP Main'!$A$192</c:f>
              <c:strCache>
                <c:ptCount val="1"/>
                <c:pt idx="0">
                  <c:v>Leakage</c:v>
                </c:pt>
              </c:strCache>
            </c:strRef>
          </c:cat>
          <c:val>
            <c:numRef>
              <c:f>'WTP Main'!$CN$192</c:f>
              <c:numCache>
                <c:formatCode>"£"#,##0</c:formatCode>
                <c:ptCount val="1"/>
                <c:pt idx="0">
                  <c:v>186685.26022577958</c:v>
                </c:pt>
              </c:numCache>
            </c:numRef>
          </c:val>
          <c:extLst>
            <c:ext xmlns:c16="http://schemas.microsoft.com/office/drawing/2014/chart" uri="{C3380CC4-5D6E-409C-BE32-E72D297353CC}">
              <c16:uniqueId val="{00000005-E54E-4251-9296-0B43A792A02F}"/>
            </c:ext>
          </c:extLst>
        </c:ser>
        <c:ser>
          <c:idx val="11"/>
          <c:order val="11"/>
          <c:tx>
            <c:strRef>
              <c:f>'WTP Main'!$CO$191</c:f>
              <c:strCache>
                <c:ptCount val="1"/>
                <c:pt idx="0">
                  <c:v>PC Slider</c:v>
                </c:pt>
              </c:strCache>
            </c:strRef>
          </c:tx>
          <c:spPr>
            <a:solidFill>
              <a:srgbClr val="FFC000"/>
            </a:solidFill>
            <a:ln>
              <a:noFill/>
            </a:ln>
            <a:effectLst/>
          </c:spPr>
          <c:invertIfNegative val="0"/>
          <c:cat>
            <c:strRef>
              <c:f>'WTP Main'!$A$192</c:f>
              <c:strCache>
                <c:ptCount val="1"/>
                <c:pt idx="0">
                  <c:v>Leakage</c:v>
                </c:pt>
              </c:strCache>
            </c:strRef>
          </c:cat>
          <c:val>
            <c:numRef>
              <c:f>'WTP Main'!$CO$192</c:f>
              <c:numCache>
                <c:formatCode>"£"#,##0</c:formatCode>
                <c:ptCount val="1"/>
                <c:pt idx="0">
                  <c:v>60655.170913721609</c:v>
                </c:pt>
              </c:numCache>
            </c:numRef>
          </c:val>
          <c:extLst>
            <c:ext xmlns:c16="http://schemas.microsoft.com/office/drawing/2014/chart" uri="{C3380CC4-5D6E-409C-BE32-E72D297353CC}">
              <c16:uniqueId val="{00000006-E54E-4251-9296-0B43A792A02F}"/>
            </c:ext>
          </c:extLst>
        </c:ser>
        <c:dLbls>
          <c:showLegendKey val="0"/>
          <c:showVal val="0"/>
          <c:showCatName val="0"/>
          <c:showSerName val="0"/>
          <c:showPercent val="0"/>
          <c:showBubbleSize val="0"/>
        </c:dLbls>
        <c:gapWidth val="219"/>
        <c:overlap val="-27"/>
        <c:axId val="-1160286112"/>
        <c:axId val="-1160289920"/>
        <c:extLst/>
      </c:barChart>
      <c:catAx>
        <c:axId val="-1160286112"/>
        <c:scaling>
          <c:orientation val="minMax"/>
        </c:scaling>
        <c:delete val="1"/>
        <c:axPos val="b"/>
        <c:numFmt formatCode="General" sourceLinked="1"/>
        <c:majorTickMark val="none"/>
        <c:minorTickMark val="none"/>
        <c:tickLblPos val="nextTo"/>
        <c:crossAx val="-1160289920"/>
        <c:crosses val="autoZero"/>
        <c:auto val="1"/>
        <c:lblAlgn val="ctr"/>
        <c:lblOffset val="100"/>
        <c:noMultiLvlLbl val="0"/>
      </c:catAx>
      <c:valAx>
        <c:axId val="-1160289920"/>
        <c:scaling>
          <c:orientation val="minMax"/>
          <c:max val="25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86112"/>
        <c:crosses val="autoZero"/>
        <c:crossBetween val="between"/>
      </c:valAx>
      <c:spPr>
        <a:noFill/>
        <a:ln>
          <a:noFill/>
        </a:ln>
        <a:effectLst/>
      </c:spPr>
    </c:plotArea>
    <c:legend>
      <c:legendPos val="b"/>
      <c:layout>
        <c:manualLayout>
          <c:xMode val="edge"/>
          <c:yMode val="edge"/>
          <c:x val="6.6054304885550003E-2"/>
          <c:y val="0.83851308964067128"/>
          <c:w val="0.91907808585068429"/>
          <c:h val="0.151604767251771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CAM HH WTP Unit Values and Range</a:t>
            </a:r>
            <a:r>
              <a:rPr lang="en-US" b="1" baseline="0"/>
              <a:t> - Environmental Protection (£/Hectare/yr)</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Main'!$CC$255</c:f>
              <c:strCache>
                <c:ptCount val="1"/>
                <c:pt idx="0">
                  <c:v>COMBINED</c:v>
                </c:pt>
              </c:strCache>
            </c:strRef>
          </c:tx>
          <c:spPr>
            <a:solidFill>
              <a:schemeClr val="accent2"/>
            </a:solidFill>
            <a:ln>
              <a:noFill/>
            </a:ln>
            <a:effectLst/>
          </c:spPr>
          <c:invertIfNegative val="0"/>
          <c:errBars>
            <c:errBarType val="both"/>
            <c:errValType val="cust"/>
            <c:noEndCap val="0"/>
            <c:plus>
              <c:numRef>
                <c:f>'WTP Main'!$CU$256:$CU$257</c:f>
                <c:numCache>
                  <c:formatCode>General</c:formatCode>
                  <c:ptCount val="2"/>
                  <c:pt idx="0">
                    <c:v>47022.526121731433</c:v>
                  </c:pt>
                  <c:pt idx="1">
                    <c:v>1543.6347035633275</c:v>
                  </c:pt>
                </c:numCache>
              </c:numRef>
            </c:plus>
            <c:minus>
              <c:numRef>
                <c:f>'WTP Main'!$CT$256:$CT$257</c:f>
                <c:numCache>
                  <c:formatCode>General</c:formatCode>
                  <c:ptCount val="2"/>
                  <c:pt idx="0">
                    <c:v>8939.1727199674133</c:v>
                  </c:pt>
                  <c:pt idx="1">
                    <c:v>792.98065700599886</c:v>
                  </c:pt>
                </c:numCache>
              </c:numRef>
            </c:minus>
            <c:spPr>
              <a:noFill/>
              <a:ln w="9525" cap="flat" cmpd="sng" algn="ctr">
                <a:solidFill>
                  <a:sysClr val="windowText" lastClr="000000"/>
                </a:solidFill>
                <a:round/>
              </a:ln>
              <a:effectLst/>
            </c:spPr>
          </c:errBars>
          <c:cat>
            <c:strRef>
              <c:f>'WTP Main'!$A$256:$A$257</c:f>
              <c:strCache>
                <c:ptCount val="2"/>
                <c:pt idx="0">
                  <c:v>Protecting wildlife habitats</c:v>
                </c:pt>
                <c:pt idx="1">
                  <c:v>Managing impacts on rivers &amp; streams</c:v>
                </c:pt>
              </c:strCache>
            </c:strRef>
          </c:cat>
          <c:val>
            <c:numRef>
              <c:f>'WTP Main'!$CC$256:$CC$257</c:f>
              <c:numCache>
                <c:formatCode>"£"#,##0</c:formatCode>
                <c:ptCount val="2"/>
                <c:pt idx="0">
                  <c:v>11173.965899959267</c:v>
                </c:pt>
                <c:pt idx="1">
                  <c:v>1563.4560238067857</c:v>
                </c:pt>
              </c:numCache>
            </c:numRef>
          </c:val>
          <c:extLst>
            <c:ext xmlns:c16="http://schemas.microsoft.com/office/drawing/2014/chart" uri="{C3380CC4-5D6E-409C-BE32-E72D297353CC}">
              <c16:uniqueId val="{00000000-54BB-425D-889F-13A529ADBB66}"/>
            </c:ext>
          </c:extLst>
        </c:ser>
        <c:ser>
          <c:idx val="1"/>
          <c:order val="1"/>
          <c:tx>
            <c:strRef>
              <c:f>'WTP Main'!$CD$255</c:f>
              <c:strCache>
                <c:ptCount val="1"/>
                <c:pt idx="0">
                  <c:v>WTPCore_DCE</c:v>
                </c:pt>
              </c:strCache>
            </c:strRef>
          </c:tx>
          <c:spPr>
            <a:solidFill>
              <a:schemeClr val="accent4"/>
            </a:solidFill>
            <a:ln>
              <a:noFill/>
            </a:ln>
            <a:effectLst/>
          </c:spPr>
          <c:invertIfNegative val="0"/>
          <c:cat>
            <c:strRef>
              <c:f>'WTP Main'!$A$256:$A$257</c:f>
              <c:strCache>
                <c:ptCount val="2"/>
                <c:pt idx="0">
                  <c:v>Protecting wildlife habitats</c:v>
                </c:pt>
                <c:pt idx="1">
                  <c:v>Managing impacts on rivers &amp; streams</c:v>
                </c:pt>
              </c:strCache>
            </c:strRef>
          </c:cat>
          <c:val>
            <c:numRef>
              <c:f>'WTP Main'!$CD$256:$CD$257</c:f>
              <c:numCache>
                <c:formatCode>"£"#,##0</c:formatCode>
                <c:ptCount val="2"/>
                <c:pt idx="0">
                  <c:v>15354.666000000001</c:v>
                </c:pt>
                <c:pt idx="1">
                  <c:v>1983.8771999999999</c:v>
                </c:pt>
              </c:numCache>
            </c:numRef>
          </c:val>
          <c:extLst>
            <c:ext xmlns:c16="http://schemas.microsoft.com/office/drawing/2014/chart" uri="{C3380CC4-5D6E-409C-BE32-E72D297353CC}">
              <c16:uniqueId val="{00000001-54BB-425D-889F-13A529ADBB66}"/>
            </c:ext>
          </c:extLst>
        </c:ser>
        <c:ser>
          <c:idx val="2"/>
          <c:order val="2"/>
          <c:tx>
            <c:strRef>
              <c:f>'WTP Main'!$CE$255</c:f>
              <c:strCache>
                <c:ptCount val="1"/>
                <c:pt idx="0">
                  <c:v>WTPCore_DCE2</c:v>
                </c:pt>
              </c:strCache>
            </c:strRef>
          </c:tx>
          <c:spPr>
            <a:solidFill>
              <a:schemeClr val="accent6"/>
            </a:solidFill>
            <a:ln>
              <a:noFill/>
            </a:ln>
            <a:effectLst/>
          </c:spPr>
          <c:invertIfNegative val="0"/>
          <c:cat>
            <c:strRef>
              <c:f>'WTP Main'!$A$256:$A$257</c:f>
              <c:strCache>
                <c:ptCount val="2"/>
                <c:pt idx="0">
                  <c:v>Protecting wildlife habitats</c:v>
                </c:pt>
                <c:pt idx="1">
                  <c:v>Managing impacts on rivers &amp; streams</c:v>
                </c:pt>
              </c:strCache>
            </c:strRef>
          </c:cat>
          <c:val>
            <c:numRef>
              <c:f>'WTP Main'!$CE$256:$CE$257</c:f>
              <c:numCache>
                <c:formatCode>"£"#,##0</c:formatCode>
                <c:ptCount val="2"/>
                <c:pt idx="0">
                  <c:v>2829.4955050473109</c:v>
                </c:pt>
                <c:pt idx="1">
                  <c:v>1814.3168952035446</c:v>
                </c:pt>
              </c:numCache>
            </c:numRef>
          </c:val>
          <c:extLst>
            <c:ext xmlns:c16="http://schemas.microsoft.com/office/drawing/2014/chart" uri="{C3380CC4-5D6E-409C-BE32-E72D297353CC}">
              <c16:uniqueId val="{00000002-54BB-425D-889F-13A529ADBB66}"/>
            </c:ext>
          </c:extLst>
        </c:ser>
        <c:ser>
          <c:idx val="3"/>
          <c:order val="3"/>
          <c:tx>
            <c:strRef>
              <c:f>'WTP Main'!$CF$255</c:f>
              <c:strCache>
                <c:ptCount val="1"/>
                <c:pt idx="0">
                  <c:v>WTP core_DCE_Private</c:v>
                </c:pt>
              </c:strCache>
            </c:strRef>
          </c:tx>
          <c:spPr>
            <a:solidFill>
              <a:schemeClr val="accent2">
                <a:lumMod val="6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Main'!$CF$256:$CF$257</c:f>
              <c:numCache>
                <c:formatCode>"£"#,##0</c:formatCode>
                <c:ptCount val="2"/>
                <c:pt idx="0">
                  <c:v>7201.746000000001</c:v>
                </c:pt>
                <c:pt idx="1">
                  <c:v>692.99820000000011</c:v>
                </c:pt>
              </c:numCache>
            </c:numRef>
          </c:val>
          <c:extLst>
            <c:ext xmlns:c16="http://schemas.microsoft.com/office/drawing/2014/chart" uri="{C3380CC4-5D6E-409C-BE32-E72D297353CC}">
              <c16:uniqueId val="{00000003-54BB-425D-889F-13A529ADBB66}"/>
            </c:ext>
          </c:extLst>
        </c:ser>
        <c:ser>
          <c:idx val="4"/>
          <c:order val="4"/>
          <c:tx>
            <c:strRef>
              <c:f>'WTP Main'!$CG$255</c:f>
              <c:strCache>
                <c:ptCount val="1"/>
                <c:pt idx="0">
                  <c:v>WTPCore_DCE2_LowBill</c:v>
                </c:pt>
              </c:strCache>
            </c:strRef>
          </c:tx>
          <c:spPr>
            <a:solidFill>
              <a:schemeClr val="accent4">
                <a:lumMod val="6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Main'!$CG$256:$CG$257</c:f>
              <c:numCache>
                <c:formatCode>"£"#,##0</c:formatCode>
                <c:ptCount val="2"/>
                <c:pt idx="0">
                  <c:v>3910.6977978307964</c:v>
                </c:pt>
                <c:pt idx="1">
                  <c:v>1529.5517626987407</c:v>
                </c:pt>
              </c:numCache>
            </c:numRef>
          </c:val>
          <c:extLst>
            <c:ext xmlns:c16="http://schemas.microsoft.com/office/drawing/2014/chart" uri="{C3380CC4-5D6E-409C-BE32-E72D297353CC}">
              <c16:uniqueId val="{00000000-7E35-43B6-A586-66EDDC95E6E3}"/>
            </c:ext>
          </c:extLst>
        </c:ser>
        <c:ser>
          <c:idx val="5"/>
          <c:order val="5"/>
          <c:tx>
            <c:strRef>
              <c:f>'WTP Main'!$CJ$255</c:f>
              <c:strCache>
                <c:ptCount val="1"/>
                <c:pt idx="0">
                  <c:v>ExternalWTP19</c:v>
                </c:pt>
              </c:strCache>
            </c:strRef>
          </c:tx>
          <c:spPr>
            <a:solidFill>
              <a:schemeClr val="accent6">
                <a:lumMod val="6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Main'!$CJ$256:$CJ$257</c:f>
              <c:numCache>
                <c:formatCode>"£"#,##0</c:formatCode>
                <c:ptCount val="2"/>
                <c:pt idx="0">
                  <c:v>8927.1229065987827</c:v>
                </c:pt>
              </c:numCache>
            </c:numRef>
          </c:val>
          <c:extLst>
            <c:ext xmlns:c16="http://schemas.microsoft.com/office/drawing/2014/chart" uri="{C3380CC4-5D6E-409C-BE32-E72D297353CC}">
              <c16:uniqueId val="{00000000-37F1-4597-884D-3AD4FF32C70F}"/>
            </c:ext>
          </c:extLst>
        </c:ser>
        <c:ser>
          <c:idx val="6"/>
          <c:order val="6"/>
          <c:tx>
            <c:strRef>
              <c:f>'WTP Main'!$CK$255</c:f>
              <c:strCache>
                <c:ptCount val="1"/>
                <c:pt idx="0">
                  <c:v>WTPCore_MaxDiff</c:v>
                </c:pt>
              </c:strCache>
            </c:strRef>
          </c:tx>
          <c:spPr>
            <a:solidFill>
              <a:schemeClr val="accent2">
                <a:lumMod val="80000"/>
                <a:lumOff val="2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Main'!$CK$256:$CK$257</c:f>
              <c:numCache>
                <c:formatCode>"£"#,##0</c:formatCode>
                <c:ptCount val="2"/>
                <c:pt idx="0">
                  <c:v>36923.734604271165</c:v>
                </c:pt>
                <c:pt idx="1">
                  <c:v>3492.9994032609447</c:v>
                </c:pt>
              </c:numCache>
            </c:numRef>
          </c:val>
          <c:extLst>
            <c:ext xmlns:c16="http://schemas.microsoft.com/office/drawing/2014/chart" uri="{C3380CC4-5D6E-409C-BE32-E72D297353CC}">
              <c16:uniqueId val="{00000001-37F1-4597-884D-3AD4FF32C70F}"/>
            </c:ext>
          </c:extLst>
        </c:ser>
        <c:ser>
          <c:idx val="7"/>
          <c:order val="7"/>
          <c:tx>
            <c:strRef>
              <c:f>'WTP Main'!$CL$255</c:f>
              <c:strCache>
                <c:ptCount val="1"/>
                <c:pt idx="0">
                  <c:v>PC Slider</c:v>
                </c:pt>
              </c:strCache>
            </c:strRef>
          </c:tx>
          <c:spPr>
            <a:solidFill>
              <a:srgbClr val="92D050"/>
            </a:solidFill>
            <a:ln>
              <a:noFill/>
            </a:ln>
            <a:effectLst/>
          </c:spPr>
          <c:invertIfNegative val="0"/>
          <c:cat>
            <c:strRef>
              <c:f>'WTP Main'!$A$256:$A$257</c:f>
              <c:strCache>
                <c:ptCount val="2"/>
                <c:pt idx="0">
                  <c:v>Protecting wildlife habitats</c:v>
                </c:pt>
                <c:pt idx="1">
                  <c:v>Managing impacts on rivers &amp; streams</c:v>
                </c:pt>
              </c:strCache>
            </c:strRef>
          </c:cat>
          <c:val>
            <c:numRef>
              <c:f>'WTP Main'!$CL$256:$CL$257</c:f>
              <c:numCache>
                <c:formatCode>"£"#,##0</c:formatCode>
                <c:ptCount val="2"/>
                <c:pt idx="0">
                  <c:v>1383.572496387641</c:v>
                </c:pt>
              </c:numCache>
            </c:numRef>
          </c:val>
          <c:extLst>
            <c:ext xmlns:c16="http://schemas.microsoft.com/office/drawing/2014/chart" uri="{C3380CC4-5D6E-409C-BE32-E72D297353CC}">
              <c16:uniqueId val="{00000002-37F1-4597-884D-3AD4FF32C70F}"/>
            </c:ext>
          </c:extLst>
        </c:ser>
        <c:ser>
          <c:idx val="8"/>
          <c:order val="8"/>
          <c:tx>
            <c:strRef>
              <c:f>'WTP Main'!$CM$255</c:f>
              <c:strCache>
                <c:ptCount val="1"/>
                <c:pt idx="0">
                  <c:v>Priorities</c:v>
                </c:pt>
              </c:strCache>
            </c:strRef>
          </c:tx>
          <c:spPr>
            <a:solidFill>
              <a:schemeClr val="accent6">
                <a:lumMod val="80000"/>
                <a:lumOff val="2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Main'!$CM$256:$CM$257</c:f>
              <c:numCache>
                <c:formatCode>"£"#,##0</c:formatCode>
                <c:ptCount val="2"/>
                <c:pt idx="0">
                  <c:v>10198.991008466774</c:v>
                </c:pt>
                <c:pt idx="1">
                  <c:v>0</c:v>
                </c:pt>
              </c:numCache>
            </c:numRef>
          </c:val>
          <c:extLst>
            <c:ext xmlns:c16="http://schemas.microsoft.com/office/drawing/2014/chart" uri="{C3380CC4-5D6E-409C-BE32-E72D297353CC}">
              <c16:uniqueId val="{00000003-37F1-4597-884D-3AD4FF32C70F}"/>
            </c:ext>
          </c:extLst>
        </c:ser>
        <c:dLbls>
          <c:showLegendKey val="0"/>
          <c:showVal val="0"/>
          <c:showCatName val="0"/>
          <c:showSerName val="0"/>
          <c:showPercent val="0"/>
          <c:showBubbleSize val="0"/>
        </c:dLbls>
        <c:gapWidth val="219"/>
        <c:overlap val="-27"/>
        <c:axId val="-1160284480"/>
        <c:axId val="-1160288288"/>
        <c:extLst/>
      </c:barChart>
      <c:catAx>
        <c:axId val="-1160284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88288"/>
        <c:crosses val="autoZero"/>
        <c:auto val="1"/>
        <c:lblAlgn val="ctr"/>
        <c:lblOffset val="100"/>
        <c:noMultiLvlLbl val="0"/>
      </c:catAx>
      <c:valAx>
        <c:axId val="-1160288288"/>
        <c:scaling>
          <c:orientation val="minMax"/>
          <c:max val="14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84480"/>
        <c:crosses val="autoZero"/>
        <c:crossBetween val="between"/>
      </c:valAx>
      <c:spPr>
        <a:noFill/>
        <a:ln>
          <a:noFill/>
        </a:ln>
        <a:effectLst/>
      </c:spPr>
    </c:plotArea>
    <c:legend>
      <c:legendPos val="b"/>
      <c:layout>
        <c:manualLayout>
          <c:xMode val="edge"/>
          <c:yMode val="edge"/>
          <c:x val="9.6579216386007957E-2"/>
          <c:y val="0.89168559545543968"/>
          <c:w val="0.85839878474715892"/>
          <c:h val="0.1083144045445602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CAM HH WTP Unit Values and Range</a:t>
            </a:r>
            <a:r>
              <a:rPr lang="en-US" b="1" baseline="0"/>
              <a:t> - Traffic Disruption (£/Roadworks/yr)</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Main'!$CC$284</c:f>
              <c:strCache>
                <c:ptCount val="1"/>
                <c:pt idx="0">
                  <c:v>COMBINED</c:v>
                </c:pt>
              </c:strCache>
            </c:strRef>
          </c:tx>
          <c:spPr>
            <a:solidFill>
              <a:schemeClr val="accent2"/>
            </a:solidFill>
            <a:ln>
              <a:noFill/>
            </a:ln>
            <a:effectLst/>
          </c:spPr>
          <c:invertIfNegative val="0"/>
          <c:errBars>
            <c:errBarType val="both"/>
            <c:errValType val="cust"/>
            <c:noEndCap val="0"/>
            <c:plus>
              <c:numRef>
                <c:f>'WTP Main'!$CQ$285</c:f>
                <c:numCache>
                  <c:formatCode>General</c:formatCode>
                  <c:ptCount val="1"/>
                  <c:pt idx="0">
                    <c:v>142.78303479513994</c:v>
                  </c:pt>
                </c:numCache>
              </c:numRef>
            </c:plus>
            <c:minus>
              <c:numRef>
                <c:f>'WTP Main'!$CO$285</c:f>
                <c:numCache>
                  <c:formatCode>General</c:formatCode>
                  <c:ptCount val="1"/>
                  <c:pt idx="0">
                    <c:v>110.85292520809088</c:v>
                  </c:pt>
                </c:numCache>
              </c:numRef>
            </c:minus>
            <c:spPr>
              <a:noFill/>
              <a:ln w="9525" cap="flat" cmpd="sng" algn="ctr">
                <a:solidFill>
                  <a:sysClr val="windowText" lastClr="000000"/>
                </a:solidFill>
                <a:round/>
              </a:ln>
              <a:effectLst/>
            </c:spPr>
          </c:errBars>
          <c:cat>
            <c:strRef>
              <c:f>'WTP Main'!$A$285</c:f>
              <c:strCache>
                <c:ptCount val="1"/>
                <c:pt idx="0">
                  <c:v>Traffic disruption</c:v>
                </c:pt>
              </c:strCache>
            </c:strRef>
          </c:cat>
          <c:val>
            <c:numRef>
              <c:f>'WTP Main'!$CC$285</c:f>
              <c:numCache>
                <c:formatCode>"£"#,##0</c:formatCode>
                <c:ptCount val="1"/>
                <c:pt idx="0">
                  <c:v>412.03996746513093</c:v>
                </c:pt>
              </c:numCache>
            </c:numRef>
          </c:val>
          <c:extLst>
            <c:ext xmlns:c16="http://schemas.microsoft.com/office/drawing/2014/chart" uri="{C3380CC4-5D6E-409C-BE32-E72D297353CC}">
              <c16:uniqueId val="{00000000-8152-484D-A0E8-D6C3A85DEA43}"/>
            </c:ext>
          </c:extLst>
        </c:ser>
        <c:ser>
          <c:idx val="1"/>
          <c:order val="1"/>
          <c:tx>
            <c:strRef>
              <c:f>'WTP Main'!$CD$284</c:f>
              <c:strCache>
                <c:ptCount val="1"/>
                <c:pt idx="0">
                  <c:v>WTPCore_DCE</c:v>
                </c:pt>
              </c:strCache>
            </c:strRef>
          </c:tx>
          <c:spPr>
            <a:solidFill>
              <a:schemeClr val="accent4"/>
            </a:solidFill>
            <a:ln>
              <a:noFill/>
            </a:ln>
            <a:effectLst/>
          </c:spPr>
          <c:invertIfNegative val="0"/>
          <c:cat>
            <c:strRef>
              <c:f>'WTP Main'!$A$285</c:f>
              <c:strCache>
                <c:ptCount val="1"/>
                <c:pt idx="0">
                  <c:v>Traffic disruption</c:v>
                </c:pt>
              </c:strCache>
            </c:strRef>
          </c:cat>
          <c:val>
            <c:numRef>
              <c:f>'WTP Main'!$CD$285</c:f>
              <c:numCache>
                <c:formatCode>"£"#,##0</c:formatCode>
                <c:ptCount val="1"/>
                <c:pt idx="0">
                  <c:v>402.06180821917809</c:v>
                </c:pt>
              </c:numCache>
            </c:numRef>
          </c:val>
          <c:extLst>
            <c:ext xmlns:c16="http://schemas.microsoft.com/office/drawing/2014/chart" uri="{C3380CC4-5D6E-409C-BE32-E72D297353CC}">
              <c16:uniqueId val="{00000001-8152-484D-A0E8-D6C3A85DEA43}"/>
            </c:ext>
          </c:extLst>
        </c:ser>
        <c:ser>
          <c:idx val="2"/>
          <c:order val="2"/>
          <c:tx>
            <c:strRef>
              <c:f>'WTP Main'!$CJ$284</c:f>
              <c:strCache>
                <c:ptCount val="1"/>
                <c:pt idx="0">
                  <c:v>ExternalWTP19</c:v>
                </c:pt>
              </c:strCache>
            </c:strRef>
          </c:tx>
          <c:spPr>
            <a:solidFill>
              <a:schemeClr val="accent6"/>
            </a:solidFill>
            <a:ln>
              <a:noFill/>
            </a:ln>
            <a:effectLst/>
          </c:spPr>
          <c:invertIfNegative val="0"/>
          <c:cat>
            <c:strRef>
              <c:f>'WTP Main'!$A$285</c:f>
              <c:strCache>
                <c:ptCount val="1"/>
                <c:pt idx="0">
                  <c:v>Traffic disruption</c:v>
                </c:pt>
              </c:strCache>
            </c:strRef>
          </c:cat>
          <c:val>
            <c:numRef>
              <c:f>'WTP Main'!$CJ$285</c:f>
              <c:numCache>
                <c:formatCode>"£"#,##0</c:formatCode>
                <c:ptCount val="1"/>
                <c:pt idx="0">
                  <c:v>590.51876095905584</c:v>
                </c:pt>
              </c:numCache>
            </c:numRef>
          </c:val>
          <c:extLst>
            <c:ext xmlns:c16="http://schemas.microsoft.com/office/drawing/2014/chart" uri="{C3380CC4-5D6E-409C-BE32-E72D297353CC}">
              <c16:uniqueId val="{00000000-5C03-499F-BC15-26C331B60E14}"/>
            </c:ext>
          </c:extLst>
        </c:ser>
        <c:ser>
          <c:idx val="3"/>
          <c:order val="3"/>
          <c:tx>
            <c:strRef>
              <c:f>'WTP Main'!$CK$284</c:f>
              <c:strCache>
                <c:ptCount val="1"/>
                <c:pt idx="0">
                  <c:v>WTPCore_MaxDiff</c:v>
                </c:pt>
              </c:strCache>
            </c:strRef>
          </c:tx>
          <c:spPr>
            <a:solidFill>
              <a:schemeClr val="accent2">
                <a:lumMod val="60000"/>
              </a:schemeClr>
            </a:solidFill>
            <a:ln>
              <a:noFill/>
            </a:ln>
            <a:effectLst/>
          </c:spPr>
          <c:invertIfNegative val="0"/>
          <c:cat>
            <c:strRef>
              <c:f>'WTP Main'!$A$285</c:f>
              <c:strCache>
                <c:ptCount val="1"/>
                <c:pt idx="0">
                  <c:v>Traffic disruption</c:v>
                </c:pt>
              </c:strCache>
            </c:strRef>
          </c:cat>
          <c:val>
            <c:numRef>
              <c:f>'WTP Main'!$CK$285</c:f>
              <c:numCache>
                <c:formatCode>"£"#,##0</c:formatCode>
                <c:ptCount val="1"/>
                <c:pt idx="0">
                  <c:v>273.47381095501731</c:v>
                </c:pt>
              </c:numCache>
            </c:numRef>
          </c:val>
          <c:extLst>
            <c:ext xmlns:c16="http://schemas.microsoft.com/office/drawing/2014/chart" uri="{C3380CC4-5D6E-409C-BE32-E72D297353CC}">
              <c16:uniqueId val="{00000001-5C03-499F-BC15-26C331B60E14}"/>
            </c:ext>
          </c:extLst>
        </c:ser>
        <c:ser>
          <c:idx val="4"/>
          <c:order val="4"/>
          <c:tx>
            <c:strRef>
              <c:f>'WTP Main'!$CL$284</c:f>
              <c:strCache>
                <c:ptCount val="1"/>
                <c:pt idx="0">
                  <c:v>Priorities</c:v>
                </c:pt>
              </c:strCache>
            </c:strRef>
          </c:tx>
          <c:spPr>
            <a:solidFill>
              <a:schemeClr val="accent4">
                <a:lumMod val="60000"/>
              </a:schemeClr>
            </a:solidFill>
            <a:ln>
              <a:noFill/>
            </a:ln>
            <a:effectLst/>
          </c:spPr>
          <c:invertIfNegative val="0"/>
          <c:cat>
            <c:strRef>
              <c:f>'WTP Main'!$A$285</c:f>
              <c:strCache>
                <c:ptCount val="1"/>
                <c:pt idx="0">
                  <c:v>Traffic disruption</c:v>
                </c:pt>
              </c:strCache>
            </c:strRef>
          </c:cat>
          <c:val>
            <c:numRef>
              <c:f>'WTP Main'!$CL$285</c:f>
              <c:numCache>
                <c:formatCode>"£"#,##0</c:formatCode>
                <c:ptCount val="1"/>
                <c:pt idx="0">
                  <c:v>0</c:v>
                </c:pt>
              </c:numCache>
            </c:numRef>
          </c:val>
          <c:extLst>
            <c:ext xmlns:c16="http://schemas.microsoft.com/office/drawing/2014/chart" uri="{C3380CC4-5D6E-409C-BE32-E72D297353CC}">
              <c16:uniqueId val="{00000002-5C03-499F-BC15-26C331B60E14}"/>
            </c:ext>
          </c:extLst>
        </c:ser>
        <c:dLbls>
          <c:showLegendKey val="0"/>
          <c:showVal val="0"/>
          <c:showCatName val="0"/>
          <c:showSerName val="0"/>
          <c:showPercent val="0"/>
          <c:showBubbleSize val="0"/>
        </c:dLbls>
        <c:gapWidth val="219"/>
        <c:overlap val="-27"/>
        <c:axId val="-1160292640"/>
        <c:axId val="-1160283392"/>
        <c:extLst/>
      </c:barChart>
      <c:catAx>
        <c:axId val="-1160292640"/>
        <c:scaling>
          <c:orientation val="minMax"/>
        </c:scaling>
        <c:delete val="1"/>
        <c:axPos val="b"/>
        <c:numFmt formatCode="General" sourceLinked="1"/>
        <c:majorTickMark val="out"/>
        <c:minorTickMark val="none"/>
        <c:tickLblPos val="nextTo"/>
        <c:crossAx val="-1160283392"/>
        <c:crosses val="autoZero"/>
        <c:auto val="1"/>
        <c:lblAlgn val="ctr"/>
        <c:lblOffset val="100"/>
        <c:noMultiLvlLbl val="0"/>
      </c:catAx>
      <c:valAx>
        <c:axId val="-1160283392"/>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92640"/>
        <c:crosses val="autoZero"/>
        <c:crossBetween val="between"/>
      </c:valAx>
      <c:spPr>
        <a:noFill/>
        <a:ln>
          <a:noFill/>
        </a:ln>
        <a:effectLst/>
      </c:spPr>
    </c:plotArea>
    <c:legend>
      <c:legendPos val="b"/>
      <c:layout>
        <c:manualLayout>
          <c:xMode val="edge"/>
          <c:yMode val="edge"/>
          <c:x val="0.1732956587751143"/>
          <c:y val="0.93109570510652684"/>
          <c:w val="0.56262817034314072"/>
          <c:h val="5.112770764599704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CAM HH WTP Unit Values and Range</a:t>
            </a:r>
            <a:r>
              <a:rPr lang="en-US" b="1" baseline="0"/>
              <a:t> - Metering (£/HH metered/yr)</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Main'!$BY$223</c:f>
              <c:strCache>
                <c:ptCount val="1"/>
                <c:pt idx="0">
                  <c:v>COMBINED</c:v>
                </c:pt>
              </c:strCache>
            </c:strRef>
          </c:tx>
          <c:spPr>
            <a:solidFill>
              <a:schemeClr val="accent2"/>
            </a:solidFill>
            <a:ln>
              <a:noFill/>
            </a:ln>
            <a:effectLst/>
          </c:spPr>
          <c:invertIfNegative val="0"/>
          <c:errBars>
            <c:errBarType val="both"/>
            <c:errValType val="cust"/>
            <c:noEndCap val="0"/>
            <c:plus>
              <c:numRef>
                <c:f>'WTP Main'!$CO$224:$CO$225</c:f>
                <c:numCache>
                  <c:formatCode>General</c:formatCode>
                  <c:ptCount val="2"/>
                  <c:pt idx="0">
                    <c:v>2.7708496960863771</c:v>
                  </c:pt>
                  <c:pt idx="1">
                    <c:v>1.3799708045394528</c:v>
                  </c:pt>
                </c:numCache>
              </c:numRef>
            </c:plus>
            <c:minus>
              <c:numRef>
                <c:f>'WTP Main'!$CN$224:$CN$225</c:f>
                <c:numCache>
                  <c:formatCode>General</c:formatCode>
                  <c:ptCount val="2"/>
                  <c:pt idx="0">
                    <c:v>3.4369842278964509</c:v>
                  </c:pt>
                  <c:pt idx="1">
                    <c:v>0.93842919546054715</c:v>
                  </c:pt>
                </c:numCache>
              </c:numRef>
            </c:minus>
            <c:spPr>
              <a:noFill/>
              <a:ln w="9525" cap="flat" cmpd="sng" algn="ctr">
                <a:solidFill>
                  <a:sysClr val="windowText" lastClr="000000"/>
                </a:solidFill>
                <a:round/>
              </a:ln>
              <a:effectLst/>
            </c:spPr>
          </c:errBars>
          <c:cat>
            <c:strRef>
              <c:f>'WTP Main'!$A$224:$A$225</c:f>
              <c:strCache>
                <c:ptCount val="2"/>
                <c:pt idx="0">
                  <c:v>Water metering</c:v>
                </c:pt>
                <c:pt idx="1">
                  <c:v>Giving customers control of their water usage</c:v>
                </c:pt>
              </c:strCache>
            </c:strRef>
          </c:cat>
          <c:val>
            <c:numRef>
              <c:f>'WTP Main'!$BY$224:$BY$225</c:f>
              <c:numCache>
                <c:formatCode>"£"#,##0</c:formatCode>
                <c:ptCount val="2"/>
                <c:pt idx="0">
                  <c:v>5.9530828882440447</c:v>
                </c:pt>
                <c:pt idx="1">
                  <c:v>1.1730364943256839</c:v>
                </c:pt>
              </c:numCache>
            </c:numRef>
          </c:val>
          <c:extLst>
            <c:ext xmlns:c16="http://schemas.microsoft.com/office/drawing/2014/chart" uri="{C3380CC4-5D6E-409C-BE32-E72D297353CC}">
              <c16:uniqueId val="{00000000-23F1-4F4F-A786-E69910003D42}"/>
            </c:ext>
          </c:extLst>
        </c:ser>
        <c:ser>
          <c:idx val="1"/>
          <c:order val="1"/>
          <c:tx>
            <c:strRef>
              <c:f>'WTP Main'!$BZ$223</c:f>
              <c:strCache>
                <c:ptCount val="1"/>
                <c:pt idx="0">
                  <c:v>WTPCore_DCE</c:v>
                </c:pt>
              </c:strCache>
            </c:strRef>
          </c:tx>
          <c:spPr>
            <a:solidFill>
              <a:schemeClr val="accent4"/>
            </a:solidFill>
            <a:ln>
              <a:noFill/>
            </a:ln>
            <a:effectLst/>
          </c:spPr>
          <c:invertIfNegative val="0"/>
          <c:cat>
            <c:strRef>
              <c:f>'WTP Main'!$A$224:$A$225</c:f>
              <c:strCache>
                <c:ptCount val="2"/>
                <c:pt idx="0">
                  <c:v>Water metering</c:v>
                </c:pt>
                <c:pt idx="1">
                  <c:v>Giving customers control of their water usage</c:v>
                </c:pt>
              </c:strCache>
            </c:strRef>
          </c:cat>
          <c:val>
            <c:numRef>
              <c:f>'WTP Main'!$BZ$224:$BZ$225</c:f>
              <c:numCache>
                <c:formatCode>"£"#,##0</c:formatCode>
                <c:ptCount val="2"/>
                <c:pt idx="0">
                  <c:v>8.64</c:v>
                </c:pt>
                <c:pt idx="1">
                  <c:v>2.8979999999999997</c:v>
                </c:pt>
              </c:numCache>
            </c:numRef>
          </c:val>
          <c:extLst>
            <c:ext xmlns:c16="http://schemas.microsoft.com/office/drawing/2014/chart" uri="{C3380CC4-5D6E-409C-BE32-E72D297353CC}">
              <c16:uniqueId val="{00000001-23F1-4F4F-A786-E69910003D42}"/>
            </c:ext>
          </c:extLst>
        </c:ser>
        <c:ser>
          <c:idx val="2"/>
          <c:order val="2"/>
          <c:tx>
            <c:strRef>
              <c:f>'WTP Main'!$CA$223</c:f>
              <c:strCache>
                <c:ptCount val="1"/>
                <c:pt idx="0">
                  <c:v>WTPCore_DCE2</c:v>
                </c:pt>
              </c:strCache>
            </c:strRef>
          </c:tx>
          <c:spPr>
            <a:solidFill>
              <a:schemeClr val="accent6"/>
            </a:solidFill>
            <a:ln>
              <a:noFill/>
            </a:ln>
            <a:effectLst/>
          </c:spPr>
          <c:invertIfNegative val="0"/>
          <c:cat>
            <c:strRef>
              <c:f>'WTP Main'!$A$224:$A$225</c:f>
              <c:strCache>
                <c:ptCount val="2"/>
                <c:pt idx="0">
                  <c:v>Water metering</c:v>
                </c:pt>
                <c:pt idx="1">
                  <c:v>Giving customers control of their water usage</c:v>
                </c:pt>
              </c:strCache>
            </c:strRef>
          </c:cat>
          <c:val>
            <c:numRef>
              <c:f>'WTP Main'!$CA$224:$CA$225</c:f>
              <c:numCache>
                <c:formatCode>"£"#,##0.000</c:formatCode>
                <c:ptCount val="2"/>
                <c:pt idx="0" formatCode="&quot;£&quot;#,##0">
                  <c:v>9.4166450083520168</c:v>
                </c:pt>
              </c:numCache>
            </c:numRef>
          </c:val>
          <c:extLst>
            <c:ext xmlns:c16="http://schemas.microsoft.com/office/drawing/2014/chart" uri="{C3380CC4-5D6E-409C-BE32-E72D297353CC}">
              <c16:uniqueId val="{00000002-23F1-4F4F-A786-E69910003D42}"/>
            </c:ext>
          </c:extLst>
        </c:ser>
        <c:ser>
          <c:idx val="3"/>
          <c:order val="3"/>
          <c:tx>
            <c:strRef>
              <c:f>'WTP Main'!$CB$223</c:f>
              <c:strCache>
                <c:ptCount val="1"/>
                <c:pt idx="0">
                  <c:v>WTP core_DCE_Private</c:v>
                </c:pt>
              </c:strCache>
            </c:strRef>
          </c:tx>
          <c:spPr>
            <a:solidFill>
              <a:schemeClr val="accent2">
                <a:lumMod val="60000"/>
              </a:schemeClr>
            </a:solidFill>
            <a:ln>
              <a:noFill/>
            </a:ln>
            <a:effectLst/>
          </c:spPr>
          <c:invertIfNegative val="0"/>
          <c:cat>
            <c:strRef>
              <c:f>'WTP Main'!$A$224:$A$225</c:f>
              <c:strCache>
                <c:ptCount val="2"/>
                <c:pt idx="0">
                  <c:v>Water metering</c:v>
                </c:pt>
                <c:pt idx="1">
                  <c:v>Giving customers control of their water usage</c:v>
                </c:pt>
              </c:strCache>
            </c:strRef>
          </c:cat>
          <c:val>
            <c:numRef>
              <c:f>'WTP Main'!$CB$224:$CB$225</c:f>
              <c:numCache>
                <c:formatCode>"£"#,##0</c:formatCode>
                <c:ptCount val="2"/>
                <c:pt idx="0">
                  <c:v>3.96</c:v>
                </c:pt>
                <c:pt idx="1">
                  <c:v>3.8879999999999999</c:v>
                </c:pt>
              </c:numCache>
            </c:numRef>
          </c:val>
          <c:extLst xmlns:c15="http://schemas.microsoft.com/office/drawing/2012/chart">
            <c:ext xmlns:c16="http://schemas.microsoft.com/office/drawing/2014/chart" uri="{C3380CC4-5D6E-409C-BE32-E72D297353CC}">
              <c16:uniqueId val="{00000003-23F1-4F4F-A786-E69910003D42}"/>
            </c:ext>
          </c:extLst>
        </c:ser>
        <c:ser>
          <c:idx val="4"/>
          <c:order val="4"/>
          <c:tx>
            <c:strRef>
              <c:f>'WTP Main'!$CC$223</c:f>
              <c:strCache>
                <c:ptCount val="1"/>
                <c:pt idx="0">
                  <c:v>WTPCore_DCE2_LowBill</c:v>
                </c:pt>
              </c:strCache>
            </c:strRef>
          </c:tx>
          <c:spPr>
            <a:solidFill>
              <a:schemeClr val="accent4">
                <a:lumMod val="60000"/>
              </a:schemeClr>
            </a:solidFill>
            <a:ln>
              <a:noFill/>
            </a:ln>
            <a:effectLst/>
          </c:spPr>
          <c:invertIfNegative val="0"/>
          <c:cat>
            <c:strRef>
              <c:f>'WTP Main'!$A$224:$A$225</c:f>
              <c:strCache>
                <c:ptCount val="2"/>
                <c:pt idx="0">
                  <c:v>Water metering</c:v>
                </c:pt>
                <c:pt idx="1">
                  <c:v>Giving customers control of their water usage</c:v>
                </c:pt>
              </c:strCache>
            </c:strRef>
          </c:cat>
          <c:val>
            <c:numRef>
              <c:f>'WTP Main'!$CC$224:$CC$225</c:f>
              <c:numCache>
                <c:formatCode>"£"#,##0</c:formatCode>
                <c:ptCount val="2"/>
                <c:pt idx="0">
                  <c:v>9.504174351220037</c:v>
                </c:pt>
              </c:numCache>
            </c:numRef>
          </c:val>
          <c:extLst xmlns:c15="http://schemas.microsoft.com/office/drawing/2012/chart">
            <c:ext xmlns:c16="http://schemas.microsoft.com/office/drawing/2014/chart" uri="{C3380CC4-5D6E-409C-BE32-E72D297353CC}">
              <c16:uniqueId val="{00000004-23F1-4F4F-A786-E69910003D42}"/>
            </c:ext>
          </c:extLst>
        </c:ser>
        <c:ser>
          <c:idx val="5"/>
          <c:order val="5"/>
          <c:tx>
            <c:strRef>
              <c:f>'WTP Main'!$CF$223</c:f>
              <c:strCache>
                <c:ptCount val="1"/>
                <c:pt idx="0">
                  <c:v>ExternalWTP19</c:v>
                </c:pt>
              </c:strCache>
            </c:strRef>
          </c:tx>
          <c:spPr>
            <a:solidFill>
              <a:schemeClr val="accent6">
                <a:lumMod val="60000"/>
              </a:schemeClr>
            </a:solidFill>
            <a:ln>
              <a:noFill/>
            </a:ln>
            <a:effectLst/>
          </c:spPr>
          <c:invertIfNegative val="0"/>
          <c:cat>
            <c:strRef>
              <c:f>'WTP Main'!$A$224:$A$225</c:f>
              <c:strCache>
                <c:ptCount val="2"/>
                <c:pt idx="0">
                  <c:v>Water metering</c:v>
                </c:pt>
                <c:pt idx="1">
                  <c:v>Giving customers control of their water usage</c:v>
                </c:pt>
              </c:strCache>
            </c:strRef>
          </c:cat>
          <c:val>
            <c:numRef>
              <c:f>'WTP Main'!$CF$224:$CF$225</c:f>
              <c:numCache>
                <c:formatCode>"£"#,##0.0000</c:formatCode>
                <c:ptCount val="2"/>
                <c:pt idx="0" formatCode="&quot;£&quot;#,##0">
                  <c:v>7.292378240383063</c:v>
                </c:pt>
              </c:numCache>
            </c:numRef>
          </c:val>
          <c:extLst>
            <c:ext xmlns:c16="http://schemas.microsoft.com/office/drawing/2014/chart" uri="{C3380CC4-5D6E-409C-BE32-E72D297353CC}">
              <c16:uniqueId val="{00000000-9F93-41F6-B48D-EC7B2C3FC5E8}"/>
            </c:ext>
          </c:extLst>
        </c:ser>
        <c:ser>
          <c:idx val="6"/>
          <c:order val="6"/>
          <c:tx>
            <c:strRef>
              <c:f>'WTP Main'!$CG$223</c:f>
              <c:strCache>
                <c:ptCount val="1"/>
                <c:pt idx="0">
                  <c:v>WTPCore_MaxDiff</c:v>
                </c:pt>
              </c:strCache>
            </c:strRef>
          </c:tx>
          <c:spPr>
            <a:solidFill>
              <a:schemeClr val="accent2">
                <a:lumMod val="80000"/>
                <a:lumOff val="20000"/>
              </a:schemeClr>
            </a:solidFill>
            <a:ln>
              <a:noFill/>
            </a:ln>
            <a:effectLst/>
          </c:spPr>
          <c:invertIfNegative val="0"/>
          <c:cat>
            <c:strRef>
              <c:f>'WTP Main'!$A$224:$A$225</c:f>
              <c:strCache>
                <c:ptCount val="2"/>
                <c:pt idx="0">
                  <c:v>Water metering</c:v>
                </c:pt>
                <c:pt idx="1">
                  <c:v>Giving customers control of their water usage</c:v>
                </c:pt>
              </c:strCache>
            </c:strRef>
          </c:cat>
          <c:val>
            <c:numRef>
              <c:f>'WTP Main'!$CG$224:$CG$225</c:f>
              <c:numCache>
                <c:formatCode>"£"#,##0.000</c:formatCode>
                <c:ptCount val="2"/>
                <c:pt idx="0" formatCode="&quot;£&quot;#,##0">
                  <c:v>2.169519848073016</c:v>
                </c:pt>
                <c:pt idx="1">
                  <c:v>0.33535586699323794</c:v>
                </c:pt>
              </c:numCache>
            </c:numRef>
          </c:val>
          <c:extLst>
            <c:ext xmlns:c16="http://schemas.microsoft.com/office/drawing/2014/chart" uri="{C3380CC4-5D6E-409C-BE32-E72D297353CC}">
              <c16:uniqueId val="{00000001-9F93-41F6-B48D-EC7B2C3FC5E8}"/>
            </c:ext>
          </c:extLst>
        </c:ser>
        <c:ser>
          <c:idx val="7"/>
          <c:order val="7"/>
          <c:tx>
            <c:strRef>
              <c:f>'WTP Main'!$CH$223</c:f>
              <c:strCache>
                <c:ptCount val="1"/>
                <c:pt idx="0">
                  <c:v>WRMP_online</c:v>
                </c:pt>
              </c:strCache>
            </c:strRef>
          </c:tx>
          <c:spPr>
            <a:solidFill>
              <a:srgbClr val="FFC000"/>
            </a:solidFill>
            <a:ln>
              <a:noFill/>
            </a:ln>
            <a:effectLst/>
          </c:spPr>
          <c:invertIfNegative val="0"/>
          <c:cat>
            <c:strRef>
              <c:f>'WTP Main'!$A$224:$A$225</c:f>
              <c:strCache>
                <c:ptCount val="2"/>
                <c:pt idx="0">
                  <c:v>Water metering</c:v>
                </c:pt>
                <c:pt idx="1">
                  <c:v>Giving customers control of their water usage</c:v>
                </c:pt>
              </c:strCache>
            </c:strRef>
          </c:cat>
          <c:val>
            <c:numRef>
              <c:f>'WTP Main'!$CH$224:$CH$225</c:f>
              <c:numCache>
                <c:formatCode>"£"#,##0.00</c:formatCode>
                <c:ptCount val="2"/>
                <c:pt idx="0" formatCode="&quot;£&quot;#,##0">
                  <c:v>0</c:v>
                </c:pt>
                <c:pt idx="1">
                  <c:v>0.32879665437162059</c:v>
                </c:pt>
              </c:numCache>
            </c:numRef>
          </c:val>
          <c:extLst>
            <c:ext xmlns:c16="http://schemas.microsoft.com/office/drawing/2014/chart" uri="{C3380CC4-5D6E-409C-BE32-E72D297353CC}">
              <c16:uniqueId val="{00000002-9F93-41F6-B48D-EC7B2C3FC5E8}"/>
            </c:ext>
          </c:extLst>
        </c:ser>
        <c:ser>
          <c:idx val="8"/>
          <c:order val="8"/>
          <c:tx>
            <c:strRef>
              <c:f>'WTP Main'!$CI$223</c:f>
              <c:strCache>
                <c:ptCount val="1"/>
                <c:pt idx="0">
                  <c:v>WRMP_workshop</c:v>
                </c:pt>
              </c:strCache>
            </c:strRef>
          </c:tx>
          <c:spPr>
            <a:solidFill>
              <a:srgbClr val="00B050"/>
            </a:solidFill>
            <a:ln>
              <a:noFill/>
            </a:ln>
            <a:effectLst/>
          </c:spPr>
          <c:invertIfNegative val="0"/>
          <c:cat>
            <c:strRef>
              <c:f>'WTP Main'!$A$224:$A$225</c:f>
              <c:strCache>
                <c:ptCount val="2"/>
                <c:pt idx="0">
                  <c:v>Water metering</c:v>
                </c:pt>
                <c:pt idx="1">
                  <c:v>Giving customers control of their water usage</c:v>
                </c:pt>
              </c:strCache>
            </c:strRef>
          </c:cat>
          <c:val>
            <c:numRef>
              <c:f>'WTP Main'!$CI$224:$CI$225</c:f>
              <c:numCache>
                <c:formatCode>"£"#,##0</c:formatCode>
                <c:ptCount val="2"/>
                <c:pt idx="0">
                  <c:v>1.6568526033734807</c:v>
                </c:pt>
                <c:pt idx="1">
                  <c:v>0.647248916217667</c:v>
                </c:pt>
              </c:numCache>
            </c:numRef>
          </c:val>
          <c:extLst>
            <c:ext xmlns:c16="http://schemas.microsoft.com/office/drawing/2014/chart" uri="{C3380CC4-5D6E-409C-BE32-E72D297353CC}">
              <c16:uniqueId val="{00000003-9F93-41F6-B48D-EC7B2C3FC5E8}"/>
            </c:ext>
          </c:extLst>
        </c:ser>
        <c:dLbls>
          <c:showLegendKey val="0"/>
          <c:showVal val="0"/>
          <c:showCatName val="0"/>
          <c:showSerName val="0"/>
          <c:showPercent val="0"/>
          <c:showBubbleSize val="0"/>
        </c:dLbls>
        <c:gapWidth val="219"/>
        <c:overlap val="-27"/>
        <c:axId val="-1160292096"/>
        <c:axId val="-1160288832"/>
        <c:extLst/>
      </c:barChart>
      <c:catAx>
        <c:axId val="-11602920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88832"/>
        <c:crosses val="autoZero"/>
        <c:auto val="1"/>
        <c:lblAlgn val="ctr"/>
        <c:lblOffset val="100"/>
        <c:noMultiLvlLbl val="0"/>
      </c:catAx>
      <c:valAx>
        <c:axId val="-1160288832"/>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92096"/>
        <c:crosses val="autoZero"/>
        <c:crossBetween val="between"/>
      </c:valAx>
      <c:spPr>
        <a:noFill/>
        <a:ln>
          <a:noFill/>
        </a:ln>
        <a:effectLst/>
      </c:spPr>
    </c:plotArea>
    <c:legend>
      <c:legendPos val="b"/>
      <c:layout>
        <c:manualLayout>
          <c:xMode val="edge"/>
          <c:yMode val="edge"/>
          <c:x val="7.3808828986844419E-2"/>
          <c:y val="0.90975723937524533"/>
          <c:w val="0.87749443813770789"/>
          <c:h val="9.024276062475467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400" b="1" i="0" baseline="0">
                <a:effectLst/>
              </a:rPr>
              <a:t>SSC WTP Unit Values and Range - Services at Property</a:t>
            </a:r>
            <a:endParaRPr lang="en-GB"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Main'!$EY$104</c:f>
              <c:strCache>
                <c:ptCount val="1"/>
                <c:pt idx="0">
                  <c:v>ALL</c:v>
                </c:pt>
              </c:strCache>
            </c:strRef>
          </c:tx>
          <c:spPr>
            <a:solidFill>
              <a:schemeClr val="accent2"/>
            </a:solidFill>
            <a:ln>
              <a:noFill/>
            </a:ln>
            <a:effectLst/>
          </c:spPr>
          <c:invertIfNegative val="0"/>
          <c:errBars>
            <c:errBarType val="both"/>
            <c:errValType val="cust"/>
            <c:noEndCap val="0"/>
            <c:plus>
              <c:numRef>
                <c:f>'WTP Main'!$FA$105:$FA$112</c:f>
                <c:numCache>
                  <c:formatCode>General</c:formatCode>
                  <c:ptCount val="8"/>
                  <c:pt idx="0">
                    <c:v>230524.69973962472</c:v>
                  </c:pt>
                  <c:pt idx="1">
                    <c:v>61735.332923425623</c:v>
                  </c:pt>
                  <c:pt idx="2">
                    <c:v>10890.778061996629</c:v>
                  </c:pt>
                  <c:pt idx="3">
                    <c:v>1274.6779527201218</c:v>
                  </c:pt>
                  <c:pt idx="4">
                    <c:v>4914.5129514059508</c:v>
                  </c:pt>
                  <c:pt idx="5">
                    <c:v>3004.4540320722385</c:v>
                  </c:pt>
                  <c:pt idx="6">
                    <c:v>2805.6778287472398</c:v>
                  </c:pt>
                  <c:pt idx="7">
                    <c:v>50.605093188112349</c:v>
                  </c:pt>
                </c:numCache>
              </c:numRef>
            </c:plus>
            <c:minus>
              <c:numRef>
                <c:f>'WTP Main'!$EZ$105:$EZ$112</c:f>
                <c:numCache>
                  <c:formatCode>General</c:formatCode>
                  <c:ptCount val="8"/>
                  <c:pt idx="0">
                    <c:v>58861.221715645093</c:v>
                  </c:pt>
                  <c:pt idx="1">
                    <c:v>18779.306103279221</c:v>
                  </c:pt>
                  <c:pt idx="2">
                    <c:v>2694.7436468934375</c:v>
                  </c:pt>
                  <c:pt idx="3">
                    <c:v>385.34760732568219</c:v>
                  </c:pt>
                  <c:pt idx="4">
                    <c:v>1691.9589787996952</c:v>
                  </c:pt>
                  <c:pt idx="5">
                    <c:v>1616.5422999426637</c:v>
                  </c:pt>
                  <c:pt idx="6">
                    <c:v>947.80679044102374</c:v>
                  </c:pt>
                  <c:pt idx="7">
                    <c:v>30.836067163025263</c:v>
                  </c:pt>
                </c:numCache>
              </c:numRef>
            </c:minus>
            <c:spPr>
              <a:noFill/>
              <a:ln w="9525" cap="flat" cmpd="sng" algn="ctr">
                <a:solidFill>
                  <a:srgbClr val="000000"/>
                </a:solidFill>
                <a:round/>
              </a:ln>
              <a:effectLst/>
            </c:spPr>
          </c:errBars>
          <c:cat>
            <c:strRef>
              <c:f>'WTP Main'!$EX$105:$EX$112</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Main'!$EY$105:$EY$112</c:f>
              <c:numCache>
                <c:formatCode>0</c:formatCode>
                <c:ptCount val="8"/>
                <c:pt idx="0">
                  <c:v>73592.156136015474</c:v>
                </c:pt>
                <c:pt idx="1">
                  <c:v>23775.333001025512</c:v>
                </c:pt>
                <c:pt idx="2">
                  <c:v>3369.2420215137831</c:v>
                </c:pt>
                <c:pt idx="3">
                  <c:v>483.70888196179777</c:v>
                </c:pt>
                <c:pt idx="4">
                  <c:v>2115.7281242265567</c:v>
                </c:pt>
                <c:pt idx="5">
                  <c:v>2021.7457027218131</c:v>
                </c:pt>
                <c:pt idx="6">
                  <c:v>1185.1035292970932</c:v>
                </c:pt>
                <c:pt idx="7">
                  <c:v>38.538806248523308</c:v>
                </c:pt>
              </c:numCache>
            </c:numRef>
          </c:val>
          <c:extLst>
            <c:ext xmlns:c16="http://schemas.microsoft.com/office/drawing/2014/chart" uri="{C3380CC4-5D6E-409C-BE32-E72D297353CC}">
              <c16:uniqueId val="{00000000-33BC-4679-A319-08EB61B9632C}"/>
            </c:ext>
          </c:extLst>
        </c:ser>
        <c:ser>
          <c:idx val="1"/>
          <c:order val="1"/>
          <c:tx>
            <c:strRef>
              <c:f>'WTP Main'!$FB$104</c:f>
              <c:strCache>
                <c:ptCount val="1"/>
                <c:pt idx="0">
                  <c:v>HH</c:v>
                </c:pt>
              </c:strCache>
            </c:strRef>
          </c:tx>
          <c:spPr>
            <a:solidFill>
              <a:schemeClr val="accent4"/>
            </a:solidFill>
            <a:ln>
              <a:noFill/>
            </a:ln>
            <a:effectLst/>
          </c:spPr>
          <c:invertIfNegative val="0"/>
          <c:errBars>
            <c:errBarType val="both"/>
            <c:errValType val="cust"/>
            <c:noEndCap val="0"/>
            <c:plus>
              <c:numRef>
                <c:f>'WTP Main'!$FD$105:$FD$112</c:f>
                <c:numCache>
                  <c:formatCode>General</c:formatCode>
                  <c:ptCount val="8"/>
                </c:numCache>
              </c:numRef>
            </c:plus>
            <c:minus>
              <c:numRef>
                <c:f>'WTP Main'!$FC$105:$FC$112</c:f>
                <c:numCache>
                  <c:formatCode>General</c:formatCode>
                  <c:ptCount val="8"/>
                </c:numCache>
              </c:numRef>
            </c:minus>
            <c:spPr>
              <a:noFill/>
              <a:ln w="9525" cap="flat" cmpd="sng" algn="ctr">
                <a:solidFill>
                  <a:srgbClr val="000000"/>
                </a:solidFill>
                <a:round/>
              </a:ln>
              <a:effectLst/>
            </c:spPr>
          </c:errBars>
          <c:cat>
            <c:strRef>
              <c:f>'WTP Main'!$EX$105:$EX$112</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Main'!$FB$105:$FB$112</c:f>
              <c:numCache>
                <c:formatCode>0</c:formatCode>
                <c:ptCount val="8"/>
              </c:numCache>
            </c:numRef>
          </c:val>
          <c:extLst>
            <c:ext xmlns:c16="http://schemas.microsoft.com/office/drawing/2014/chart" uri="{C3380CC4-5D6E-409C-BE32-E72D297353CC}">
              <c16:uniqueId val="{00000004-FF3B-4447-9845-89DA0B509FA6}"/>
            </c:ext>
          </c:extLst>
        </c:ser>
        <c:ser>
          <c:idx val="2"/>
          <c:order val="2"/>
          <c:tx>
            <c:strRef>
              <c:f>'WTP Main'!$FE$104</c:f>
              <c:strCache>
                <c:ptCount val="1"/>
                <c:pt idx="0">
                  <c:v>NHH</c:v>
                </c:pt>
              </c:strCache>
            </c:strRef>
          </c:tx>
          <c:spPr>
            <a:solidFill>
              <a:schemeClr val="accent6"/>
            </a:solidFill>
            <a:ln>
              <a:noFill/>
            </a:ln>
            <a:effectLst/>
          </c:spPr>
          <c:invertIfNegative val="0"/>
          <c:errBars>
            <c:errBarType val="both"/>
            <c:errValType val="cust"/>
            <c:noEndCap val="0"/>
            <c:plus>
              <c:numRef>
                <c:f>'WTP Main'!$FG$105:$FG$112</c:f>
                <c:numCache>
                  <c:formatCode>General</c:formatCode>
                  <c:ptCount val="8"/>
                </c:numCache>
              </c:numRef>
            </c:plus>
            <c:minus>
              <c:numRef>
                <c:f>'WTP Main'!$FF$105:$FF$112</c:f>
                <c:numCache>
                  <c:formatCode>General</c:formatCode>
                  <c:ptCount val="8"/>
                </c:numCache>
              </c:numRef>
            </c:minus>
            <c:spPr>
              <a:noFill/>
              <a:ln w="9525" cap="flat" cmpd="sng" algn="ctr">
                <a:solidFill>
                  <a:srgbClr val="000000"/>
                </a:solidFill>
                <a:round/>
              </a:ln>
              <a:effectLst/>
            </c:spPr>
          </c:errBars>
          <c:cat>
            <c:strRef>
              <c:f>'WTP Main'!$EX$105:$EX$112</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Main'!$FE$105:$FE$112</c:f>
              <c:numCache>
                <c:formatCode>0</c:formatCode>
                <c:ptCount val="8"/>
              </c:numCache>
            </c:numRef>
          </c:val>
          <c:extLst>
            <c:ext xmlns:c16="http://schemas.microsoft.com/office/drawing/2014/chart" uri="{C3380CC4-5D6E-409C-BE32-E72D297353CC}">
              <c16:uniqueId val="{00000005-FF3B-4447-9845-89DA0B509FA6}"/>
            </c:ext>
          </c:extLst>
        </c:ser>
        <c:dLbls>
          <c:showLegendKey val="0"/>
          <c:showVal val="0"/>
          <c:showCatName val="0"/>
          <c:showSerName val="0"/>
          <c:showPercent val="0"/>
          <c:showBubbleSize val="0"/>
        </c:dLbls>
        <c:gapWidth val="219"/>
        <c:overlap val="-27"/>
        <c:axId val="-1160282304"/>
        <c:axId val="-1160286656"/>
      </c:barChart>
      <c:catAx>
        <c:axId val="-116028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86656"/>
        <c:crosses val="autoZero"/>
        <c:auto val="1"/>
        <c:lblAlgn val="ctr"/>
        <c:lblOffset val="100"/>
        <c:noMultiLvlLbl val="0"/>
      </c:catAx>
      <c:valAx>
        <c:axId val="-1160286656"/>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82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ysClr val="windowText" lastClr="000000"/>
                </a:solidFill>
                <a:effectLst/>
              </a:rPr>
              <a:t>SSC WTP Unit Values and Range - Drought Restrictions </a:t>
            </a:r>
            <a:r>
              <a:rPr lang="en-US" sz="1400" b="1" i="0" u="none" strike="noStrike" baseline="0">
                <a:solidFill>
                  <a:sysClr val="windowText" lastClr="000000"/>
                </a:solidFill>
                <a:effectLst/>
              </a:rPr>
              <a:t>(£/1% Risk/yr)</a:t>
            </a:r>
            <a:endParaRPr lang="en-GB" sz="14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Main'!$EX$155</c:f>
              <c:strCache>
                <c:ptCount val="1"/>
                <c:pt idx="0">
                  <c:v>ALL</c:v>
                </c:pt>
              </c:strCache>
            </c:strRef>
          </c:tx>
          <c:spPr>
            <a:solidFill>
              <a:schemeClr val="accent2"/>
            </a:solidFill>
            <a:ln>
              <a:noFill/>
            </a:ln>
            <a:effectLst/>
          </c:spPr>
          <c:invertIfNegative val="0"/>
          <c:errBars>
            <c:errBarType val="both"/>
            <c:errValType val="cust"/>
            <c:noEndCap val="0"/>
            <c:plus>
              <c:numRef>
                <c:f>'WTP Main'!$EZ$156:$EZ$157</c:f>
                <c:numCache>
                  <c:formatCode>General</c:formatCode>
                  <c:ptCount val="2"/>
                  <c:pt idx="0">
                    <c:v>3515084.9746979051</c:v>
                  </c:pt>
                  <c:pt idx="1">
                    <c:v>744191.21838560177</c:v>
                  </c:pt>
                </c:numCache>
              </c:numRef>
            </c:plus>
            <c:minus>
              <c:numRef>
                <c:f>'WTP Main'!$EY$156:$EY$157</c:f>
                <c:numCache>
                  <c:formatCode>General</c:formatCode>
                  <c:ptCount val="2"/>
                  <c:pt idx="0">
                    <c:v>3116903.8810102753</c:v>
                  </c:pt>
                  <c:pt idx="1">
                    <c:v>548582.586653515</c:v>
                  </c:pt>
                </c:numCache>
              </c:numRef>
            </c:minus>
            <c:spPr>
              <a:noFill/>
              <a:ln w="9525" cap="flat" cmpd="sng" algn="ctr">
                <a:solidFill>
                  <a:srgbClr val="000000"/>
                </a:solidFill>
                <a:round/>
              </a:ln>
              <a:effectLst/>
            </c:spPr>
          </c:errBars>
          <c:cat>
            <c:strRef>
              <c:f>'WTP Main'!$A$161:$A$162</c:f>
              <c:strCache>
                <c:ptCount val="2"/>
                <c:pt idx="0">
                  <c:v>Drought restrictions</c:v>
                </c:pt>
                <c:pt idx="1">
                  <c:v>Temporary use ban</c:v>
                </c:pt>
              </c:strCache>
            </c:strRef>
          </c:cat>
          <c:val>
            <c:numRef>
              <c:f>'WTP Main'!$EX$156:$EX$157</c:f>
              <c:numCache>
                <c:formatCode>0</c:formatCode>
                <c:ptCount val="2"/>
                <c:pt idx="0">
                  <c:v>4360490.0603906941</c:v>
                </c:pt>
                <c:pt idx="1">
                  <c:v>685464.76157041371</c:v>
                </c:pt>
              </c:numCache>
            </c:numRef>
          </c:val>
          <c:extLst>
            <c:ext xmlns:c16="http://schemas.microsoft.com/office/drawing/2014/chart" uri="{C3380CC4-5D6E-409C-BE32-E72D297353CC}">
              <c16:uniqueId val="{00000000-0CA1-4B23-AAE6-B6E040D4C343}"/>
            </c:ext>
          </c:extLst>
        </c:ser>
        <c:ser>
          <c:idx val="1"/>
          <c:order val="1"/>
          <c:tx>
            <c:strRef>
              <c:f>'WTP Main'!$FA$155</c:f>
              <c:strCache>
                <c:ptCount val="1"/>
                <c:pt idx="0">
                  <c:v>HH</c:v>
                </c:pt>
              </c:strCache>
            </c:strRef>
          </c:tx>
          <c:spPr>
            <a:solidFill>
              <a:schemeClr val="accent4"/>
            </a:solidFill>
            <a:ln>
              <a:noFill/>
            </a:ln>
            <a:effectLst/>
          </c:spPr>
          <c:invertIfNegative val="0"/>
          <c:errBars>
            <c:errBarType val="both"/>
            <c:errValType val="cust"/>
            <c:noEndCap val="0"/>
            <c:plus>
              <c:numRef>
                <c:f>'WTP Main'!$FC$156:$FC$157</c:f>
                <c:numCache>
                  <c:formatCode>General</c:formatCode>
                  <c:ptCount val="2"/>
                </c:numCache>
              </c:numRef>
            </c:plus>
            <c:minus>
              <c:numRef>
                <c:f>'WTP Main'!$FB$156:$FB$157</c:f>
                <c:numCache>
                  <c:formatCode>General</c:formatCode>
                  <c:ptCount val="2"/>
                </c:numCache>
              </c:numRef>
            </c:minus>
            <c:spPr>
              <a:noFill/>
              <a:ln w="9525" cap="flat" cmpd="sng" algn="ctr">
                <a:solidFill>
                  <a:srgbClr val="000000"/>
                </a:solidFill>
                <a:round/>
              </a:ln>
              <a:effectLst/>
            </c:spPr>
          </c:errBars>
          <c:cat>
            <c:strRef>
              <c:f>'WTP Main'!$A$161:$A$162</c:f>
              <c:strCache>
                <c:ptCount val="2"/>
                <c:pt idx="0">
                  <c:v>Drought restrictions</c:v>
                </c:pt>
                <c:pt idx="1">
                  <c:v>Temporary use ban</c:v>
                </c:pt>
              </c:strCache>
            </c:strRef>
          </c:cat>
          <c:val>
            <c:numRef>
              <c:f>'WTP Main'!$FA$156:$FA$157</c:f>
              <c:numCache>
                <c:formatCode>0</c:formatCode>
                <c:ptCount val="2"/>
              </c:numCache>
            </c:numRef>
          </c:val>
          <c:extLst>
            <c:ext xmlns:c16="http://schemas.microsoft.com/office/drawing/2014/chart" uri="{C3380CC4-5D6E-409C-BE32-E72D297353CC}">
              <c16:uniqueId val="{00000000-C003-4D0A-BFBF-D6C6BFAE2073}"/>
            </c:ext>
          </c:extLst>
        </c:ser>
        <c:ser>
          <c:idx val="2"/>
          <c:order val="2"/>
          <c:tx>
            <c:strRef>
              <c:f>'WTP Main'!$FD$155</c:f>
              <c:strCache>
                <c:ptCount val="1"/>
                <c:pt idx="0">
                  <c:v>NHH</c:v>
                </c:pt>
              </c:strCache>
            </c:strRef>
          </c:tx>
          <c:spPr>
            <a:solidFill>
              <a:schemeClr val="accent6"/>
            </a:solidFill>
            <a:ln>
              <a:noFill/>
            </a:ln>
            <a:effectLst/>
          </c:spPr>
          <c:invertIfNegative val="0"/>
          <c:errBars>
            <c:errBarType val="both"/>
            <c:errValType val="cust"/>
            <c:noEndCap val="0"/>
            <c:plus>
              <c:numRef>
                <c:f>'WTP Main'!$FF$156:$FF$157</c:f>
                <c:numCache>
                  <c:formatCode>General</c:formatCode>
                  <c:ptCount val="2"/>
                </c:numCache>
              </c:numRef>
            </c:plus>
            <c:minus>
              <c:numRef>
                <c:f>'WTP Main'!$FE$156:$FE$157</c:f>
                <c:numCache>
                  <c:formatCode>General</c:formatCode>
                  <c:ptCount val="2"/>
                </c:numCache>
              </c:numRef>
            </c:minus>
            <c:spPr>
              <a:noFill/>
              <a:ln w="9525" cap="flat" cmpd="sng" algn="ctr">
                <a:solidFill>
                  <a:srgbClr val="000000"/>
                </a:solidFill>
                <a:round/>
              </a:ln>
              <a:effectLst/>
            </c:spPr>
          </c:errBars>
          <c:cat>
            <c:strRef>
              <c:f>'WTP Main'!$A$161:$A$162</c:f>
              <c:strCache>
                <c:ptCount val="2"/>
                <c:pt idx="0">
                  <c:v>Drought restrictions</c:v>
                </c:pt>
                <c:pt idx="1">
                  <c:v>Temporary use ban</c:v>
                </c:pt>
              </c:strCache>
            </c:strRef>
          </c:cat>
          <c:val>
            <c:numRef>
              <c:f>'WTP Main'!$FD$156:$FD$157</c:f>
              <c:numCache>
                <c:formatCode>0</c:formatCode>
                <c:ptCount val="2"/>
              </c:numCache>
            </c:numRef>
          </c:val>
          <c:extLst>
            <c:ext xmlns:c16="http://schemas.microsoft.com/office/drawing/2014/chart" uri="{C3380CC4-5D6E-409C-BE32-E72D297353CC}">
              <c16:uniqueId val="{00000001-C003-4D0A-BFBF-D6C6BFAE2073}"/>
            </c:ext>
          </c:extLst>
        </c:ser>
        <c:dLbls>
          <c:showLegendKey val="0"/>
          <c:showVal val="0"/>
          <c:showCatName val="0"/>
          <c:showSerName val="0"/>
          <c:showPercent val="0"/>
          <c:showBubbleSize val="0"/>
        </c:dLbls>
        <c:gapWidth val="219"/>
        <c:overlap val="-27"/>
        <c:axId val="-1160281216"/>
        <c:axId val="-1160280128"/>
      </c:barChart>
      <c:catAx>
        <c:axId val="-11602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80128"/>
        <c:crosses val="autoZero"/>
        <c:auto val="1"/>
        <c:lblAlgn val="ctr"/>
        <c:lblOffset val="100"/>
        <c:noMultiLvlLbl val="0"/>
      </c:catAx>
      <c:valAx>
        <c:axId val="-1160280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60281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ysClr val="windowText" lastClr="000000"/>
                </a:solidFill>
                <a:effectLst/>
              </a:rPr>
              <a:t>SSC WTP Unit Values and Range - Metering (£/HH metered/yr)</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Main'!$EX$220</c:f>
              <c:strCache>
                <c:ptCount val="1"/>
                <c:pt idx="0">
                  <c:v>ALL</c:v>
                </c:pt>
              </c:strCache>
            </c:strRef>
          </c:tx>
          <c:spPr>
            <a:solidFill>
              <a:schemeClr val="accent2"/>
            </a:solidFill>
            <a:ln>
              <a:noFill/>
            </a:ln>
            <a:effectLst/>
          </c:spPr>
          <c:invertIfNegative val="0"/>
          <c:errBars>
            <c:errBarType val="both"/>
            <c:errValType val="cust"/>
            <c:noEndCap val="0"/>
            <c:plus>
              <c:numRef>
                <c:f>'WTP Main'!$EZ$221:$EZ$222</c:f>
                <c:numCache>
                  <c:formatCode>General</c:formatCode>
                  <c:ptCount val="2"/>
                  <c:pt idx="0">
                    <c:v>11.711925249663604</c:v>
                  </c:pt>
                  <c:pt idx="1">
                    <c:v>0.62436372535764006</c:v>
                  </c:pt>
                </c:numCache>
              </c:numRef>
            </c:plus>
            <c:minus>
              <c:numRef>
                <c:f>'WTP Main'!$EY$221:$EY$222</c:f>
                <c:numCache>
                  <c:formatCode>General</c:formatCode>
                  <c:ptCount val="2"/>
                  <c:pt idx="0">
                    <c:v>5.3351542520680528</c:v>
                  </c:pt>
                  <c:pt idx="1">
                    <c:v>0.40763163340833525</c:v>
                  </c:pt>
                </c:numCache>
              </c:numRef>
            </c:minus>
            <c:spPr>
              <a:noFill/>
              <a:ln w="9525" cap="flat" cmpd="sng" algn="ctr">
                <a:solidFill>
                  <a:srgbClr val="000000"/>
                </a:solidFill>
                <a:round/>
              </a:ln>
              <a:effectLst/>
            </c:spPr>
          </c:errBars>
          <c:cat>
            <c:strRef>
              <c:f>'WTP Main'!$A$224:$A$225</c:f>
              <c:strCache>
                <c:ptCount val="2"/>
                <c:pt idx="0">
                  <c:v>Water metering</c:v>
                </c:pt>
                <c:pt idx="1">
                  <c:v>Giving customers control of their water usage</c:v>
                </c:pt>
              </c:strCache>
            </c:strRef>
          </c:cat>
          <c:val>
            <c:numRef>
              <c:f>'WTP Main'!$EX$221:$EX$222</c:f>
              <c:numCache>
                <c:formatCode>0</c:formatCode>
                <c:ptCount val="2"/>
                <c:pt idx="0">
                  <c:v>8.4145352887355376</c:v>
                </c:pt>
                <c:pt idx="1">
                  <c:v>0.51074095077462756</c:v>
                </c:pt>
              </c:numCache>
            </c:numRef>
          </c:val>
          <c:extLst>
            <c:ext xmlns:c16="http://schemas.microsoft.com/office/drawing/2014/chart" uri="{C3380CC4-5D6E-409C-BE32-E72D297353CC}">
              <c16:uniqueId val="{00000000-6220-4FF6-93DD-275801CD5AD6}"/>
            </c:ext>
          </c:extLst>
        </c:ser>
        <c:ser>
          <c:idx val="1"/>
          <c:order val="1"/>
          <c:tx>
            <c:strRef>
              <c:f>'WTP Main'!$FA$220</c:f>
              <c:strCache>
                <c:ptCount val="1"/>
                <c:pt idx="0">
                  <c:v>HH</c:v>
                </c:pt>
              </c:strCache>
            </c:strRef>
          </c:tx>
          <c:spPr>
            <a:solidFill>
              <a:schemeClr val="accent4"/>
            </a:solidFill>
            <a:ln>
              <a:noFill/>
            </a:ln>
            <a:effectLst/>
          </c:spPr>
          <c:invertIfNegative val="0"/>
          <c:errBars>
            <c:errBarType val="both"/>
            <c:errValType val="cust"/>
            <c:noEndCap val="0"/>
            <c:plus>
              <c:numRef>
                <c:f>'WTP Main'!$FC$221:$FC$222</c:f>
                <c:numCache>
                  <c:formatCode>General</c:formatCode>
                  <c:ptCount val="2"/>
                </c:numCache>
              </c:numRef>
            </c:plus>
            <c:minus>
              <c:numRef>
                <c:f>'WTP Main'!$FB$221:$FB$222</c:f>
                <c:numCache>
                  <c:formatCode>General</c:formatCode>
                  <c:ptCount val="2"/>
                </c:numCache>
              </c:numRef>
            </c:minus>
            <c:spPr>
              <a:noFill/>
              <a:ln w="9525" cap="flat" cmpd="sng" algn="ctr">
                <a:solidFill>
                  <a:srgbClr val="000000"/>
                </a:solidFill>
                <a:round/>
              </a:ln>
              <a:effectLst/>
            </c:spPr>
          </c:errBars>
          <c:cat>
            <c:strRef>
              <c:f>'WTP Main'!$A$224:$A$225</c:f>
              <c:strCache>
                <c:ptCount val="2"/>
                <c:pt idx="0">
                  <c:v>Water metering</c:v>
                </c:pt>
                <c:pt idx="1">
                  <c:v>Giving customers control of their water usage</c:v>
                </c:pt>
              </c:strCache>
            </c:strRef>
          </c:cat>
          <c:val>
            <c:numRef>
              <c:f>'WTP Main'!$FA$221:$FA$222</c:f>
              <c:numCache>
                <c:formatCode>0</c:formatCode>
                <c:ptCount val="2"/>
              </c:numCache>
            </c:numRef>
          </c:val>
          <c:extLst>
            <c:ext xmlns:c16="http://schemas.microsoft.com/office/drawing/2014/chart" uri="{C3380CC4-5D6E-409C-BE32-E72D297353CC}">
              <c16:uniqueId val="{00000000-6289-4A73-B5D4-C62DC2E573F6}"/>
            </c:ext>
          </c:extLst>
        </c:ser>
        <c:dLbls>
          <c:showLegendKey val="0"/>
          <c:showVal val="0"/>
          <c:showCatName val="0"/>
          <c:showSerName val="0"/>
          <c:showPercent val="0"/>
          <c:showBubbleSize val="0"/>
        </c:dLbls>
        <c:gapWidth val="219"/>
        <c:overlap val="-27"/>
        <c:axId val="-1194796816"/>
        <c:axId val="-1194796272"/>
      </c:barChart>
      <c:catAx>
        <c:axId val="-119479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96272"/>
        <c:crosses val="autoZero"/>
        <c:auto val="1"/>
        <c:lblAlgn val="ctr"/>
        <c:lblOffset val="100"/>
        <c:noMultiLvlLbl val="0"/>
      </c:catAx>
      <c:valAx>
        <c:axId val="-1194796272"/>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96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ysClr val="windowText" lastClr="000000"/>
                </a:solidFill>
                <a:effectLst/>
              </a:rPr>
              <a:t>SSC WTP Unit Values and Range - Environmental Protection (£/Hectare/yr)</a:t>
            </a:r>
            <a:endParaRPr lang="en-GB" sz="14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Main'!$EX$252</c:f>
              <c:strCache>
                <c:ptCount val="1"/>
                <c:pt idx="0">
                  <c:v>ALL</c:v>
                </c:pt>
              </c:strCache>
            </c:strRef>
          </c:tx>
          <c:spPr>
            <a:solidFill>
              <a:schemeClr val="accent2"/>
            </a:solidFill>
            <a:ln>
              <a:noFill/>
            </a:ln>
            <a:effectLst/>
          </c:spPr>
          <c:invertIfNegative val="0"/>
          <c:errBars>
            <c:errBarType val="both"/>
            <c:errValType val="cust"/>
            <c:noEndCap val="0"/>
            <c:plus>
              <c:numRef>
                <c:f>'WTP Main'!$EZ$253:$EZ$254</c:f>
                <c:numCache>
                  <c:formatCode>General</c:formatCode>
                  <c:ptCount val="2"/>
                  <c:pt idx="0">
                    <c:v>41862.851046847347</c:v>
                  </c:pt>
                  <c:pt idx="1">
                    <c:v>12421.168196054197</c:v>
                  </c:pt>
                </c:numCache>
              </c:numRef>
            </c:plus>
            <c:minus>
              <c:numRef>
                <c:f>'WTP Main'!$EY$253:$EY$254</c:f>
                <c:numCache>
                  <c:formatCode>General</c:formatCode>
                  <c:ptCount val="2"/>
                  <c:pt idx="0">
                    <c:v>15264.038327706372</c:v>
                  </c:pt>
                  <c:pt idx="1">
                    <c:v>8904.0314979632494</c:v>
                  </c:pt>
                </c:numCache>
              </c:numRef>
            </c:minus>
            <c:spPr>
              <a:noFill/>
              <a:ln w="9525" cap="flat" cmpd="sng" algn="ctr">
                <a:solidFill>
                  <a:srgbClr val="000000"/>
                </a:solidFill>
                <a:round/>
              </a:ln>
              <a:effectLst/>
            </c:spPr>
          </c:errBars>
          <c:cat>
            <c:strRef>
              <c:f>'WTP Main'!$A$256:$A$257</c:f>
              <c:strCache>
                <c:ptCount val="2"/>
                <c:pt idx="0">
                  <c:v>Protecting wildlife habitats</c:v>
                </c:pt>
                <c:pt idx="1">
                  <c:v>Managing impacts on rivers &amp; streams</c:v>
                </c:pt>
              </c:strCache>
            </c:strRef>
          </c:cat>
          <c:val>
            <c:numRef>
              <c:f>'WTP Main'!$EX$253:$EX$254</c:f>
              <c:numCache>
                <c:formatCode>0</c:formatCode>
                <c:ptCount val="2"/>
                <c:pt idx="0">
                  <c:v>19108.591560756071</c:v>
                </c:pt>
                <c:pt idx="1">
                  <c:v>16303.720333731346</c:v>
                </c:pt>
              </c:numCache>
            </c:numRef>
          </c:val>
          <c:extLst>
            <c:ext xmlns:c16="http://schemas.microsoft.com/office/drawing/2014/chart" uri="{C3380CC4-5D6E-409C-BE32-E72D297353CC}">
              <c16:uniqueId val="{00000000-763B-4AB9-B48C-8CE9E6E53ADA}"/>
            </c:ext>
          </c:extLst>
        </c:ser>
        <c:ser>
          <c:idx val="1"/>
          <c:order val="1"/>
          <c:tx>
            <c:strRef>
              <c:f>'WTP Main'!$FA$252</c:f>
              <c:strCache>
                <c:ptCount val="1"/>
                <c:pt idx="0">
                  <c:v>HH</c:v>
                </c:pt>
              </c:strCache>
            </c:strRef>
          </c:tx>
          <c:spPr>
            <a:solidFill>
              <a:schemeClr val="accent4"/>
            </a:solidFill>
            <a:ln>
              <a:noFill/>
            </a:ln>
            <a:effectLst/>
          </c:spPr>
          <c:invertIfNegative val="0"/>
          <c:errBars>
            <c:errBarType val="both"/>
            <c:errValType val="cust"/>
            <c:noEndCap val="0"/>
            <c:plus>
              <c:numRef>
                <c:f>'WTP Main'!$FC$253:$FC$254</c:f>
                <c:numCache>
                  <c:formatCode>General</c:formatCode>
                  <c:ptCount val="2"/>
                </c:numCache>
              </c:numRef>
            </c:plus>
            <c:minus>
              <c:numRef>
                <c:f>'WTP Main'!$FB$253:$FB$254</c:f>
                <c:numCache>
                  <c:formatCode>General</c:formatCode>
                  <c:ptCount val="2"/>
                </c:numCache>
              </c:numRef>
            </c:minus>
            <c:spPr>
              <a:noFill/>
              <a:ln w="9525" cap="flat" cmpd="sng" algn="ctr">
                <a:solidFill>
                  <a:srgbClr val="000000"/>
                </a:solidFill>
                <a:round/>
              </a:ln>
              <a:effectLst/>
            </c:spPr>
          </c:errBars>
          <c:cat>
            <c:strRef>
              <c:f>'WTP Main'!$A$256:$A$257</c:f>
              <c:strCache>
                <c:ptCount val="2"/>
                <c:pt idx="0">
                  <c:v>Protecting wildlife habitats</c:v>
                </c:pt>
                <c:pt idx="1">
                  <c:v>Managing impacts on rivers &amp; streams</c:v>
                </c:pt>
              </c:strCache>
            </c:strRef>
          </c:cat>
          <c:val>
            <c:numRef>
              <c:f>'WTP Main'!$FA$253:$FA$254</c:f>
              <c:numCache>
                <c:formatCode>0</c:formatCode>
                <c:ptCount val="2"/>
              </c:numCache>
            </c:numRef>
          </c:val>
          <c:extLst>
            <c:ext xmlns:c16="http://schemas.microsoft.com/office/drawing/2014/chart" uri="{C3380CC4-5D6E-409C-BE32-E72D297353CC}">
              <c16:uniqueId val="{00000000-86E1-4597-8430-2194CC212DB5}"/>
            </c:ext>
          </c:extLst>
        </c:ser>
        <c:ser>
          <c:idx val="2"/>
          <c:order val="2"/>
          <c:tx>
            <c:strRef>
              <c:f>'WTP Main'!$FD$252</c:f>
              <c:strCache>
                <c:ptCount val="1"/>
                <c:pt idx="0">
                  <c:v>NHH</c:v>
                </c:pt>
              </c:strCache>
            </c:strRef>
          </c:tx>
          <c:spPr>
            <a:solidFill>
              <a:schemeClr val="accent6"/>
            </a:solidFill>
            <a:ln>
              <a:noFill/>
            </a:ln>
            <a:effectLst/>
          </c:spPr>
          <c:invertIfNegative val="0"/>
          <c:errBars>
            <c:errBarType val="both"/>
            <c:errValType val="cust"/>
            <c:noEndCap val="0"/>
            <c:plus>
              <c:numRef>
                <c:f>'WTP Main'!$FF$253:$FF$254</c:f>
                <c:numCache>
                  <c:formatCode>General</c:formatCode>
                  <c:ptCount val="2"/>
                </c:numCache>
              </c:numRef>
            </c:plus>
            <c:minus>
              <c:numRef>
                <c:f>'WTP Main'!$FE$253:$FE$254</c:f>
                <c:numCache>
                  <c:formatCode>General</c:formatCode>
                  <c:ptCount val="2"/>
                </c:numCache>
              </c:numRef>
            </c:minus>
            <c:spPr>
              <a:noFill/>
              <a:ln w="9525" cap="flat" cmpd="sng" algn="ctr">
                <a:solidFill>
                  <a:srgbClr val="000000"/>
                </a:solidFill>
                <a:round/>
              </a:ln>
              <a:effectLst/>
            </c:spPr>
          </c:errBars>
          <c:cat>
            <c:strRef>
              <c:f>'WTP Main'!$A$256:$A$257</c:f>
              <c:strCache>
                <c:ptCount val="2"/>
                <c:pt idx="0">
                  <c:v>Protecting wildlife habitats</c:v>
                </c:pt>
                <c:pt idx="1">
                  <c:v>Managing impacts on rivers &amp; streams</c:v>
                </c:pt>
              </c:strCache>
            </c:strRef>
          </c:cat>
          <c:val>
            <c:numRef>
              <c:f>'WTP Main'!$FD$253:$FD$254</c:f>
              <c:numCache>
                <c:formatCode>0</c:formatCode>
                <c:ptCount val="2"/>
              </c:numCache>
            </c:numRef>
          </c:val>
          <c:extLst>
            <c:ext xmlns:c16="http://schemas.microsoft.com/office/drawing/2014/chart" uri="{C3380CC4-5D6E-409C-BE32-E72D297353CC}">
              <c16:uniqueId val="{00000001-86E1-4597-8430-2194CC212DB5}"/>
            </c:ext>
          </c:extLst>
        </c:ser>
        <c:dLbls>
          <c:showLegendKey val="0"/>
          <c:showVal val="0"/>
          <c:showCatName val="0"/>
          <c:showSerName val="0"/>
          <c:showPercent val="0"/>
          <c:showBubbleSize val="0"/>
        </c:dLbls>
        <c:gapWidth val="219"/>
        <c:overlap val="-27"/>
        <c:axId val="-1194787568"/>
        <c:axId val="-1194784304"/>
      </c:barChart>
      <c:catAx>
        <c:axId val="-119478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84304"/>
        <c:crosses val="autoZero"/>
        <c:auto val="1"/>
        <c:lblAlgn val="ctr"/>
        <c:lblOffset val="100"/>
        <c:noMultiLvlLbl val="0"/>
      </c:catAx>
      <c:valAx>
        <c:axId val="-1194784304"/>
        <c:scaling>
          <c:orientation val="minMax"/>
          <c:max val="2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87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ysClr val="windowText" lastClr="000000"/>
                </a:solidFill>
                <a:effectLst/>
              </a:rPr>
              <a:t>SSC WTP Unit Values and Range - Leakage (£/MLD/yr)</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Main'!$EX$188</c:f>
              <c:strCache>
                <c:ptCount val="1"/>
                <c:pt idx="0">
                  <c:v>ALL</c:v>
                </c:pt>
              </c:strCache>
            </c:strRef>
          </c:tx>
          <c:spPr>
            <a:solidFill>
              <a:schemeClr val="accent2"/>
            </a:solidFill>
            <a:ln>
              <a:noFill/>
            </a:ln>
            <a:effectLst/>
          </c:spPr>
          <c:invertIfNegative val="0"/>
          <c:errBars>
            <c:errBarType val="both"/>
            <c:errValType val="cust"/>
            <c:noEndCap val="0"/>
            <c:plus>
              <c:numRef>
                <c:f>'WTP Main'!$EZ$189</c:f>
                <c:numCache>
                  <c:formatCode>General</c:formatCode>
                  <c:ptCount val="1"/>
                  <c:pt idx="0">
                    <c:v>280238.35713307821</c:v>
                  </c:pt>
                </c:numCache>
              </c:numRef>
            </c:plus>
            <c:minus>
              <c:numRef>
                <c:f>'WTP Main'!$EY$189</c:f>
                <c:numCache>
                  <c:formatCode>General</c:formatCode>
                  <c:ptCount val="1"/>
                  <c:pt idx="0">
                    <c:v>127662.25645730767</c:v>
                  </c:pt>
                </c:numCache>
              </c:numRef>
            </c:minus>
            <c:spPr>
              <a:noFill/>
              <a:ln w="9525" cap="flat" cmpd="sng" algn="ctr">
                <a:solidFill>
                  <a:srgbClr val="000000"/>
                </a:solidFill>
                <a:round/>
              </a:ln>
              <a:effectLst/>
            </c:spPr>
          </c:errBars>
          <c:cat>
            <c:strRef>
              <c:f>'WTP Main'!$A$192</c:f>
              <c:strCache>
                <c:ptCount val="1"/>
                <c:pt idx="0">
                  <c:v>Leakage</c:v>
                </c:pt>
              </c:strCache>
            </c:strRef>
          </c:cat>
          <c:val>
            <c:numRef>
              <c:f>'WTP Main'!$EX$189</c:f>
              <c:numCache>
                <c:formatCode>0</c:formatCode>
                <c:ptCount val="1"/>
                <c:pt idx="0">
                  <c:v>170328.42664507939</c:v>
                </c:pt>
              </c:numCache>
            </c:numRef>
          </c:val>
          <c:extLst>
            <c:ext xmlns:c16="http://schemas.microsoft.com/office/drawing/2014/chart" uri="{C3380CC4-5D6E-409C-BE32-E72D297353CC}">
              <c16:uniqueId val="{00000000-08D4-4FCC-998A-725B770C54BD}"/>
            </c:ext>
          </c:extLst>
        </c:ser>
        <c:ser>
          <c:idx val="1"/>
          <c:order val="1"/>
          <c:tx>
            <c:strRef>
              <c:f>'WTP Main'!$FA$188</c:f>
              <c:strCache>
                <c:ptCount val="1"/>
                <c:pt idx="0">
                  <c:v>HH</c:v>
                </c:pt>
              </c:strCache>
            </c:strRef>
          </c:tx>
          <c:spPr>
            <a:solidFill>
              <a:schemeClr val="accent4"/>
            </a:solidFill>
            <a:ln>
              <a:noFill/>
            </a:ln>
            <a:effectLst/>
          </c:spPr>
          <c:invertIfNegative val="0"/>
          <c:errBars>
            <c:errBarType val="both"/>
            <c:errValType val="cust"/>
            <c:noEndCap val="0"/>
            <c:plus>
              <c:numRef>
                <c:f>'WTP Main'!$FC$189</c:f>
                <c:numCache>
                  <c:formatCode>General</c:formatCode>
                  <c:ptCount val="1"/>
                </c:numCache>
              </c:numRef>
            </c:plus>
            <c:minus>
              <c:numRef>
                <c:f>'WTP Main'!$FB$189</c:f>
                <c:numCache>
                  <c:formatCode>General</c:formatCode>
                  <c:ptCount val="1"/>
                </c:numCache>
              </c:numRef>
            </c:minus>
            <c:spPr>
              <a:noFill/>
              <a:ln w="9525" cap="flat" cmpd="sng" algn="ctr">
                <a:solidFill>
                  <a:srgbClr val="000000"/>
                </a:solidFill>
                <a:round/>
              </a:ln>
              <a:effectLst/>
            </c:spPr>
          </c:errBars>
          <c:cat>
            <c:strRef>
              <c:f>'WTP Main'!$A$192</c:f>
              <c:strCache>
                <c:ptCount val="1"/>
                <c:pt idx="0">
                  <c:v>Leakage</c:v>
                </c:pt>
              </c:strCache>
            </c:strRef>
          </c:cat>
          <c:val>
            <c:numRef>
              <c:f>'WTP Main'!$FA$189</c:f>
              <c:numCache>
                <c:formatCode>0</c:formatCode>
                <c:ptCount val="1"/>
              </c:numCache>
            </c:numRef>
          </c:val>
          <c:extLst>
            <c:ext xmlns:c16="http://schemas.microsoft.com/office/drawing/2014/chart" uri="{C3380CC4-5D6E-409C-BE32-E72D297353CC}">
              <c16:uniqueId val="{00000000-6899-4A4A-8EED-6C4B12F12CBC}"/>
            </c:ext>
          </c:extLst>
        </c:ser>
        <c:ser>
          <c:idx val="2"/>
          <c:order val="2"/>
          <c:tx>
            <c:strRef>
              <c:f>'WTP Main'!$FD$188</c:f>
              <c:strCache>
                <c:ptCount val="1"/>
                <c:pt idx="0">
                  <c:v>NHH</c:v>
                </c:pt>
              </c:strCache>
            </c:strRef>
          </c:tx>
          <c:spPr>
            <a:solidFill>
              <a:schemeClr val="accent6"/>
            </a:solidFill>
            <a:ln>
              <a:noFill/>
            </a:ln>
            <a:effectLst/>
          </c:spPr>
          <c:invertIfNegative val="0"/>
          <c:errBars>
            <c:errBarType val="both"/>
            <c:errValType val="cust"/>
            <c:noEndCap val="0"/>
            <c:plus>
              <c:numRef>
                <c:f>'WTP Main'!$FF$189</c:f>
                <c:numCache>
                  <c:formatCode>General</c:formatCode>
                  <c:ptCount val="1"/>
                </c:numCache>
              </c:numRef>
            </c:plus>
            <c:minus>
              <c:numRef>
                <c:f>'WTP Main'!$FE$189</c:f>
                <c:numCache>
                  <c:formatCode>General</c:formatCode>
                  <c:ptCount val="1"/>
                </c:numCache>
              </c:numRef>
            </c:minus>
            <c:spPr>
              <a:noFill/>
              <a:ln w="9525" cap="flat" cmpd="sng" algn="ctr">
                <a:solidFill>
                  <a:srgbClr val="000000"/>
                </a:solidFill>
                <a:round/>
              </a:ln>
              <a:effectLst/>
            </c:spPr>
          </c:errBars>
          <c:cat>
            <c:strRef>
              <c:f>'WTP Main'!$A$192</c:f>
              <c:strCache>
                <c:ptCount val="1"/>
                <c:pt idx="0">
                  <c:v>Leakage</c:v>
                </c:pt>
              </c:strCache>
            </c:strRef>
          </c:cat>
          <c:val>
            <c:numRef>
              <c:f>'WTP Main'!$FD$189</c:f>
              <c:numCache>
                <c:formatCode>0</c:formatCode>
                <c:ptCount val="1"/>
              </c:numCache>
            </c:numRef>
          </c:val>
          <c:extLst>
            <c:ext xmlns:c16="http://schemas.microsoft.com/office/drawing/2014/chart" uri="{C3380CC4-5D6E-409C-BE32-E72D297353CC}">
              <c16:uniqueId val="{00000001-6899-4A4A-8EED-6C4B12F12CBC}"/>
            </c:ext>
          </c:extLst>
        </c:ser>
        <c:dLbls>
          <c:showLegendKey val="0"/>
          <c:showVal val="0"/>
          <c:showCatName val="0"/>
          <c:showSerName val="0"/>
          <c:showPercent val="0"/>
          <c:showBubbleSize val="0"/>
        </c:dLbls>
        <c:gapWidth val="219"/>
        <c:overlap val="-27"/>
        <c:axId val="-1194793008"/>
        <c:axId val="-1194783760"/>
      </c:barChart>
      <c:catAx>
        <c:axId val="-119479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83760"/>
        <c:crosses val="autoZero"/>
        <c:auto val="1"/>
        <c:lblAlgn val="ctr"/>
        <c:lblOffset val="100"/>
        <c:noMultiLvlLbl val="0"/>
      </c:catAx>
      <c:valAx>
        <c:axId val="-1194783760"/>
        <c:scaling>
          <c:orientation val="minMax"/>
          <c:max val="4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93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SSW HH WTP Unit Values and Range</a:t>
            </a:r>
            <a:r>
              <a:rPr lang="en-US" b="1" baseline="0"/>
              <a:t> - Services at Property</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Main'!$D$128</c:f>
              <c:strCache>
                <c:ptCount val="1"/>
                <c:pt idx="0">
                  <c:v>COMBINED</c:v>
                </c:pt>
              </c:strCache>
            </c:strRef>
          </c:tx>
          <c:spPr>
            <a:solidFill>
              <a:schemeClr val="accent2"/>
            </a:solidFill>
            <a:ln>
              <a:noFill/>
            </a:ln>
            <a:effectLst/>
          </c:spPr>
          <c:invertIfNegative val="0"/>
          <c:errBars>
            <c:errBarType val="both"/>
            <c:errValType val="cust"/>
            <c:noEndCap val="0"/>
            <c:plus>
              <c:numRef>
                <c:f>'WTP Main'!$V$129:$V$136</c:f>
                <c:numCache>
                  <c:formatCode>General</c:formatCode>
                  <c:ptCount val="8"/>
                  <c:pt idx="0">
                    <c:v>257798.01010782697</c:v>
                  </c:pt>
                  <c:pt idx="1">
                    <c:v>53744.901833084463</c:v>
                  </c:pt>
                  <c:pt idx="2">
                    <c:v>486.93879982275212</c:v>
                  </c:pt>
                  <c:pt idx="3">
                    <c:v>475.5214970136376</c:v>
                  </c:pt>
                  <c:pt idx="4">
                    <c:v>249.45808618793262</c:v>
                  </c:pt>
                  <c:pt idx="5">
                    <c:v>44.303185754744149</c:v>
                  </c:pt>
                  <c:pt idx="6">
                    <c:v>27.221126795828013</c:v>
                  </c:pt>
                  <c:pt idx="7">
                    <c:v>9.8644757979983737</c:v>
                  </c:pt>
                </c:numCache>
              </c:numRef>
            </c:plus>
            <c:minus>
              <c:numRef>
                <c:f>'WTP Main'!$U$129:$U$136</c:f>
                <c:numCache>
                  <c:formatCode>General</c:formatCode>
                  <c:ptCount val="8"/>
                  <c:pt idx="0">
                    <c:v>61116.114194607362</c:v>
                  </c:pt>
                  <c:pt idx="1">
                    <c:v>15533.875701775276</c:v>
                  </c:pt>
                  <c:pt idx="2">
                    <c:v>150.99014382685078</c:v>
                  </c:pt>
                  <c:pt idx="3">
                    <c:v>160.55067962915862</c:v>
                  </c:pt>
                  <c:pt idx="4">
                    <c:v>92.292343426012991</c:v>
                  </c:pt>
                  <c:pt idx="5">
                    <c:v>68.657670025300732</c:v>
                  </c:pt>
                  <c:pt idx="6">
                    <c:v>28.850497960031362</c:v>
                  </c:pt>
                  <c:pt idx="7">
                    <c:v>10.643461465030125</c:v>
                  </c:pt>
                </c:numCache>
              </c:numRef>
            </c:minus>
            <c:spPr>
              <a:noFill/>
              <a:ln w="9525" cap="flat" cmpd="sng" algn="ctr">
                <a:solidFill>
                  <a:sysClr val="windowText" lastClr="000000"/>
                </a:solidFill>
                <a:round/>
              </a:ln>
              <a:effectLst/>
            </c:spPr>
          </c:errBars>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Main'!$D$129:$D$136</c:f>
              <c:numCache>
                <c:formatCode>"£"#,##0</c:formatCode>
                <c:ptCount val="8"/>
                <c:pt idx="0">
                  <c:v>76407.098861916034</c:v>
                </c:pt>
                <c:pt idx="1">
                  <c:v>19509.759207595394</c:v>
                </c:pt>
                <c:pt idx="2">
                  <c:v>188.73767978356349</c:v>
                </c:pt>
                <c:pt idx="3">
                  <c:v>200.68834953644827</c:v>
                </c:pt>
                <c:pt idx="4">
                  <c:v>115.36542928251625</c:v>
                </c:pt>
                <c:pt idx="5">
                  <c:v>85.822087531625911</c:v>
                </c:pt>
                <c:pt idx="6">
                  <c:v>36.063122450039202</c:v>
                </c:pt>
                <c:pt idx="7">
                  <c:v>13.304326831287657</c:v>
                </c:pt>
              </c:numCache>
            </c:numRef>
          </c:val>
          <c:extLst>
            <c:ext xmlns:c16="http://schemas.microsoft.com/office/drawing/2014/chart" uri="{C3380CC4-5D6E-409C-BE32-E72D297353CC}">
              <c16:uniqueId val="{00000000-9C32-4EB5-B5F2-792AE2A86C85}"/>
            </c:ext>
          </c:extLst>
        </c:ser>
        <c:ser>
          <c:idx val="1"/>
          <c:order val="1"/>
          <c:tx>
            <c:strRef>
              <c:f>'WTP Main'!$E$128</c:f>
              <c:strCache>
                <c:ptCount val="1"/>
                <c:pt idx="0">
                  <c:v>WTPCore_DCE</c:v>
                </c:pt>
              </c:strCache>
            </c:strRef>
          </c:tx>
          <c:spPr>
            <a:solidFill>
              <a:schemeClr val="accent4"/>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Main'!$E$129:$E$136</c:f>
              <c:numCache>
                <c:formatCode>"£"#,##0</c:formatCode>
                <c:ptCount val="8"/>
                <c:pt idx="0">
                  <c:v>759.38481661325</c:v>
                </c:pt>
                <c:pt idx="1">
                  <c:v>479.73112666286153</c:v>
                </c:pt>
                <c:pt idx="2">
                  <c:v>162.10819588181059</c:v>
                </c:pt>
                <c:pt idx="3">
                  <c:v>6.1861063528998557</c:v>
                </c:pt>
                <c:pt idx="4">
                  <c:v>173.83878023943072</c:v>
                </c:pt>
                <c:pt idx="5">
                  <c:v>28.111247840776404</c:v>
                </c:pt>
                <c:pt idx="6">
                  <c:v>41.08733075345431</c:v>
                </c:pt>
                <c:pt idx="7">
                  <c:v>25.634921578785622</c:v>
                </c:pt>
              </c:numCache>
            </c:numRef>
          </c:val>
          <c:extLst>
            <c:ext xmlns:c16="http://schemas.microsoft.com/office/drawing/2014/chart" uri="{C3380CC4-5D6E-409C-BE32-E72D297353CC}">
              <c16:uniqueId val="{00000001-9C32-4EB5-B5F2-792AE2A86C85}"/>
            </c:ext>
          </c:extLst>
        </c:ser>
        <c:ser>
          <c:idx val="2"/>
          <c:order val="2"/>
          <c:tx>
            <c:strRef>
              <c:f>'WTP Main'!$F$128</c:f>
              <c:strCache>
                <c:ptCount val="1"/>
                <c:pt idx="0">
                  <c:v>WTPCore_DCE2</c:v>
                </c:pt>
              </c:strCache>
            </c:strRef>
          </c:tx>
          <c:spPr>
            <a:solidFill>
              <a:schemeClr val="accent6">
                <a:lumMod val="20000"/>
                <a:lumOff val="8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Main'!$F$129:$F$136</c:f>
              <c:numCache>
                <c:formatCode>"£"#,##0</c:formatCode>
                <c:ptCount val="8"/>
                <c:pt idx="0">
                  <c:v>253.20631561301954</c:v>
                </c:pt>
                <c:pt idx="1">
                  <c:v>370.29626646056914</c:v>
                </c:pt>
                <c:pt idx="2">
                  <c:v>186.16470937063306</c:v>
                </c:pt>
                <c:pt idx="3">
                  <c:v>795.09022080349519</c:v>
                </c:pt>
                <c:pt idx="4">
                  <c:v>84.231716516748989</c:v>
                </c:pt>
                <c:pt idx="5">
                  <c:v>141.20106972505607</c:v>
                </c:pt>
                <c:pt idx="6">
                  <c:v>32.700586661683175</c:v>
                </c:pt>
                <c:pt idx="7">
                  <c:v>24.919943395889828</c:v>
                </c:pt>
              </c:numCache>
            </c:numRef>
          </c:val>
          <c:extLst>
            <c:ext xmlns:c16="http://schemas.microsoft.com/office/drawing/2014/chart" uri="{C3380CC4-5D6E-409C-BE32-E72D297353CC}">
              <c16:uniqueId val="{00000002-9C32-4EB5-B5F2-792AE2A86C85}"/>
            </c:ext>
          </c:extLst>
        </c:ser>
        <c:ser>
          <c:idx val="3"/>
          <c:order val="3"/>
          <c:tx>
            <c:strRef>
              <c:f>'WTP Main'!$G$128</c:f>
              <c:strCache>
                <c:ptCount val="1"/>
                <c:pt idx="0">
                  <c:v>WTP core_DCE_Private</c:v>
                </c:pt>
              </c:strCache>
            </c:strRef>
          </c:tx>
          <c:spPr>
            <a:solidFill>
              <a:schemeClr val="accent2">
                <a:lumMod val="6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Main'!$G$129:$G$136</c:f>
              <c:numCache>
                <c:formatCode>"£"#,##0</c:formatCode>
                <c:ptCount val="8"/>
                <c:pt idx="0">
                  <c:v>1978.0382947710405</c:v>
                </c:pt>
                <c:pt idx="1">
                  <c:v>659.34609825701364</c:v>
                </c:pt>
                <c:pt idx="2">
                  <c:v>332.23085726829703</c:v>
                </c:pt>
                <c:pt idx="3">
                  <c:v>12.419579523203231</c:v>
                </c:pt>
                <c:pt idx="4">
                  <c:v>266.0120465381745</c:v>
                </c:pt>
                <c:pt idx="5">
                  <c:v>55.419176362119686</c:v>
                </c:pt>
                <c:pt idx="6">
                  <c:v>54.282372744435165</c:v>
                </c:pt>
                <c:pt idx="7">
                  <c:v>37.798720288009839</c:v>
                </c:pt>
              </c:numCache>
            </c:numRef>
          </c:val>
          <c:extLst>
            <c:ext xmlns:c16="http://schemas.microsoft.com/office/drawing/2014/chart" uri="{C3380CC4-5D6E-409C-BE32-E72D297353CC}">
              <c16:uniqueId val="{00000003-9C32-4EB5-B5F2-792AE2A86C85}"/>
            </c:ext>
          </c:extLst>
        </c:ser>
        <c:ser>
          <c:idx val="4"/>
          <c:order val="4"/>
          <c:tx>
            <c:strRef>
              <c:f>'WTP Main'!$H$128</c:f>
              <c:strCache>
                <c:ptCount val="1"/>
                <c:pt idx="0">
                  <c:v>WTPCore_DCE2_LowBill</c:v>
                </c:pt>
              </c:strCache>
            </c:strRef>
          </c:tx>
          <c:spPr>
            <a:solidFill>
              <a:schemeClr val="accent4">
                <a:lumMod val="6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Main'!$H$129:$H$136</c:f>
              <c:numCache>
                <c:formatCode>"£"#,##0</c:formatCode>
                <c:ptCount val="8"/>
                <c:pt idx="0">
                  <c:v>245.57858235732843</c:v>
                </c:pt>
                <c:pt idx="1">
                  <c:v>423.08938780164499</c:v>
                </c:pt>
                <c:pt idx="2">
                  <c:v>128.69078067320214</c:v>
                </c:pt>
                <c:pt idx="3">
                  <c:v>623.5022304003802</c:v>
                </c:pt>
                <c:pt idx="4">
                  <c:v>54.109315213302722</c:v>
                </c:pt>
                <c:pt idx="5">
                  <c:v>103.72266941127261</c:v>
                </c:pt>
                <c:pt idx="6">
                  <c:v>28.781615067329334</c:v>
                </c:pt>
                <c:pt idx="7">
                  <c:v>19.699482664623343</c:v>
                </c:pt>
              </c:numCache>
            </c:numRef>
          </c:val>
          <c:extLst>
            <c:ext xmlns:c16="http://schemas.microsoft.com/office/drawing/2014/chart" uri="{C3380CC4-5D6E-409C-BE32-E72D297353CC}">
              <c16:uniqueId val="{00000004-9C32-4EB5-B5F2-792AE2A86C85}"/>
            </c:ext>
          </c:extLst>
        </c:ser>
        <c:ser>
          <c:idx val="5"/>
          <c:order val="5"/>
          <c:tx>
            <c:strRef>
              <c:f>'WTP Main'!$I$128</c:f>
              <c:strCache>
                <c:ptCount val="1"/>
                <c:pt idx="0">
                  <c:v>WTPPR14</c:v>
                </c:pt>
              </c:strCache>
            </c:strRef>
          </c:tx>
          <c:spPr>
            <a:solidFill>
              <a:schemeClr val="accent6">
                <a:lumMod val="6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Main'!$I$129:$I$136</c:f>
              <c:numCache>
                <c:formatCode>"£"#,##0</c:formatCode>
                <c:ptCount val="8"/>
                <c:pt idx="2">
                  <c:v>326.02892780541464</c:v>
                </c:pt>
                <c:pt idx="3">
                  <c:v>0.8364706387713341</c:v>
                </c:pt>
                <c:pt idx="4">
                  <c:v>172.3452581328286</c:v>
                </c:pt>
                <c:pt idx="5">
                  <c:v>169.0520366398446</c:v>
                </c:pt>
              </c:numCache>
            </c:numRef>
          </c:val>
          <c:extLst>
            <c:ext xmlns:c16="http://schemas.microsoft.com/office/drawing/2014/chart" uri="{C3380CC4-5D6E-409C-BE32-E72D297353CC}">
              <c16:uniqueId val="{00000005-9C32-4EB5-B5F2-792AE2A86C85}"/>
            </c:ext>
          </c:extLst>
        </c:ser>
        <c:ser>
          <c:idx val="6"/>
          <c:order val="6"/>
          <c:tx>
            <c:strRef>
              <c:f>'WTP Main'!$J$128</c:f>
              <c:strCache>
                <c:ptCount val="1"/>
                <c:pt idx="0">
                  <c:v>ExternalWTP14</c:v>
                </c:pt>
              </c:strCache>
            </c:strRef>
          </c:tx>
          <c:spPr>
            <a:solidFill>
              <a:schemeClr val="accent2">
                <a:lumMod val="80000"/>
                <a:lumOff val="2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Main'!$J$129:$J$136</c:f>
              <c:numCache>
                <c:formatCode>"£"#,##0</c:formatCode>
                <c:ptCount val="8"/>
                <c:pt idx="2">
                  <c:v>163.07175072673778</c:v>
                </c:pt>
                <c:pt idx="3">
                  <c:v>3.091722097041655</c:v>
                </c:pt>
                <c:pt idx="4">
                  <c:v>188.70044774391252</c:v>
                </c:pt>
                <c:pt idx="5">
                  <c:v>114.02932950968739</c:v>
                </c:pt>
                <c:pt idx="6">
                  <c:v>31.311949808830789</c:v>
                </c:pt>
              </c:numCache>
            </c:numRef>
          </c:val>
          <c:extLst>
            <c:ext xmlns:c16="http://schemas.microsoft.com/office/drawing/2014/chart" uri="{C3380CC4-5D6E-409C-BE32-E72D297353CC}">
              <c16:uniqueId val="{00000006-9C32-4EB5-B5F2-792AE2A86C85}"/>
            </c:ext>
          </c:extLst>
        </c:ser>
        <c:ser>
          <c:idx val="7"/>
          <c:order val="7"/>
          <c:tx>
            <c:strRef>
              <c:f>'WTP Main'!$K$128</c:f>
              <c:strCache>
                <c:ptCount val="1"/>
                <c:pt idx="0">
                  <c:v>ExternalWTP19</c:v>
                </c:pt>
              </c:strCache>
            </c:strRef>
          </c:tx>
          <c:spPr>
            <a:solidFill>
              <a:srgbClr val="FF66CC"/>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Main'!$K$129:$K$136</c:f>
              <c:numCache>
                <c:formatCode>"£"#,##0</c:formatCode>
                <c:ptCount val="8"/>
                <c:pt idx="0">
                  <c:v>475.2555828363661</c:v>
                </c:pt>
                <c:pt idx="2">
                  <c:v>168.19257684749601</c:v>
                </c:pt>
                <c:pt idx="4">
                  <c:v>237.81800411117976</c:v>
                </c:pt>
                <c:pt idx="5">
                  <c:v>78.685182782710712</c:v>
                </c:pt>
                <c:pt idx="6">
                  <c:v>46.549225483577779</c:v>
                </c:pt>
              </c:numCache>
            </c:numRef>
          </c:val>
          <c:extLst>
            <c:ext xmlns:c16="http://schemas.microsoft.com/office/drawing/2014/chart" uri="{C3380CC4-5D6E-409C-BE32-E72D297353CC}">
              <c16:uniqueId val="{00000000-20DF-45C3-81C1-43FE75865F54}"/>
            </c:ext>
          </c:extLst>
        </c:ser>
        <c:ser>
          <c:idx val="8"/>
          <c:order val="8"/>
          <c:tx>
            <c:strRef>
              <c:f>'WTP Main'!$L$128</c:f>
              <c:strCache>
                <c:ptCount val="1"/>
                <c:pt idx="0">
                  <c:v>WTPCore_MaxDiff</c:v>
                </c:pt>
              </c:strCache>
            </c:strRef>
          </c:tx>
          <c:spPr>
            <a:solidFill>
              <a:schemeClr val="accent6">
                <a:lumMod val="80000"/>
                <a:lumOff val="2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Main'!$L$129:$L$136</c:f>
              <c:numCache>
                <c:formatCode>"£"#,##0</c:formatCode>
                <c:ptCount val="8"/>
                <c:pt idx="0">
                  <c:v>3395.5484072258</c:v>
                </c:pt>
                <c:pt idx="1">
                  <c:v>494.79223083574158</c:v>
                </c:pt>
                <c:pt idx="2">
                  <c:v>604.3256418635425</c:v>
                </c:pt>
                <c:pt idx="3">
                  <c:v>99.588467190895699</c:v>
                </c:pt>
                <c:pt idx="4">
                  <c:v>427.18803701743195</c:v>
                </c:pt>
                <c:pt idx="5">
                  <c:v>53.655492126082407</c:v>
                </c:pt>
                <c:pt idx="6">
                  <c:v>17.356003366590198</c:v>
                </c:pt>
                <c:pt idx="7">
                  <c:v>21.179197120262128</c:v>
                </c:pt>
              </c:numCache>
            </c:numRef>
          </c:val>
          <c:extLst>
            <c:ext xmlns:c16="http://schemas.microsoft.com/office/drawing/2014/chart" uri="{C3380CC4-5D6E-409C-BE32-E72D297353CC}">
              <c16:uniqueId val="{00000000-60F9-4608-A2DA-995A24091028}"/>
            </c:ext>
          </c:extLst>
        </c:ser>
        <c:ser>
          <c:idx val="9"/>
          <c:order val="9"/>
          <c:tx>
            <c:strRef>
              <c:f>'WTP Main'!$M$128</c:f>
              <c:strCache>
                <c:ptCount val="1"/>
                <c:pt idx="0">
                  <c:v>Priorities</c:v>
                </c:pt>
              </c:strCache>
            </c:strRef>
          </c:tx>
          <c:spPr>
            <a:solidFill>
              <a:srgbClr val="00B050"/>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Main'!$M$129:$M$136</c:f>
              <c:numCache>
                <c:formatCode>"£"#,##0</c:formatCode>
                <c:ptCount val="8"/>
                <c:pt idx="0">
                  <c:v>970.39720535276513</c:v>
                </c:pt>
                <c:pt idx="2">
                  <c:v>335.95197609357444</c:v>
                </c:pt>
                <c:pt idx="3">
                  <c:v>108.31611590427406</c:v>
                </c:pt>
                <c:pt idx="4">
                  <c:v>163.44955412725798</c:v>
                </c:pt>
                <c:pt idx="5">
                  <c:v>0</c:v>
                </c:pt>
                <c:pt idx="6">
                  <c:v>22.056300565538688</c:v>
                </c:pt>
                <c:pt idx="7">
                  <c:v>2.8616076289535179</c:v>
                </c:pt>
              </c:numCache>
            </c:numRef>
          </c:val>
          <c:extLst>
            <c:ext xmlns:c16="http://schemas.microsoft.com/office/drawing/2014/chart" uri="{C3380CC4-5D6E-409C-BE32-E72D297353CC}">
              <c16:uniqueId val="{00000000-C129-48A2-83EB-59A0BF69D3DA}"/>
            </c:ext>
          </c:extLst>
        </c:ser>
        <c:ser>
          <c:idx val="10"/>
          <c:order val="10"/>
          <c:tx>
            <c:strRef>
              <c:f>'WTP Main'!$N$128</c:f>
              <c:strCache>
                <c:ptCount val="1"/>
                <c:pt idx="0">
                  <c:v>Contacts</c:v>
                </c:pt>
              </c:strCache>
            </c:strRef>
          </c:tx>
          <c:spPr>
            <a:solidFill>
              <a:schemeClr val="accent4">
                <a:lumMod val="8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Main'!$N$129:$N$136</c:f>
              <c:numCache>
                <c:formatCode>"£"#,##0</c:formatCode>
                <c:ptCount val="8"/>
                <c:pt idx="0">
                  <c:v>11.956118656835109</c:v>
                </c:pt>
                <c:pt idx="2">
                  <c:v>797.41117956200367</c:v>
                </c:pt>
                <c:pt idx="4">
                  <c:v>156.28226871933637</c:v>
                </c:pt>
                <c:pt idx="5">
                  <c:v>37.941360035908254</c:v>
                </c:pt>
              </c:numCache>
            </c:numRef>
          </c:val>
          <c:extLst>
            <c:ext xmlns:c16="http://schemas.microsoft.com/office/drawing/2014/chart" uri="{C3380CC4-5D6E-409C-BE32-E72D297353CC}">
              <c16:uniqueId val="{00000001-C129-48A2-83EB-59A0BF69D3DA}"/>
            </c:ext>
          </c:extLst>
        </c:ser>
        <c:ser>
          <c:idx val="11"/>
          <c:order val="11"/>
          <c:tx>
            <c:strRef>
              <c:f>'WTP Main'!$O$128</c:f>
              <c:strCache>
                <c:ptCount val="1"/>
                <c:pt idx="0">
                  <c:v>Satisfaction</c:v>
                </c:pt>
              </c:strCache>
            </c:strRef>
          </c:tx>
          <c:spPr>
            <a:solidFill>
              <a:srgbClr val="FFFF00"/>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Main'!$O$129:$O$136</c:f>
              <c:numCache>
                <c:formatCode>"£"#,##0</c:formatCode>
                <c:ptCount val="8"/>
                <c:pt idx="2">
                  <c:v>56.357786245778996</c:v>
                </c:pt>
                <c:pt idx="4">
                  <c:v>81.87829322499968</c:v>
                </c:pt>
                <c:pt idx="5">
                  <c:v>81.87829322499968</c:v>
                </c:pt>
                <c:pt idx="6">
                  <c:v>63.801267448051696</c:v>
                </c:pt>
              </c:numCache>
            </c:numRef>
          </c:val>
          <c:extLst>
            <c:ext xmlns:c16="http://schemas.microsoft.com/office/drawing/2014/chart" uri="{C3380CC4-5D6E-409C-BE32-E72D297353CC}">
              <c16:uniqueId val="{00000002-C129-48A2-83EB-59A0BF69D3DA}"/>
            </c:ext>
          </c:extLst>
        </c:ser>
        <c:ser>
          <c:idx val="12"/>
          <c:order val="12"/>
          <c:tx>
            <c:strRef>
              <c:f>'WTP Main'!$P$128</c:f>
              <c:strCache>
                <c:ptCount val="1"/>
                <c:pt idx="0">
                  <c:v>PC Slider</c:v>
                </c:pt>
              </c:strCache>
            </c:strRef>
          </c:tx>
          <c:spPr>
            <a:solidFill>
              <a:srgbClr val="FFC000"/>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Main'!$P$129:$P$136</c:f>
              <c:numCache>
                <c:formatCode>"£"#,##0</c:formatCode>
                <c:ptCount val="8"/>
                <c:pt idx="2">
                  <c:v>365.95643912092589</c:v>
                </c:pt>
              </c:numCache>
            </c:numRef>
          </c:val>
          <c:extLst>
            <c:ext xmlns:c16="http://schemas.microsoft.com/office/drawing/2014/chart" uri="{C3380CC4-5D6E-409C-BE32-E72D297353CC}">
              <c16:uniqueId val="{00000000-BA73-41F2-A1BA-C153B6FBB126}"/>
            </c:ext>
          </c:extLst>
        </c:ser>
        <c:dLbls>
          <c:showLegendKey val="0"/>
          <c:showVal val="0"/>
          <c:showCatName val="0"/>
          <c:showSerName val="0"/>
          <c:showPercent val="0"/>
          <c:showBubbleSize val="0"/>
        </c:dLbls>
        <c:gapWidth val="219"/>
        <c:overlap val="-27"/>
        <c:axId val="-1205620896"/>
        <c:axId val="-1205627424"/>
      </c:barChart>
      <c:catAx>
        <c:axId val="-120562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205627424"/>
        <c:crosses val="autoZero"/>
        <c:auto val="1"/>
        <c:lblAlgn val="ctr"/>
        <c:lblOffset val="100"/>
        <c:noMultiLvlLbl val="0"/>
      </c:catAx>
      <c:valAx>
        <c:axId val="-1205627424"/>
        <c:scaling>
          <c:orientation val="minMax"/>
          <c:max val="45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205620896"/>
        <c:crosses val="autoZero"/>
        <c:crossBetween val="between"/>
      </c:valAx>
      <c:spPr>
        <a:noFill/>
        <a:ln>
          <a:noFill/>
        </a:ln>
        <a:effectLst/>
      </c:spPr>
    </c:plotArea>
    <c:legend>
      <c:legendPos val="b"/>
      <c:layout>
        <c:manualLayout>
          <c:xMode val="edge"/>
          <c:yMode val="edge"/>
          <c:x val="4.9042120787022046E-2"/>
          <c:y val="0.85885020060591177"/>
          <c:w val="0.90679454692971251"/>
          <c:h val="0.1179267468284512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ysClr val="windowText" lastClr="000000"/>
                </a:solidFill>
                <a:effectLst/>
              </a:rPr>
              <a:t>SSC WTP Unit Values and Range - Traffic Disruption (£/Roadworks/yr)</a:t>
            </a:r>
            <a:endParaRPr lang="en-GB" sz="14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Main'!$EX$282</c:f>
              <c:strCache>
                <c:ptCount val="1"/>
                <c:pt idx="0">
                  <c:v>ALL</c:v>
                </c:pt>
              </c:strCache>
            </c:strRef>
          </c:tx>
          <c:spPr>
            <a:solidFill>
              <a:schemeClr val="accent2"/>
            </a:solidFill>
            <a:ln>
              <a:noFill/>
            </a:ln>
            <a:effectLst/>
          </c:spPr>
          <c:invertIfNegative val="0"/>
          <c:errBars>
            <c:errBarType val="both"/>
            <c:errValType val="cust"/>
            <c:noEndCap val="0"/>
            <c:plus>
              <c:numRef>
                <c:f>'WTP Main'!$EZ$283</c:f>
                <c:numCache>
                  <c:formatCode>General</c:formatCode>
                  <c:ptCount val="1"/>
                  <c:pt idx="0">
                    <c:v>633.08049834371877</c:v>
                  </c:pt>
                </c:numCache>
              </c:numRef>
            </c:plus>
            <c:minus>
              <c:numRef>
                <c:f>'WTP Main'!$EY$283</c:f>
                <c:numCache>
                  <c:formatCode>General</c:formatCode>
                  <c:ptCount val="1"/>
                  <c:pt idx="0">
                    <c:v>555.53370340785546</c:v>
                  </c:pt>
                </c:numCache>
              </c:numRef>
            </c:minus>
            <c:spPr>
              <a:noFill/>
              <a:ln w="9525" cap="flat" cmpd="sng" algn="ctr">
                <a:solidFill>
                  <a:srgbClr val="000000"/>
                </a:solidFill>
                <a:round/>
              </a:ln>
              <a:effectLst/>
            </c:spPr>
          </c:errBars>
          <c:cat>
            <c:strRef>
              <c:f>'WTP Main'!$A$285</c:f>
              <c:strCache>
                <c:ptCount val="1"/>
                <c:pt idx="0">
                  <c:v>Traffic disruption</c:v>
                </c:pt>
              </c:strCache>
            </c:strRef>
          </c:cat>
          <c:val>
            <c:numRef>
              <c:f>'WTP Main'!$EX$283</c:f>
              <c:numCache>
                <c:formatCode>0</c:formatCode>
                <c:ptCount val="1"/>
                <c:pt idx="0">
                  <c:v>1569.5237837399663</c:v>
                </c:pt>
              </c:numCache>
            </c:numRef>
          </c:val>
          <c:extLst>
            <c:ext xmlns:c16="http://schemas.microsoft.com/office/drawing/2014/chart" uri="{C3380CC4-5D6E-409C-BE32-E72D297353CC}">
              <c16:uniqueId val="{00000000-84D5-4D41-B65B-94D004F670C9}"/>
            </c:ext>
          </c:extLst>
        </c:ser>
        <c:ser>
          <c:idx val="1"/>
          <c:order val="1"/>
          <c:tx>
            <c:strRef>
              <c:f>'WTP Main'!$FA$282</c:f>
              <c:strCache>
                <c:ptCount val="1"/>
                <c:pt idx="0">
                  <c:v>HH</c:v>
                </c:pt>
              </c:strCache>
            </c:strRef>
          </c:tx>
          <c:spPr>
            <a:solidFill>
              <a:schemeClr val="accent4"/>
            </a:solidFill>
            <a:ln>
              <a:noFill/>
            </a:ln>
            <a:effectLst/>
          </c:spPr>
          <c:invertIfNegative val="0"/>
          <c:errBars>
            <c:errBarType val="both"/>
            <c:errValType val="cust"/>
            <c:noEndCap val="0"/>
            <c:plus>
              <c:numRef>
                <c:f>'WTP Main'!$FC$283</c:f>
                <c:numCache>
                  <c:formatCode>General</c:formatCode>
                  <c:ptCount val="1"/>
                </c:numCache>
              </c:numRef>
            </c:plus>
            <c:minus>
              <c:numRef>
                <c:f>'WTP Main'!$FB$283</c:f>
                <c:numCache>
                  <c:formatCode>General</c:formatCode>
                  <c:ptCount val="1"/>
                </c:numCache>
              </c:numRef>
            </c:minus>
            <c:spPr>
              <a:noFill/>
              <a:ln w="9525" cap="flat" cmpd="sng" algn="ctr">
                <a:solidFill>
                  <a:srgbClr val="000000"/>
                </a:solidFill>
                <a:round/>
              </a:ln>
              <a:effectLst/>
            </c:spPr>
          </c:errBars>
          <c:cat>
            <c:strRef>
              <c:f>'WTP Main'!$A$285</c:f>
              <c:strCache>
                <c:ptCount val="1"/>
                <c:pt idx="0">
                  <c:v>Traffic disruption</c:v>
                </c:pt>
              </c:strCache>
            </c:strRef>
          </c:cat>
          <c:val>
            <c:numRef>
              <c:f>'WTP Main'!$FA$283</c:f>
              <c:numCache>
                <c:formatCode>0</c:formatCode>
                <c:ptCount val="1"/>
              </c:numCache>
            </c:numRef>
          </c:val>
          <c:extLst>
            <c:ext xmlns:c16="http://schemas.microsoft.com/office/drawing/2014/chart" uri="{C3380CC4-5D6E-409C-BE32-E72D297353CC}">
              <c16:uniqueId val="{00000000-F63D-4DB8-BE5D-B75A1C74D6E2}"/>
            </c:ext>
          </c:extLst>
        </c:ser>
        <c:ser>
          <c:idx val="2"/>
          <c:order val="2"/>
          <c:tx>
            <c:strRef>
              <c:f>'WTP Main'!$FD$282</c:f>
              <c:strCache>
                <c:ptCount val="1"/>
                <c:pt idx="0">
                  <c:v>NHH</c:v>
                </c:pt>
              </c:strCache>
            </c:strRef>
          </c:tx>
          <c:spPr>
            <a:solidFill>
              <a:schemeClr val="accent6"/>
            </a:solidFill>
            <a:ln>
              <a:noFill/>
            </a:ln>
            <a:effectLst/>
          </c:spPr>
          <c:invertIfNegative val="0"/>
          <c:errBars>
            <c:errBarType val="both"/>
            <c:errValType val="cust"/>
            <c:noEndCap val="0"/>
            <c:plus>
              <c:numRef>
                <c:f>'WTP Main'!$FF$283</c:f>
                <c:numCache>
                  <c:formatCode>General</c:formatCode>
                  <c:ptCount val="1"/>
                </c:numCache>
              </c:numRef>
            </c:plus>
            <c:minus>
              <c:numRef>
                <c:f>'WTP Main'!$FE$283</c:f>
                <c:numCache>
                  <c:formatCode>General</c:formatCode>
                  <c:ptCount val="1"/>
                </c:numCache>
              </c:numRef>
            </c:minus>
            <c:spPr>
              <a:noFill/>
              <a:ln w="9525" cap="flat" cmpd="sng" algn="ctr">
                <a:solidFill>
                  <a:srgbClr val="000000"/>
                </a:solidFill>
                <a:round/>
              </a:ln>
              <a:effectLst/>
            </c:spPr>
          </c:errBars>
          <c:cat>
            <c:strRef>
              <c:f>'WTP Main'!$A$285</c:f>
              <c:strCache>
                <c:ptCount val="1"/>
                <c:pt idx="0">
                  <c:v>Traffic disruption</c:v>
                </c:pt>
              </c:strCache>
            </c:strRef>
          </c:cat>
          <c:val>
            <c:numRef>
              <c:f>'WTP Main'!$FD$283</c:f>
              <c:numCache>
                <c:formatCode>0</c:formatCode>
                <c:ptCount val="1"/>
              </c:numCache>
            </c:numRef>
          </c:val>
          <c:extLst>
            <c:ext xmlns:c16="http://schemas.microsoft.com/office/drawing/2014/chart" uri="{C3380CC4-5D6E-409C-BE32-E72D297353CC}">
              <c16:uniqueId val="{00000001-F63D-4DB8-BE5D-B75A1C74D6E2}"/>
            </c:ext>
          </c:extLst>
        </c:ser>
        <c:dLbls>
          <c:showLegendKey val="0"/>
          <c:showVal val="0"/>
          <c:showCatName val="0"/>
          <c:showSerName val="0"/>
          <c:showPercent val="0"/>
          <c:showBubbleSize val="0"/>
        </c:dLbls>
        <c:gapWidth val="219"/>
        <c:overlap val="-27"/>
        <c:axId val="-1194791920"/>
        <c:axId val="-1194785392"/>
      </c:barChart>
      <c:catAx>
        <c:axId val="-119479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85392"/>
        <c:crosses val="autoZero"/>
        <c:auto val="1"/>
        <c:lblAlgn val="ctr"/>
        <c:lblOffset val="100"/>
        <c:noMultiLvlLbl val="0"/>
      </c:catAx>
      <c:valAx>
        <c:axId val="-1194785392"/>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91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ysClr val="windowText" lastClr="000000"/>
                </a:solidFill>
                <a:effectLst/>
              </a:rPr>
              <a:t>SSW WTP Unit Values and Range - Drought Restrictions (£/1% Risk/yr) (HH and NHH)</a:t>
            </a:r>
            <a:endParaRPr lang="en-GB" sz="14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Main'!$D$155</c:f>
              <c:strCache>
                <c:ptCount val="1"/>
                <c:pt idx="0">
                  <c:v>COMBINED</c:v>
                </c:pt>
              </c:strCache>
            </c:strRef>
          </c:tx>
          <c:spPr>
            <a:solidFill>
              <a:schemeClr val="accent2"/>
            </a:solidFill>
            <a:ln>
              <a:noFill/>
            </a:ln>
            <a:effectLst/>
          </c:spPr>
          <c:invertIfNegative val="0"/>
          <c:errBars>
            <c:errBarType val="both"/>
            <c:errValType val="cust"/>
            <c:noEndCap val="0"/>
            <c:plus>
              <c:numRef>
                <c:f>'WTP Main'!$F$156:$F$157</c:f>
                <c:numCache>
                  <c:formatCode>General</c:formatCode>
                  <c:ptCount val="2"/>
                  <c:pt idx="0">
                    <c:v>4227250.0888775177</c:v>
                  </c:pt>
                  <c:pt idx="1">
                    <c:v>747208.19887473388</c:v>
                  </c:pt>
                </c:numCache>
              </c:numRef>
            </c:plus>
            <c:minus>
              <c:numRef>
                <c:f>'WTP Main'!$E$156:$E$157</c:f>
                <c:numCache>
                  <c:formatCode>General</c:formatCode>
                  <c:ptCount val="2"/>
                  <c:pt idx="0">
                    <c:v>3638982.9093570672</c:v>
                  </c:pt>
                  <c:pt idx="1">
                    <c:v>585093.64392792457</c:v>
                  </c:pt>
                </c:numCache>
              </c:numRef>
            </c:minus>
            <c:spPr>
              <a:noFill/>
              <a:ln w="9525" cap="flat" cmpd="sng" algn="ctr">
                <a:solidFill>
                  <a:srgbClr val="000000"/>
                </a:solidFill>
                <a:round/>
              </a:ln>
              <a:effectLst/>
            </c:spPr>
          </c:errBars>
          <c:cat>
            <c:strRef>
              <c:f>'WTP Main'!$A$156:$A$157</c:f>
              <c:strCache>
                <c:ptCount val="2"/>
                <c:pt idx="0">
                  <c:v>Drought restrictions</c:v>
                </c:pt>
                <c:pt idx="1">
                  <c:v>Temporary use ban</c:v>
                </c:pt>
              </c:strCache>
            </c:strRef>
          </c:cat>
          <c:val>
            <c:numRef>
              <c:f>'WTP Main'!$D$156:$D$157</c:f>
              <c:numCache>
                <c:formatCode>"£"#,##0</c:formatCode>
                <c:ptCount val="2"/>
                <c:pt idx="0">
                  <c:v>4957754.6414963342</c:v>
                </c:pt>
                <c:pt idx="1">
                  <c:v>731367.05490990565</c:v>
                </c:pt>
              </c:numCache>
            </c:numRef>
          </c:val>
          <c:extLst>
            <c:ext xmlns:c16="http://schemas.microsoft.com/office/drawing/2014/chart" uri="{C3380CC4-5D6E-409C-BE32-E72D297353CC}">
              <c16:uniqueId val="{00000000-4C3A-4DBE-AC8C-5C58CB0860FB}"/>
            </c:ext>
          </c:extLst>
        </c:ser>
        <c:dLbls>
          <c:showLegendKey val="0"/>
          <c:showVal val="0"/>
          <c:showCatName val="0"/>
          <c:showSerName val="0"/>
          <c:showPercent val="0"/>
          <c:showBubbleSize val="0"/>
        </c:dLbls>
        <c:gapWidth val="219"/>
        <c:overlap val="-27"/>
        <c:axId val="-1194789200"/>
        <c:axId val="-1194792464"/>
      </c:barChart>
      <c:catAx>
        <c:axId val="-1194789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92464"/>
        <c:crosses val="autoZero"/>
        <c:auto val="1"/>
        <c:lblAlgn val="ctr"/>
        <c:lblOffset val="100"/>
        <c:noMultiLvlLbl val="0"/>
      </c:catAx>
      <c:valAx>
        <c:axId val="-1194792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89200"/>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400" b="1" i="0" baseline="0">
                <a:effectLst/>
              </a:rPr>
              <a:t>SSW WTP Unit Values and Range - Leakage (£/MLD/yr) (HH and NHH)</a:t>
            </a:r>
            <a:endParaRPr lang="en-GB"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Main'!$D$188</c:f>
              <c:strCache>
                <c:ptCount val="1"/>
                <c:pt idx="0">
                  <c:v>COMBINED</c:v>
                </c:pt>
              </c:strCache>
            </c:strRef>
          </c:tx>
          <c:spPr>
            <a:solidFill>
              <a:schemeClr val="accent2"/>
            </a:solidFill>
            <a:ln>
              <a:noFill/>
            </a:ln>
            <a:effectLst/>
          </c:spPr>
          <c:invertIfNegative val="0"/>
          <c:errBars>
            <c:errBarType val="both"/>
            <c:errValType val="cust"/>
            <c:noEndCap val="0"/>
            <c:plus>
              <c:numRef>
                <c:f>'WTP Main'!$F$189</c:f>
                <c:numCache>
                  <c:formatCode>General</c:formatCode>
                  <c:ptCount val="1"/>
                  <c:pt idx="0">
                    <c:v>224975.9229121198</c:v>
                  </c:pt>
                </c:numCache>
              </c:numRef>
            </c:plus>
            <c:minus>
              <c:numRef>
                <c:f>'WTP Main'!$E$189</c:f>
                <c:numCache>
                  <c:formatCode>General</c:formatCode>
                  <c:ptCount val="1"/>
                  <c:pt idx="0">
                    <c:v>112339.47761759357</c:v>
                  </c:pt>
                </c:numCache>
              </c:numRef>
            </c:minus>
            <c:spPr>
              <a:noFill/>
              <a:ln w="9525" cap="flat" cmpd="sng" algn="ctr">
                <a:solidFill>
                  <a:srgbClr val="000000"/>
                </a:solidFill>
                <a:round/>
              </a:ln>
              <a:effectLst/>
            </c:spPr>
          </c:errBars>
          <c:cat>
            <c:strRef>
              <c:f>'WTP Main'!$A$189</c:f>
              <c:strCache>
                <c:ptCount val="1"/>
                <c:pt idx="0">
                  <c:v>Leakage</c:v>
                </c:pt>
              </c:strCache>
            </c:strRef>
          </c:cat>
          <c:val>
            <c:numRef>
              <c:f>'WTP Main'!$D$189</c:f>
              <c:numCache>
                <c:formatCode>"£"#,##0</c:formatCode>
                <c:ptCount val="1"/>
                <c:pt idx="0">
                  <c:v>147946.95006209196</c:v>
                </c:pt>
              </c:numCache>
            </c:numRef>
          </c:val>
          <c:extLst>
            <c:ext xmlns:c16="http://schemas.microsoft.com/office/drawing/2014/chart" uri="{C3380CC4-5D6E-409C-BE32-E72D297353CC}">
              <c16:uniqueId val="{00000000-C6E6-4583-905B-16D31EC115D3}"/>
            </c:ext>
          </c:extLst>
        </c:ser>
        <c:dLbls>
          <c:showLegendKey val="0"/>
          <c:showVal val="0"/>
          <c:showCatName val="0"/>
          <c:showSerName val="0"/>
          <c:showPercent val="0"/>
          <c:showBubbleSize val="0"/>
        </c:dLbls>
        <c:gapWidth val="219"/>
        <c:overlap val="-27"/>
        <c:axId val="-1194790288"/>
        <c:axId val="-1194797904"/>
      </c:barChart>
      <c:catAx>
        <c:axId val="-119479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97904"/>
        <c:crosses val="autoZero"/>
        <c:auto val="1"/>
        <c:lblAlgn val="ctr"/>
        <c:lblOffset val="100"/>
        <c:noMultiLvlLbl val="0"/>
      </c:catAx>
      <c:valAx>
        <c:axId val="-1194797904"/>
        <c:scaling>
          <c:orientation val="minMax"/>
          <c:max val="25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90288"/>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ysClr val="windowText" lastClr="000000"/>
                </a:solidFill>
                <a:effectLst/>
              </a:rPr>
              <a:t>SSW WTP Unit Values and Range - Metering (£/HH metered/yr (HH and NHH)</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Main'!$D$220</c:f>
              <c:strCache>
                <c:ptCount val="1"/>
                <c:pt idx="0">
                  <c:v>COMBINED</c:v>
                </c:pt>
              </c:strCache>
            </c:strRef>
          </c:tx>
          <c:spPr>
            <a:solidFill>
              <a:schemeClr val="accent2"/>
            </a:solidFill>
            <a:ln>
              <a:noFill/>
            </a:ln>
            <a:effectLst/>
          </c:spPr>
          <c:invertIfNegative val="0"/>
          <c:errBars>
            <c:errBarType val="both"/>
            <c:errValType val="cust"/>
            <c:noEndCap val="0"/>
            <c:plus>
              <c:numRef>
                <c:f>'WTP Main'!$F$221:$F$222</c:f>
                <c:numCache>
                  <c:formatCode>General</c:formatCode>
                  <c:ptCount val="2"/>
                  <c:pt idx="0">
                    <c:v>14.019793306726912</c:v>
                  </c:pt>
                  <c:pt idx="1">
                    <c:v>0.46681094736192497</c:v>
                  </c:pt>
                </c:numCache>
              </c:numRef>
            </c:plus>
            <c:minus>
              <c:numRef>
                <c:f>'WTP Main'!$E$221:$E$222</c:f>
                <c:numCache>
                  <c:formatCode>General</c:formatCode>
                  <c:ptCount val="2"/>
                  <c:pt idx="0">
                    <c:v>5.7576483459058991</c:v>
                  </c:pt>
                  <c:pt idx="1">
                    <c:v>0.24114428167590463</c:v>
                  </c:pt>
                </c:numCache>
              </c:numRef>
            </c:minus>
            <c:spPr>
              <a:noFill/>
              <a:ln w="9525" cap="flat" cmpd="sng" algn="ctr">
                <a:solidFill>
                  <a:srgbClr val="000000"/>
                </a:solidFill>
                <a:round/>
              </a:ln>
              <a:effectLst/>
            </c:spPr>
          </c:errBars>
          <c:cat>
            <c:strRef>
              <c:f>'WTP Main'!$A$221:$A$222</c:f>
              <c:strCache>
                <c:ptCount val="2"/>
                <c:pt idx="0">
                  <c:v>Water metering</c:v>
                </c:pt>
                <c:pt idx="1">
                  <c:v>Giving customers control of their water usage</c:v>
                </c:pt>
              </c:strCache>
            </c:strRef>
          </c:cat>
          <c:val>
            <c:numRef>
              <c:f>'WTP Main'!$D$221:$D$222</c:f>
              <c:numCache>
                <c:formatCode>"£"#,##0.00</c:formatCode>
                <c:ptCount val="2"/>
                <c:pt idx="0" formatCode="&quot;£&quot;#,##0">
                  <c:v>8.968990256943778</c:v>
                </c:pt>
                <c:pt idx="1">
                  <c:v>0.30143035209488078</c:v>
                </c:pt>
              </c:numCache>
            </c:numRef>
          </c:val>
          <c:extLst>
            <c:ext xmlns:c16="http://schemas.microsoft.com/office/drawing/2014/chart" uri="{C3380CC4-5D6E-409C-BE32-E72D297353CC}">
              <c16:uniqueId val="{00000000-9B6A-4461-9F23-0121AF618888}"/>
            </c:ext>
          </c:extLst>
        </c:ser>
        <c:dLbls>
          <c:showLegendKey val="0"/>
          <c:showVal val="0"/>
          <c:showCatName val="0"/>
          <c:showSerName val="0"/>
          <c:showPercent val="0"/>
          <c:showBubbleSize val="0"/>
        </c:dLbls>
        <c:gapWidth val="219"/>
        <c:overlap val="-27"/>
        <c:axId val="-1194784848"/>
        <c:axId val="-1194798448"/>
      </c:barChart>
      <c:catAx>
        <c:axId val="-119478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98448"/>
        <c:crosses val="autoZero"/>
        <c:auto val="1"/>
        <c:lblAlgn val="ctr"/>
        <c:lblOffset val="100"/>
        <c:noMultiLvlLbl val="0"/>
      </c:catAx>
      <c:valAx>
        <c:axId val="-1194798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4784848"/>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ysClr val="windowText" lastClr="000000"/>
                </a:solidFill>
                <a:effectLst/>
              </a:rPr>
              <a:t>SSW WTP Unit Values and Range - Environmental Protection (£/Hectare/yr) (HH and NHH)</a:t>
            </a:r>
            <a:endParaRPr lang="en-GB">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2"/>
            </a:solidFill>
            <a:ln>
              <a:noFill/>
            </a:ln>
            <a:effectLst/>
          </c:spPr>
          <c:invertIfNegative val="0"/>
          <c:errBars>
            <c:errBarType val="both"/>
            <c:errValType val="cust"/>
            <c:noEndCap val="0"/>
            <c:plus>
              <c:numRef>
                <c:f>'WTP Main'!$F$253:$F$254</c:f>
                <c:numCache>
                  <c:formatCode>General</c:formatCode>
                  <c:ptCount val="2"/>
                  <c:pt idx="0">
                    <c:v>26077.881174818307</c:v>
                  </c:pt>
                  <c:pt idx="1">
                    <c:v>12904.774165313913</c:v>
                  </c:pt>
                </c:numCache>
              </c:numRef>
            </c:plus>
            <c:minus>
              <c:numRef>
                <c:f>'WTP Main'!$E$253:$E$254</c:f>
                <c:numCache>
                  <c:formatCode>General</c:formatCode>
                  <c:ptCount val="2"/>
                  <c:pt idx="0">
                    <c:v>11308.552037809121</c:v>
                  </c:pt>
                  <c:pt idx="1">
                    <c:v>8134.0839479954866</c:v>
                  </c:pt>
                </c:numCache>
              </c:numRef>
            </c:minus>
            <c:spPr>
              <a:noFill/>
              <a:ln w="9525" cap="flat" cmpd="sng" algn="ctr">
                <a:solidFill>
                  <a:srgbClr val="000000"/>
                </a:solidFill>
                <a:round/>
              </a:ln>
              <a:effectLst/>
            </c:spPr>
          </c:errBars>
          <c:cat>
            <c:strRef>
              <c:f>'WTP Main'!$A$253:$A$254</c:f>
              <c:strCache>
                <c:ptCount val="2"/>
                <c:pt idx="0">
                  <c:v>Protecting wildlife habitats</c:v>
                </c:pt>
                <c:pt idx="1">
                  <c:v>Managing impacts on rivers &amp; streams</c:v>
                </c:pt>
              </c:strCache>
            </c:strRef>
          </c:cat>
          <c:val>
            <c:numRef>
              <c:f>'WTP Main'!$D$253:$D$254</c:f>
              <c:numCache>
                <c:formatCode>"£"#,##0</c:formatCode>
                <c:ptCount val="2"/>
                <c:pt idx="0">
                  <c:v>14135.6900472614</c:v>
                </c:pt>
                <c:pt idx="1">
                  <c:v>14803.018592547865</c:v>
                </c:pt>
              </c:numCache>
            </c:numRef>
          </c:val>
          <c:extLst>
            <c:ext xmlns:c16="http://schemas.microsoft.com/office/drawing/2014/chart" uri="{C3380CC4-5D6E-409C-BE32-E72D297353CC}">
              <c16:uniqueId val="{00000000-936C-4BA9-BBBA-A55CCCC31BCF}"/>
            </c:ext>
          </c:extLst>
        </c:ser>
        <c:dLbls>
          <c:showLegendKey val="0"/>
          <c:showVal val="0"/>
          <c:showCatName val="0"/>
          <c:showSerName val="0"/>
          <c:showPercent val="0"/>
          <c:showBubbleSize val="0"/>
        </c:dLbls>
        <c:gapWidth val="219"/>
        <c:overlap val="-27"/>
        <c:axId val="-1083339472"/>
        <c:axId val="-1083344368"/>
      </c:barChart>
      <c:catAx>
        <c:axId val="-108333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44368"/>
        <c:crosses val="autoZero"/>
        <c:auto val="1"/>
        <c:lblAlgn val="ctr"/>
        <c:lblOffset val="100"/>
        <c:noMultiLvlLbl val="0"/>
      </c:catAx>
      <c:valAx>
        <c:axId val="-1083344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39472"/>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ysClr val="windowText" lastClr="000000"/>
                </a:solidFill>
                <a:effectLst/>
              </a:rPr>
              <a:t>SSW WTP Unit Values and Range - Traffic Disruption (£/Roadworks/yr) (HH and NHH)</a:t>
            </a:r>
            <a:endParaRPr lang="en-GB" sz="14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Main'!$D$282</c:f>
              <c:strCache>
                <c:ptCount val="1"/>
                <c:pt idx="0">
                  <c:v>COMBINED</c:v>
                </c:pt>
              </c:strCache>
            </c:strRef>
          </c:tx>
          <c:spPr>
            <a:solidFill>
              <a:schemeClr val="accent2"/>
            </a:solidFill>
            <a:ln>
              <a:noFill/>
            </a:ln>
            <a:effectLst/>
          </c:spPr>
          <c:invertIfNegative val="0"/>
          <c:errBars>
            <c:errBarType val="both"/>
            <c:errValType val="cust"/>
            <c:noEndCap val="0"/>
            <c:plus>
              <c:numRef>
                <c:f>'WTP Main'!$F$283</c:f>
                <c:numCache>
                  <c:formatCode>General</c:formatCode>
                  <c:ptCount val="1"/>
                  <c:pt idx="0">
                    <c:v>657.18301469285962</c:v>
                  </c:pt>
                </c:numCache>
              </c:numRef>
            </c:plus>
            <c:minus>
              <c:numRef>
                <c:f>'WTP Main'!$E$283</c:f>
                <c:numCache>
                  <c:formatCode>General</c:formatCode>
                  <c:ptCount val="1"/>
                  <c:pt idx="0">
                    <c:v>641.11089019357996</c:v>
                  </c:pt>
                </c:numCache>
              </c:numRef>
            </c:minus>
            <c:spPr>
              <a:noFill/>
              <a:ln w="9525" cap="flat" cmpd="sng" algn="ctr">
                <a:solidFill>
                  <a:srgbClr val="000000"/>
                </a:solidFill>
                <a:round/>
              </a:ln>
              <a:effectLst/>
            </c:spPr>
          </c:errBars>
          <c:cat>
            <c:strRef>
              <c:f>'WTP Main'!$A$283</c:f>
              <c:strCache>
                <c:ptCount val="1"/>
                <c:pt idx="0">
                  <c:v>Traffic disruption</c:v>
                </c:pt>
              </c:strCache>
            </c:strRef>
          </c:cat>
          <c:val>
            <c:numRef>
              <c:f>'WTP Main'!$D$283</c:f>
              <c:numCache>
                <c:formatCode>"£"#,##0</c:formatCode>
                <c:ptCount val="1"/>
                <c:pt idx="0">
                  <c:v>1462.966180277087</c:v>
                </c:pt>
              </c:numCache>
            </c:numRef>
          </c:val>
          <c:extLst>
            <c:ext xmlns:c16="http://schemas.microsoft.com/office/drawing/2014/chart" uri="{C3380CC4-5D6E-409C-BE32-E72D297353CC}">
              <c16:uniqueId val="{00000000-1DA3-461C-A17D-4AE2A403FC55}"/>
            </c:ext>
          </c:extLst>
        </c:ser>
        <c:dLbls>
          <c:showLegendKey val="0"/>
          <c:showVal val="0"/>
          <c:showCatName val="0"/>
          <c:showSerName val="0"/>
          <c:showPercent val="0"/>
          <c:showBubbleSize val="0"/>
        </c:dLbls>
        <c:gapWidth val="219"/>
        <c:overlap val="-27"/>
        <c:axId val="-1083348176"/>
        <c:axId val="-1083350352"/>
      </c:barChart>
      <c:catAx>
        <c:axId val="-108334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50352"/>
        <c:crosses val="autoZero"/>
        <c:auto val="1"/>
        <c:lblAlgn val="ctr"/>
        <c:lblOffset val="100"/>
        <c:noMultiLvlLbl val="0"/>
      </c:catAx>
      <c:valAx>
        <c:axId val="-1083350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48176"/>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ysClr val="windowText" lastClr="000000"/>
                </a:solidFill>
                <a:effectLst/>
              </a:rPr>
              <a:t>SSW NHH WTP Unit Values and Range - Services at Property</a:t>
            </a:r>
            <a:endParaRPr lang="en-GB" sz="14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Main'!$D$139</c:f>
              <c:strCache>
                <c:ptCount val="1"/>
                <c:pt idx="0">
                  <c:v>COMBINED</c:v>
                </c:pt>
              </c:strCache>
            </c:strRef>
          </c:tx>
          <c:spPr>
            <a:solidFill>
              <a:schemeClr val="accent2"/>
            </a:solidFill>
            <a:ln>
              <a:noFill/>
            </a:ln>
            <a:effectLst/>
          </c:spPr>
          <c:invertIfNegative val="0"/>
          <c:errBars>
            <c:errBarType val="both"/>
            <c:errValType val="cust"/>
            <c:noEndCap val="0"/>
            <c:plus>
              <c:numRef>
                <c:f>'WTP Main'!$V$140:$V$147</c:f>
                <c:numCache>
                  <c:formatCode>General</c:formatCode>
                  <c:ptCount val="8"/>
                  <c:pt idx="0">
                    <c:v>7933.5886980165023</c:v>
                  </c:pt>
                  <c:pt idx="1">
                    <c:v>1251.7379149774429</c:v>
                  </c:pt>
                  <c:pt idx="2">
                    <c:v>10542.093638341506</c:v>
                  </c:pt>
                  <c:pt idx="3">
                    <c:v>146.08097753716294</c:v>
                  </c:pt>
                  <c:pt idx="4">
                    <c:v>4713.3948686488711</c:v>
                  </c:pt>
                  <c:pt idx="5">
                    <c:v>3032.1586584281886</c:v>
                  </c:pt>
                  <c:pt idx="6">
                    <c:v>2818.617278865494</c:v>
                  </c:pt>
                  <c:pt idx="7">
                    <c:v>29.629665873156174</c:v>
                  </c:pt>
                </c:numCache>
              </c:numRef>
            </c:plus>
            <c:minus>
              <c:numRef>
                <c:f>'WTP Main'!$U$140:$U$147</c:f>
                <c:numCache>
                  <c:formatCode>General</c:formatCode>
                  <c:ptCount val="8"/>
                  <c:pt idx="0">
                    <c:v>6060.0035666103322</c:v>
                  </c:pt>
                  <c:pt idx="1">
                    <c:v>1049.8452679409379</c:v>
                  </c:pt>
                  <c:pt idx="2">
                    <c:v>2431.1650386049259</c:v>
                  </c:pt>
                  <c:pt idx="3">
                    <c:v>103.84315022688102</c:v>
                  </c:pt>
                  <c:pt idx="4">
                    <c:v>1491.6598188511282</c:v>
                  </c:pt>
                  <c:pt idx="5">
                    <c:v>1399.908529071811</c:v>
                  </c:pt>
                  <c:pt idx="6">
                    <c:v>871.14159942091555</c:v>
                  </c:pt>
                  <c:pt idx="7">
                    <c:v>21.062549664659102</c:v>
                  </c:pt>
                </c:numCache>
              </c:numRef>
            </c:minus>
            <c:spPr>
              <a:noFill/>
              <a:ln w="9525" cap="flat" cmpd="sng" algn="ctr">
                <a:solidFill>
                  <a:srgbClr val="000000"/>
                </a:solidFill>
                <a:round/>
              </a:ln>
              <a:effectLst/>
            </c:spPr>
          </c:errBars>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Main'!$D$140:$D$147</c:f>
              <c:numCache>
                <c:formatCode>"£"#,##0</c:formatCode>
                <c:ptCount val="8"/>
                <c:pt idx="0">
                  <c:v>7622.6095930999772</c:v>
                </c:pt>
                <c:pt idx="1">
                  <c:v>1538.744562493473</c:v>
                </c:pt>
                <c:pt idx="2">
                  <c:v>3038.9562982561574</c:v>
                </c:pt>
                <c:pt idx="3">
                  <c:v>129.80393778360127</c:v>
                </c:pt>
                <c:pt idx="4">
                  <c:v>1864.5747735639102</c:v>
                </c:pt>
                <c:pt idx="5">
                  <c:v>1749.8856613397638</c:v>
                </c:pt>
                <c:pt idx="6">
                  <c:v>1088.9269992761444</c:v>
                </c:pt>
                <c:pt idx="7">
                  <c:v>26.328187080823877</c:v>
                </c:pt>
              </c:numCache>
            </c:numRef>
          </c:val>
          <c:extLst>
            <c:ext xmlns:c16="http://schemas.microsoft.com/office/drawing/2014/chart" uri="{C3380CC4-5D6E-409C-BE32-E72D297353CC}">
              <c16:uniqueId val="{00000000-EE7B-4158-9189-22A25F92F731}"/>
            </c:ext>
          </c:extLst>
        </c:ser>
        <c:ser>
          <c:idx val="1"/>
          <c:order val="1"/>
          <c:tx>
            <c:strRef>
              <c:f>'WTP Main'!$E$139</c:f>
              <c:strCache>
                <c:ptCount val="1"/>
                <c:pt idx="0">
                  <c:v>WTPCore_DCE</c:v>
                </c:pt>
              </c:strCache>
            </c:strRef>
          </c:tx>
          <c:spPr>
            <a:solidFill>
              <a:schemeClr val="accent4"/>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Main'!$E$140:$E$147</c:f>
              <c:numCache>
                <c:formatCode>"£"#,##0</c:formatCode>
                <c:ptCount val="8"/>
                <c:pt idx="0">
                  <c:v>670.99390887298591</c:v>
                </c:pt>
                <c:pt idx="1">
                  <c:v>447.32927258199061</c:v>
                </c:pt>
                <c:pt idx="2">
                  <c:v>260.23872775996313</c:v>
                </c:pt>
                <c:pt idx="3">
                  <c:v>8.1544398647758722</c:v>
                </c:pt>
                <c:pt idx="4">
                  <c:v>59.451088669301917</c:v>
                </c:pt>
                <c:pt idx="5">
                  <c:v>37.156930418313699</c:v>
                </c:pt>
                <c:pt idx="6">
                  <c:v>32.097263297522041</c:v>
                </c:pt>
                <c:pt idx="7">
                  <c:v>25.861223571146333</c:v>
                </c:pt>
              </c:numCache>
            </c:numRef>
          </c:val>
          <c:extLst>
            <c:ext xmlns:c16="http://schemas.microsoft.com/office/drawing/2014/chart" uri="{C3380CC4-5D6E-409C-BE32-E72D297353CC}">
              <c16:uniqueId val="{00000001-EE7B-4158-9189-22A25F92F731}"/>
            </c:ext>
          </c:extLst>
        </c:ser>
        <c:ser>
          <c:idx val="2"/>
          <c:order val="2"/>
          <c:tx>
            <c:strRef>
              <c:f>'WTP Main'!$F$139</c:f>
              <c:strCache>
                <c:ptCount val="1"/>
                <c:pt idx="0">
                  <c:v>WTPCore_DCE2</c:v>
                </c:pt>
              </c:strCache>
            </c:strRef>
          </c:tx>
          <c:spPr>
            <a:solidFill>
              <a:schemeClr val="accent6"/>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Main'!$F$140:$F$147</c:f>
              <c:numCache>
                <c:formatCode>"£"#,##0</c:formatCode>
                <c:ptCount val="8"/>
                <c:pt idx="0">
                  <c:v>47.605134837061335</c:v>
                </c:pt>
                <c:pt idx="1">
                  <c:v>226.43797756730081</c:v>
                </c:pt>
                <c:pt idx="2">
                  <c:v>36.166957745748803</c:v>
                </c:pt>
                <c:pt idx="3">
                  <c:v>155.04854008821499</c:v>
                </c:pt>
                <c:pt idx="4">
                  <c:v>154.81769077846621</c:v>
                </c:pt>
                <c:pt idx="5">
                  <c:v>173.64881354494736</c:v>
                </c:pt>
                <c:pt idx="6">
                  <c:v>3.461292612463883</c:v>
                </c:pt>
                <c:pt idx="7">
                  <c:v>12.961619104875577</c:v>
                </c:pt>
              </c:numCache>
            </c:numRef>
          </c:val>
          <c:extLst>
            <c:ext xmlns:c16="http://schemas.microsoft.com/office/drawing/2014/chart" uri="{C3380CC4-5D6E-409C-BE32-E72D297353CC}">
              <c16:uniqueId val="{00000002-EE7B-4158-9189-22A25F92F731}"/>
            </c:ext>
          </c:extLst>
        </c:ser>
        <c:ser>
          <c:idx val="3"/>
          <c:order val="3"/>
          <c:tx>
            <c:strRef>
              <c:f>'WTP Main'!$G$139</c:f>
              <c:strCache>
                <c:ptCount val="1"/>
                <c:pt idx="0">
                  <c:v>WTP core_DCE_Private</c:v>
                </c:pt>
              </c:strCache>
            </c:strRef>
          </c:tx>
          <c:spPr>
            <a:solidFill>
              <a:schemeClr val="accent2">
                <a:lumMod val="60000"/>
              </a:schemeClr>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Main'!$G$140:$G$147</c:f>
              <c:numCache>
                <c:formatCode>"£"#,##0</c:formatCode>
                <c:ptCount val="8"/>
                <c:pt idx="0">
                  <c:v>1286.0716586732228</c:v>
                </c:pt>
                <c:pt idx="1">
                  <c:v>3299.0533852921799</c:v>
                </c:pt>
                <c:pt idx="2">
                  <c:v>587.11967026386287</c:v>
                </c:pt>
                <c:pt idx="3">
                  <c:v>7.4554878763665107</c:v>
                </c:pt>
                <c:pt idx="4">
                  <c:v>293.55983513193138</c:v>
                </c:pt>
                <c:pt idx="5">
                  <c:v>43.684499275585026</c:v>
                </c:pt>
                <c:pt idx="6">
                  <c:v>111.83231814549765</c:v>
                </c:pt>
                <c:pt idx="7">
                  <c:v>30.054935501602493</c:v>
                </c:pt>
              </c:numCache>
            </c:numRef>
          </c:val>
          <c:extLst>
            <c:ext xmlns:c16="http://schemas.microsoft.com/office/drawing/2014/chart" uri="{C3380CC4-5D6E-409C-BE32-E72D297353CC}">
              <c16:uniqueId val="{00000003-EE7B-4158-9189-22A25F92F731}"/>
            </c:ext>
          </c:extLst>
        </c:ser>
        <c:ser>
          <c:idx val="4"/>
          <c:order val="4"/>
          <c:tx>
            <c:strRef>
              <c:f>'WTP Main'!$I$139</c:f>
              <c:strCache>
                <c:ptCount val="1"/>
                <c:pt idx="0">
                  <c:v>WTPPR14</c:v>
                </c:pt>
              </c:strCache>
            </c:strRef>
          </c:tx>
          <c:spPr>
            <a:solidFill>
              <a:schemeClr val="accent4">
                <a:lumMod val="60000"/>
              </a:schemeClr>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Main'!$I$140:$I$147</c:f>
              <c:numCache>
                <c:formatCode>"£"#,##0</c:formatCode>
                <c:ptCount val="8"/>
                <c:pt idx="0">
                  <c:v>0</c:v>
                </c:pt>
                <c:pt idx="1">
                  <c:v>0</c:v>
                </c:pt>
                <c:pt idx="2">
                  <c:v>331.62462546974695</c:v>
                </c:pt>
                <c:pt idx="3">
                  <c:v>46.672450063537354</c:v>
                </c:pt>
                <c:pt idx="4">
                  <c:v>106.22351284577832</c:v>
                </c:pt>
                <c:pt idx="5">
                  <c:v>97.155651993089919</c:v>
                </c:pt>
                <c:pt idx="6">
                  <c:v>0</c:v>
                </c:pt>
                <c:pt idx="7">
                  <c:v>0</c:v>
                </c:pt>
              </c:numCache>
            </c:numRef>
          </c:val>
          <c:extLst>
            <c:ext xmlns:c16="http://schemas.microsoft.com/office/drawing/2014/chart" uri="{C3380CC4-5D6E-409C-BE32-E72D297353CC}">
              <c16:uniqueId val="{00000004-EE7B-4158-9189-22A25F92F731}"/>
            </c:ext>
          </c:extLst>
        </c:ser>
        <c:ser>
          <c:idx val="5"/>
          <c:order val="5"/>
          <c:tx>
            <c:strRef>
              <c:f>'WTP Main'!$J$139</c:f>
              <c:strCache>
                <c:ptCount val="1"/>
                <c:pt idx="0">
                  <c:v>ExternalWTP14</c:v>
                </c:pt>
              </c:strCache>
            </c:strRef>
          </c:tx>
          <c:spPr>
            <a:solidFill>
              <a:schemeClr val="accent6">
                <a:lumMod val="60000"/>
              </a:schemeClr>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Main'!$J$140:$J$147</c:f>
              <c:numCache>
                <c:formatCode>"£"#,##0</c:formatCode>
                <c:ptCount val="8"/>
                <c:pt idx="2">
                  <c:v>149.78088916431807</c:v>
                </c:pt>
                <c:pt idx="3">
                  <c:v>55.928404178913581</c:v>
                </c:pt>
                <c:pt idx="4">
                  <c:v>169.63504879521832</c:v>
                </c:pt>
                <c:pt idx="5">
                  <c:v>112.66464149650764</c:v>
                </c:pt>
                <c:pt idx="6">
                  <c:v>19.251092005067857</c:v>
                </c:pt>
              </c:numCache>
            </c:numRef>
          </c:val>
          <c:extLst>
            <c:ext xmlns:c16="http://schemas.microsoft.com/office/drawing/2014/chart" uri="{C3380CC4-5D6E-409C-BE32-E72D297353CC}">
              <c16:uniqueId val="{00000005-EE7B-4158-9189-22A25F92F731}"/>
            </c:ext>
          </c:extLst>
        </c:ser>
        <c:ser>
          <c:idx val="6"/>
          <c:order val="6"/>
          <c:tx>
            <c:strRef>
              <c:f>'WTP Main'!$K$139</c:f>
              <c:strCache>
                <c:ptCount val="1"/>
                <c:pt idx="0">
                  <c:v>ExternalWTP19</c:v>
                </c:pt>
              </c:strCache>
            </c:strRef>
          </c:tx>
          <c:spPr>
            <a:solidFill>
              <a:schemeClr val="accent2">
                <a:lumMod val="80000"/>
                <a:lumOff val="20000"/>
              </a:schemeClr>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Main'!$K$140:$K$147</c:f>
              <c:numCache>
                <c:formatCode>"£"#,##0</c:formatCode>
                <c:ptCount val="8"/>
                <c:pt idx="0">
                  <c:v>387.45832826120522</c:v>
                </c:pt>
                <c:pt idx="2">
                  <c:v>152.61700747461217</c:v>
                </c:pt>
                <c:pt idx="4">
                  <c:v>249.6432533843672</c:v>
                </c:pt>
                <c:pt idx="5">
                  <c:v>79.326027416999338</c:v>
                </c:pt>
                <c:pt idx="6">
                  <c:v>38.156281036863668</c:v>
                </c:pt>
              </c:numCache>
            </c:numRef>
          </c:val>
          <c:extLst>
            <c:ext xmlns:c16="http://schemas.microsoft.com/office/drawing/2014/chart" uri="{C3380CC4-5D6E-409C-BE32-E72D297353CC}">
              <c16:uniqueId val="{00000006-EE7B-4158-9189-22A25F92F731}"/>
            </c:ext>
          </c:extLst>
        </c:ser>
        <c:ser>
          <c:idx val="7"/>
          <c:order val="7"/>
          <c:tx>
            <c:strRef>
              <c:f>'WTP Main'!$L$139</c:f>
              <c:strCache>
                <c:ptCount val="1"/>
                <c:pt idx="0">
                  <c:v>WTPCore_MaxDiff</c:v>
                </c:pt>
              </c:strCache>
            </c:strRef>
          </c:tx>
          <c:spPr>
            <a:solidFill>
              <a:srgbClr val="FF0000"/>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Main'!$L$140:$L$147</c:f>
              <c:numCache>
                <c:formatCode>"£"#,##0</c:formatCode>
                <c:ptCount val="8"/>
                <c:pt idx="0">
                  <c:v>437.86379102101603</c:v>
                </c:pt>
                <c:pt idx="1">
                  <c:v>257.00700777320509</c:v>
                </c:pt>
                <c:pt idx="2">
                  <c:v>390.26990069264468</c:v>
                </c:pt>
                <c:pt idx="3">
                  <c:v>172.20523031397946</c:v>
                </c:pt>
                <c:pt idx="4">
                  <c:v>346.24555213890142</c:v>
                </c:pt>
                <c:pt idx="5">
                  <c:v>58.005053837702548</c:v>
                </c:pt>
                <c:pt idx="6">
                  <c:v>34.505570488069196</c:v>
                </c:pt>
                <c:pt idx="7">
                  <c:v>12.047203489368993</c:v>
                </c:pt>
              </c:numCache>
            </c:numRef>
          </c:val>
          <c:extLst>
            <c:ext xmlns:c16="http://schemas.microsoft.com/office/drawing/2014/chart" uri="{C3380CC4-5D6E-409C-BE32-E72D297353CC}">
              <c16:uniqueId val="{00000007-EE7B-4158-9189-22A25F92F731}"/>
            </c:ext>
          </c:extLst>
        </c:ser>
        <c:dLbls>
          <c:showLegendKey val="0"/>
          <c:showVal val="0"/>
          <c:showCatName val="0"/>
          <c:showSerName val="0"/>
          <c:showPercent val="0"/>
          <c:showBubbleSize val="0"/>
        </c:dLbls>
        <c:gapWidth val="219"/>
        <c:overlap val="-27"/>
        <c:axId val="-1083338384"/>
        <c:axId val="-1083338928"/>
      </c:barChart>
      <c:catAx>
        <c:axId val="-108333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38928"/>
        <c:crosses val="autoZero"/>
        <c:auto val="1"/>
        <c:lblAlgn val="ctr"/>
        <c:lblOffset val="100"/>
        <c:noMultiLvlLbl val="0"/>
      </c:catAx>
      <c:valAx>
        <c:axId val="-1083338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38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ysClr val="windowText" lastClr="000000"/>
                </a:solidFill>
                <a:effectLst/>
              </a:rPr>
              <a:t>SSW NHH WTP Unit Values and Range - Drought Restrictions (£/1% Risk/yr)</a:t>
            </a:r>
            <a:endParaRPr lang="en-GB">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Main'!$D$166</c:f>
              <c:strCache>
                <c:ptCount val="1"/>
                <c:pt idx="0">
                  <c:v>COMBINED</c:v>
                </c:pt>
              </c:strCache>
            </c:strRef>
          </c:tx>
          <c:spPr>
            <a:solidFill>
              <a:schemeClr val="accent2"/>
            </a:solidFill>
            <a:ln>
              <a:noFill/>
            </a:ln>
            <a:effectLst/>
          </c:spPr>
          <c:invertIfNegative val="0"/>
          <c:errBars>
            <c:errBarType val="both"/>
            <c:errValType val="cust"/>
            <c:noEndCap val="0"/>
            <c:plus>
              <c:numRef>
                <c:f>'WTP Main'!$R$167:$R$168</c:f>
                <c:numCache>
                  <c:formatCode>General</c:formatCode>
                  <c:ptCount val="2"/>
                  <c:pt idx="0">
                    <c:v>3456618.121972417</c:v>
                  </c:pt>
                  <c:pt idx="1">
                    <c:v>488874.4380787352</c:v>
                  </c:pt>
                </c:numCache>
              </c:numRef>
            </c:plus>
            <c:minus>
              <c:numRef>
                <c:f>'WTP Main'!$Q$167:$Q$168</c:f>
                <c:numCache>
                  <c:formatCode>General</c:formatCode>
                  <c:ptCount val="2"/>
                  <c:pt idx="0">
                    <c:v>2907316.4012063337</c:v>
                  </c:pt>
                  <c:pt idx="1">
                    <c:v>322614.0934544683</c:v>
                  </c:pt>
                </c:numCache>
              </c:numRef>
            </c:minus>
            <c:spPr>
              <a:noFill/>
              <a:ln w="9525" cap="flat" cmpd="sng" algn="ctr">
                <a:solidFill>
                  <a:srgbClr val="000000"/>
                </a:solidFill>
                <a:round/>
              </a:ln>
              <a:effectLst/>
            </c:spPr>
          </c:errBars>
          <c:cat>
            <c:strRef>
              <c:f>'WTP Main'!$A$167:$A$168</c:f>
              <c:strCache>
                <c:ptCount val="2"/>
                <c:pt idx="0">
                  <c:v>Drought restrictions</c:v>
                </c:pt>
                <c:pt idx="1">
                  <c:v>Temporary use ban</c:v>
                </c:pt>
              </c:strCache>
            </c:strRef>
          </c:cat>
          <c:val>
            <c:numRef>
              <c:f>'WTP Main'!$D$167:$D$168</c:f>
              <c:numCache>
                <c:formatCode>"£"#,##0</c:formatCode>
                <c:ptCount val="2"/>
                <c:pt idx="0">
                  <c:v>3952546.090307917</c:v>
                </c:pt>
                <c:pt idx="1">
                  <c:v>403267.61681808537</c:v>
                </c:pt>
              </c:numCache>
            </c:numRef>
          </c:val>
          <c:extLst>
            <c:ext xmlns:c16="http://schemas.microsoft.com/office/drawing/2014/chart" uri="{C3380CC4-5D6E-409C-BE32-E72D297353CC}">
              <c16:uniqueId val="{00000000-4708-4F09-9D1B-5BA35BD346AB}"/>
            </c:ext>
          </c:extLst>
        </c:ser>
        <c:ser>
          <c:idx val="1"/>
          <c:order val="1"/>
          <c:tx>
            <c:strRef>
              <c:f>'WTP Main'!$E$166</c:f>
              <c:strCache>
                <c:ptCount val="1"/>
                <c:pt idx="0">
                  <c:v>WTPCore_DCE</c:v>
                </c:pt>
              </c:strCache>
            </c:strRef>
          </c:tx>
          <c:spPr>
            <a:solidFill>
              <a:schemeClr val="accent4"/>
            </a:solidFill>
            <a:ln>
              <a:noFill/>
            </a:ln>
            <a:effectLst/>
          </c:spPr>
          <c:invertIfNegative val="0"/>
          <c:cat>
            <c:strRef>
              <c:f>'WTP Main'!$A$167:$A$168</c:f>
              <c:strCache>
                <c:ptCount val="2"/>
                <c:pt idx="0">
                  <c:v>Drought restrictions</c:v>
                </c:pt>
                <c:pt idx="1">
                  <c:v>Temporary use ban</c:v>
                </c:pt>
              </c:strCache>
            </c:strRef>
          </c:cat>
          <c:val>
            <c:numRef>
              <c:f>'WTP Main'!$E$167:$E$168</c:f>
              <c:numCache>
                <c:formatCode>"£"#,##0</c:formatCode>
                <c:ptCount val="2"/>
                <c:pt idx="0">
                  <c:v>318400.58879999997</c:v>
                </c:pt>
                <c:pt idx="1">
                  <c:v>159200.29439999998</c:v>
                </c:pt>
              </c:numCache>
            </c:numRef>
          </c:val>
          <c:extLst>
            <c:ext xmlns:c16="http://schemas.microsoft.com/office/drawing/2014/chart" uri="{C3380CC4-5D6E-409C-BE32-E72D297353CC}">
              <c16:uniqueId val="{00000001-4708-4F09-9D1B-5BA35BD346AB}"/>
            </c:ext>
          </c:extLst>
        </c:ser>
        <c:ser>
          <c:idx val="2"/>
          <c:order val="2"/>
          <c:tx>
            <c:strRef>
              <c:f>'WTP Main'!$F$166</c:f>
              <c:strCache>
                <c:ptCount val="1"/>
                <c:pt idx="0">
                  <c:v>WTPCore_DCE2</c:v>
                </c:pt>
              </c:strCache>
            </c:strRef>
          </c:tx>
          <c:spPr>
            <a:solidFill>
              <a:schemeClr val="accent6"/>
            </a:solidFill>
            <a:ln>
              <a:noFill/>
            </a:ln>
            <a:effectLst/>
          </c:spPr>
          <c:invertIfNegative val="0"/>
          <c:cat>
            <c:strRef>
              <c:f>'WTP Main'!$A$167:$A$168</c:f>
              <c:strCache>
                <c:ptCount val="2"/>
                <c:pt idx="0">
                  <c:v>Drought restrictions</c:v>
                </c:pt>
                <c:pt idx="1">
                  <c:v>Temporary use ban</c:v>
                </c:pt>
              </c:strCache>
            </c:strRef>
          </c:cat>
          <c:val>
            <c:numRef>
              <c:f>'WTP Main'!$F$167:$F$168</c:f>
              <c:numCache>
                <c:formatCode>"£"#,##0</c:formatCode>
                <c:ptCount val="2"/>
                <c:pt idx="1">
                  <c:v>264843.61611051176</c:v>
                </c:pt>
              </c:numCache>
            </c:numRef>
          </c:val>
          <c:extLst>
            <c:ext xmlns:c16="http://schemas.microsoft.com/office/drawing/2014/chart" uri="{C3380CC4-5D6E-409C-BE32-E72D297353CC}">
              <c16:uniqueId val="{00000002-4708-4F09-9D1B-5BA35BD346AB}"/>
            </c:ext>
          </c:extLst>
        </c:ser>
        <c:ser>
          <c:idx val="3"/>
          <c:order val="3"/>
          <c:tx>
            <c:strRef>
              <c:f>'WTP Main'!$G$166</c:f>
              <c:strCache>
                <c:ptCount val="1"/>
                <c:pt idx="0">
                  <c:v>WTP core_DCE_Private</c:v>
                </c:pt>
              </c:strCache>
            </c:strRef>
          </c:tx>
          <c:spPr>
            <a:solidFill>
              <a:schemeClr val="accent2">
                <a:lumMod val="60000"/>
              </a:schemeClr>
            </a:solidFill>
            <a:ln>
              <a:noFill/>
            </a:ln>
            <a:effectLst/>
          </c:spPr>
          <c:invertIfNegative val="0"/>
          <c:cat>
            <c:strRef>
              <c:f>'WTP Main'!$A$167:$A$168</c:f>
              <c:strCache>
                <c:ptCount val="2"/>
                <c:pt idx="0">
                  <c:v>Drought restrictions</c:v>
                </c:pt>
                <c:pt idx="1">
                  <c:v>Temporary use ban</c:v>
                </c:pt>
              </c:strCache>
            </c:strRef>
          </c:cat>
          <c:val>
            <c:numRef>
              <c:f>'WTP Main'!$G$167:$G$168</c:f>
              <c:numCache>
                <c:formatCode>"£"#,##0</c:formatCode>
                <c:ptCount val="2"/>
                <c:pt idx="0">
                  <c:v>318400.58879999997</c:v>
                </c:pt>
                <c:pt idx="1">
                  <c:v>1432802.6495999997</c:v>
                </c:pt>
              </c:numCache>
            </c:numRef>
          </c:val>
          <c:extLst>
            <c:ext xmlns:c16="http://schemas.microsoft.com/office/drawing/2014/chart" uri="{C3380CC4-5D6E-409C-BE32-E72D297353CC}">
              <c16:uniqueId val="{00000003-4708-4F09-9D1B-5BA35BD346AB}"/>
            </c:ext>
          </c:extLst>
        </c:ser>
        <c:ser>
          <c:idx val="4"/>
          <c:order val="4"/>
          <c:tx>
            <c:strRef>
              <c:f>'WTP Main'!$I$166</c:f>
              <c:strCache>
                <c:ptCount val="1"/>
                <c:pt idx="0">
                  <c:v>WTPPR14</c:v>
                </c:pt>
              </c:strCache>
            </c:strRef>
          </c:tx>
          <c:spPr>
            <a:solidFill>
              <a:schemeClr val="accent4">
                <a:lumMod val="60000"/>
              </a:schemeClr>
            </a:solidFill>
            <a:ln>
              <a:noFill/>
            </a:ln>
            <a:effectLst/>
          </c:spPr>
          <c:invertIfNegative val="0"/>
          <c:cat>
            <c:strRef>
              <c:f>'WTP Main'!$A$167:$A$168</c:f>
              <c:strCache>
                <c:ptCount val="2"/>
                <c:pt idx="0">
                  <c:v>Drought restrictions</c:v>
                </c:pt>
                <c:pt idx="1">
                  <c:v>Temporary use ban</c:v>
                </c:pt>
              </c:strCache>
            </c:strRef>
          </c:cat>
          <c:val>
            <c:numRef>
              <c:f>'WTP Main'!$I$167:$I$168</c:f>
              <c:numCache>
                <c:formatCode>"£"#,##0</c:formatCode>
                <c:ptCount val="2"/>
                <c:pt idx="0">
                  <c:v>0</c:v>
                </c:pt>
                <c:pt idx="1">
                  <c:v>11191.987904919824</c:v>
                </c:pt>
              </c:numCache>
            </c:numRef>
          </c:val>
          <c:extLst>
            <c:ext xmlns:c16="http://schemas.microsoft.com/office/drawing/2014/chart" uri="{C3380CC4-5D6E-409C-BE32-E72D297353CC}">
              <c16:uniqueId val="{00000004-4708-4F09-9D1B-5BA35BD346AB}"/>
            </c:ext>
          </c:extLst>
        </c:ser>
        <c:ser>
          <c:idx val="5"/>
          <c:order val="5"/>
          <c:tx>
            <c:strRef>
              <c:f>'WTP Main'!$J$166</c:f>
              <c:strCache>
                <c:ptCount val="1"/>
                <c:pt idx="0">
                  <c:v>ExternalWTP14</c:v>
                </c:pt>
              </c:strCache>
            </c:strRef>
          </c:tx>
          <c:spPr>
            <a:solidFill>
              <a:schemeClr val="accent6">
                <a:lumMod val="60000"/>
              </a:schemeClr>
            </a:solidFill>
            <a:ln>
              <a:noFill/>
            </a:ln>
            <a:effectLst/>
          </c:spPr>
          <c:invertIfNegative val="0"/>
          <c:cat>
            <c:strRef>
              <c:f>'WTP Main'!$A$167:$A$168</c:f>
              <c:strCache>
                <c:ptCount val="2"/>
                <c:pt idx="0">
                  <c:v>Drought restrictions</c:v>
                </c:pt>
                <c:pt idx="1">
                  <c:v>Temporary use ban</c:v>
                </c:pt>
              </c:strCache>
            </c:strRef>
          </c:cat>
          <c:val>
            <c:numRef>
              <c:f>'WTP Main'!$J$167:$J$168</c:f>
              <c:numCache>
                <c:formatCode>"£"#,##0</c:formatCode>
                <c:ptCount val="2"/>
                <c:pt idx="1">
                  <c:v>425038.91845028696</c:v>
                </c:pt>
              </c:numCache>
            </c:numRef>
          </c:val>
          <c:extLst>
            <c:ext xmlns:c16="http://schemas.microsoft.com/office/drawing/2014/chart" uri="{C3380CC4-5D6E-409C-BE32-E72D297353CC}">
              <c16:uniqueId val="{00000005-4708-4F09-9D1B-5BA35BD346AB}"/>
            </c:ext>
          </c:extLst>
        </c:ser>
        <c:ser>
          <c:idx val="6"/>
          <c:order val="6"/>
          <c:tx>
            <c:strRef>
              <c:f>'WTP Main'!$K$166</c:f>
              <c:strCache>
                <c:ptCount val="1"/>
                <c:pt idx="0">
                  <c:v>ExternalWTP19</c:v>
                </c:pt>
              </c:strCache>
            </c:strRef>
          </c:tx>
          <c:spPr>
            <a:solidFill>
              <a:schemeClr val="accent2">
                <a:lumMod val="80000"/>
                <a:lumOff val="20000"/>
              </a:schemeClr>
            </a:solidFill>
            <a:ln>
              <a:noFill/>
            </a:ln>
            <a:effectLst/>
          </c:spPr>
          <c:invertIfNegative val="0"/>
          <c:cat>
            <c:strRef>
              <c:f>'WTP Main'!$A$167:$A$168</c:f>
              <c:strCache>
                <c:ptCount val="2"/>
                <c:pt idx="0">
                  <c:v>Drought restrictions</c:v>
                </c:pt>
                <c:pt idx="1">
                  <c:v>Temporary use ban</c:v>
                </c:pt>
              </c:strCache>
            </c:strRef>
          </c:cat>
          <c:val>
            <c:numRef>
              <c:f>'WTP Main'!$K$167:$K$168</c:f>
              <c:numCache>
                <c:formatCode>"£"#,##0</c:formatCode>
                <c:ptCount val="2"/>
                <c:pt idx="0">
                  <c:v>443579.92386340257</c:v>
                </c:pt>
                <c:pt idx="1">
                  <c:v>238914.45496420949</c:v>
                </c:pt>
              </c:numCache>
            </c:numRef>
          </c:val>
          <c:extLst>
            <c:ext xmlns:c16="http://schemas.microsoft.com/office/drawing/2014/chart" uri="{C3380CC4-5D6E-409C-BE32-E72D297353CC}">
              <c16:uniqueId val="{00000006-4708-4F09-9D1B-5BA35BD346AB}"/>
            </c:ext>
          </c:extLst>
        </c:ser>
        <c:ser>
          <c:idx val="7"/>
          <c:order val="7"/>
          <c:tx>
            <c:strRef>
              <c:f>'WTP Main'!$L$166</c:f>
              <c:strCache>
                <c:ptCount val="1"/>
                <c:pt idx="0">
                  <c:v>WTPCore_MaxDiff</c:v>
                </c:pt>
              </c:strCache>
            </c:strRef>
          </c:tx>
          <c:spPr>
            <a:solidFill>
              <a:srgbClr val="FF0000"/>
            </a:solidFill>
            <a:ln>
              <a:noFill/>
            </a:ln>
            <a:effectLst/>
          </c:spPr>
          <c:invertIfNegative val="0"/>
          <c:cat>
            <c:strRef>
              <c:f>'WTP Main'!$A$167:$A$168</c:f>
              <c:strCache>
                <c:ptCount val="2"/>
                <c:pt idx="0">
                  <c:v>Drought restrictions</c:v>
                </c:pt>
                <c:pt idx="1">
                  <c:v>Temporary use ban</c:v>
                </c:pt>
              </c:strCache>
            </c:strRef>
          </c:cat>
          <c:val>
            <c:numRef>
              <c:f>'WTP Main'!$L$167:$L$168</c:f>
              <c:numCache>
                <c:formatCode>"£"#,##0</c:formatCode>
                <c:ptCount val="2"/>
                <c:pt idx="0">
                  <c:v>1075442.5000092394</c:v>
                </c:pt>
                <c:pt idx="1">
                  <c:v>663978.19950570446</c:v>
                </c:pt>
              </c:numCache>
            </c:numRef>
          </c:val>
          <c:extLst>
            <c:ext xmlns:c16="http://schemas.microsoft.com/office/drawing/2014/chart" uri="{C3380CC4-5D6E-409C-BE32-E72D297353CC}">
              <c16:uniqueId val="{00000007-4708-4F09-9D1B-5BA35BD346AB}"/>
            </c:ext>
          </c:extLst>
        </c:ser>
        <c:dLbls>
          <c:showLegendKey val="0"/>
          <c:showVal val="0"/>
          <c:showCatName val="0"/>
          <c:showSerName val="0"/>
          <c:showPercent val="0"/>
          <c:showBubbleSize val="0"/>
        </c:dLbls>
        <c:gapWidth val="219"/>
        <c:overlap val="-27"/>
        <c:axId val="-1083344912"/>
        <c:axId val="-1083336752"/>
      </c:barChart>
      <c:catAx>
        <c:axId val="-1083344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36752"/>
        <c:crosses val="autoZero"/>
        <c:auto val="1"/>
        <c:lblAlgn val="ctr"/>
        <c:lblOffset val="100"/>
        <c:noMultiLvlLbl val="0"/>
      </c:catAx>
      <c:valAx>
        <c:axId val="-1083336752"/>
        <c:scaling>
          <c:orientation val="minMax"/>
          <c:max val="25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44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ysClr val="windowText" lastClr="000000"/>
                </a:solidFill>
                <a:effectLst/>
              </a:rPr>
              <a:t>SSW NHH WTP Unit Values and Range - Leakage (£/MLD/yr) </a:t>
            </a:r>
            <a:endParaRPr lang="en-GB">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Main'!$D$195</c:f>
              <c:strCache>
                <c:ptCount val="1"/>
                <c:pt idx="0">
                  <c:v>COMBINED</c:v>
                </c:pt>
              </c:strCache>
            </c:strRef>
          </c:tx>
          <c:spPr>
            <a:solidFill>
              <a:schemeClr val="accent2"/>
            </a:solidFill>
            <a:ln>
              <a:noFill/>
            </a:ln>
            <a:effectLst/>
          </c:spPr>
          <c:invertIfNegative val="0"/>
          <c:errBars>
            <c:errBarType val="both"/>
            <c:errValType val="cust"/>
            <c:noEndCap val="0"/>
            <c:plus>
              <c:numRef>
                <c:f>'WTP Main'!$V$196</c:f>
                <c:numCache>
                  <c:formatCode>General</c:formatCode>
                  <c:ptCount val="1"/>
                  <c:pt idx="0">
                    <c:v>81572.569714013691</c:v>
                  </c:pt>
                </c:numCache>
              </c:numRef>
            </c:plus>
            <c:minus>
              <c:numRef>
                <c:f>'WTP Main'!$U$196</c:f>
                <c:numCache>
                  <c:formatCode>General</c:formatCode>
                  <c:ptCount val="1"/>
                  <c:pt idx="0">
                    <c:v>66016.314990529863</c:v>
                  </c:pt>
                </c:numCache>
              </c:numRef>
            </c:minus>
            <c:spPr>
              <a:noFill/>
              <a:ln w="9525" cap="flat" cmpd="sng" algn="ctr">
                <a:solidFill>
                  <a:srgbClr val="000000"/>
                </a:solidFill>
                <a:round/>
              </a:ln>
              <a:effectLst/>
            </c:spPr>
          </c:errBars>
          <c:cat>
            <c:strRef>
              <c:f>'WTP Main'!$A$196</c:f>
              <c:strCache>
                <c:ptCount val="1"/>
                <c:pt idx="0">
                  <c:v>Leakage</c:v>
                </c:pt>
              </c:strCache>
            </c:strRef>
          </c:cat>
          <c:val>
            <c:numRef>
              <c:f>'WTP Main'!$D$196</c:f>
              <c:numCache>
                <c:formatCode>"£"#,##0</c:formatCode>
                <c:ptCount val="1"/>
                <c:pt idx="0">
                  <c:v>82520.393738162325</c:v>
                </c:pt>
              </c:numCache>
            </c:numRef>
          </c:val>
          <c:extLst>
            <c:ext xmlns:c16="http://schemas.microsoft.com/office/drawing/2014/chart" uri="{C3380CC4-5D6E-409C-BE32-E72D297353CC}">
              <c16:uniqueId val="{00000000-9F42-4D92-ADEE-B5EEBDED40DE}"/>
            </c:ext>
          </c:extLst>
        </c:ser>
        <c:ser>
          <c:idx val="1"/>
          <c:order val="1"/>
          <c:tx>
            <c:strRef>
              <c:f>'WTP Main'!$E$195</c:f>
              <c:strCache>
                <c:ptCount val="1"/>
                <c:pt idx="0">
                  <c:v>WTPCore_DCE</c:v>
                </c:pt>
              </c:strCache>
            </c:strRef>
          </c:tx>
          <c:spPr>
            <a:solidFill>
              <a:schemeClr val="accent4"/>
            </a:solidFill>
            <a:ln>
              <a:noFill/>
            </a:ln>
            <a:effectLst/>
          </c:spPr>
          <c:invertIfNegative val="0"/>
          <c:cat>
            <c:strRef>
              <c:f>'WTP Main'!$A$196</c:f>
              <c:strCache>
                <c:ptCount val="1"/>
                <c:pt idx="0">
                  <c:v>Leakage</c:v>
                </c:pt>
              </c:strCache>
            </c:strRef>
          </c:cat>
          <c:val>
            <c:numRef>
              <c:f>'WTP Main'!$E$196</c:f>
              <c:numCache>
                <c:formatCode>"£"#,##0</c:formatCode>
                <c:ptCount val="1"/>
                <c:pt idx="0">
                  <c:v>18818.001702127662</c:v>
                </c:pt>
              </c:numCache>
            </c:numRef>
          </c:val>
          <c:extLst>
            <c:ext xmlns:c16="http://schemas.microsoft.com/office/drawing/2014/chart" uri="{C3380CC4-5D6E-409C-BE32-E72D297353CC}">
              <c16:uniqueId val="{00000001-9F42-4D92-ADEE-B5EEBDED40DE}"/>
            </c:ext>
          </c:extLst>
        </c:ser>
        <c:ser>
          <c:idx val="2"/>
          <c:order val="2"/>
          <c:tx>
            <c:strRef>
              <c:f>'WTP Main'!$F$195</c:f>
              <c:strCache>
                <c:ptCount val="1"/>
                <c:pt idx="0">
                  <c:v>WTPCore_DCE2</c:v>
                </c:pt>
              </c:strCache>
            </c:strRef>
          </c:tx>
          <c:spPr>
            <a:solidFill>
              <a:schemeClr val="accent6"/>
            </a:solidFill>
            <a:ln>
              <a:noFill/>
            </a:ln>
            <a:effectLst/>
          </c:spPr>
          <c:invertIfNegative val="0"/>
          <c:cat>
            <c:strRef>
              <c:f>'WTP Main'!$A$196</c:f>
              <c:strCache>
                <c:ptCount val="1"/>
                <c:pt idx="0">
                  <c:v>Leakage</c:v>
                </c:pt>
              </c:strCache>
            </c:strRef>
          </c:cat>
          <c:val>
            <c:numRef>
              <c:f>'WTP Main'!$F$196</c:f>
              <c:numCache>
                <c:formatCode>"£"#,##0</c:formatCode>
                <c:ptCount val="1"/>
                <c:pt idx="0">
                  <c:v>94293.266018211216</c:v>
                </c:pt>
              </c:numCache>
            </c:numRef>
          </c:val>
          <c:extLst>
            <c:ext xmlns:c16="http://schemas.microsoft.com/office/drawing/2014/chart" uri="{C3380CC4-5D6E-409C-BE32-E72D297353CC}">
              <c16:uniqueId val="{00000002-9F42-4D92-ADEE-B5EEBDED40DE}"/>
            </c:ext>
          </c:extLst>
        </c:ser>
        <c:ser>
          <c:idx val="3"/>
          <c:order val="3"/>
          <c:tx>
            <c:strRef>
              <c:f>'WTP Main'!$G$195</c:f>
              <c:strCache>
                <c:ptCount val="1"/>
                <c:pt idx="0">
                  <c:v>WTP core_DCE_Private</c:v>
                </c:pt>
              </c:strCache>
            </c:strRef>
          </c:tx>
          <c:spPr>
            <a:solidFill>
              <a:schemeClr val="accent2">
                <a:lumMod val="60000"/>
              </a:schemeClr>
            </a:solidFill>
            <a:ln>
              <a:noFill/>
            </a:ln>
            <a:effectLst/>
          </c:spPr>
          <c:invertIfNegative val="0"/>
          <c:cat>
            <c:strRef>
              <c:f>'WTP Main'!$A$196</c:f>
              <c:strCache>
                <c:ptCount val="1"/>
                <c:pt idx="0">
                  <c:v>Leakage</c:v>
                </c:pt>
              </c:strCache>
            </c:strRef>
          </c:cat>
          <c:val>
            <c:numRef>
              <c:f>'WTP Main'!$G$196</c:f>
              <c:numCache>
                <c:formatCode>"£"#,##0</c:formatCode>
                <c:ptCount val="1"/>
                <c:pt idx="0">
                  <c:v>150544.01361702129</c:v>
                </c:pt>
              </c:numCache>
            </c:numRef>
          </c:val>
          <c:extLst>
            <c:ext xmlns:c16="http://schemas.microsoft.com/office/drawing/2014/chart" uri="{C3380CC4-5D6E-409C-BE32-E72D297353CC}">
              <c16:uniqueId val="{00000003-9F42-4D92-ADEE-B5EEBDED40DE}"/>
            </c:ext>
          </c:extLst>
        </c:ser>
        <c:ser>
          <c:idx val="4"/>
          <c:order val="4"/>
          <c:tx>
            <c:strRef>
              <c:f>'WTP Main'!$J$195</c:f>
              <c:strCache>
                <c:ptCount val="1"/>
                <c:pt idx="0">
                  <c:v>ExternalWTP14</c:v>
                </c:pt>
              </c:strCache>
            </c:strRef>
          </c:tx>
          <c:spPr>
            <a:solidFill>
              <a:schemeClr val="accent4">
                <a:lumMod val="60000"/>
              </a:schemeClr>
            </a:solidFill>
            <a:ln>
              <a:noFill/>
            </a:ln>
            <a:effectLst/>
          </c:spPr>
          <c:invertIfNegative val="0"/>
          <c:cat>
            <c:strRef>
              <c:f>'WTP Main'!$A$196</c:f>
              <c:strCache>
                <c:ptCount val="1"/>
                <c:pt idx="0">
                  <c:v>Leakage</c:v>
                </c:pt>
              </c:strCache>
            </c:strRef>
          </c:cat>
          <c:val>
            <c:numRef>
              <c:f>'WTP Main'!$J$196</c:f>
              <c:numCache>
                <c:formatCode>"£"#,##0</c:formatCode>
                <c:ptCount val="1"/>
                <c:pt idx="0">
                  <c:v>18602.663492617012</c:v>
                </c:pt>
              </c:numCache>
            </c:numRef>
          </c:val>
          <c:extLst>
            <c:ext xmlns:c16="http://schemas.microsoft.com/office/drawing/2014/chart" uri="{C3380CC4-5D6E-409C-BE32-E72D297353CC}">
              <c16:uniqueId val="{00000004-9F42-4D92-ADEE-B5EEBDED40DE}"/>
            </c:ext>
          </c:extLst>
        </c:ser>
        <c:ser>
          <c:idx val="5"/>
          <c:order val="5"/>
          <c:tx>
            <c:strRef>
              <c:f>'WTP Main'!$K$195</c:f>
              <c:strCache>
                <c:ptCount val="1"/>
                <c:pt idx="0">
                  <c:v>ExternalWTP19</c:v>
                </c:pt>
              </c:strCache>
            </c:strRef>
          </c:tx>
          <c:spPr>
            <a:solidFill>
              <a:schemeClr val="accent6">
                <a:lumMod val="60000"/>
              </a:schemeClr>
            </a:solidFill>
            <a:ln>
              <a:noFill/>
            </a:ln>
            <a:effectLst/>
          </c:spPr>
          <c:invertIfNegative val="0"/>
          <c:cat>
            <c:strRef>
              <c:f>'WTP Main'!$A$196</c:f>
              <c:strCache>
                <c:ptCount val="1"/>
                <c:pt idx="0">
                  <c:v>Leakage</c:v>
                </c:pt>
              </c:strCache>
            </c:strRef>
          </c:cat>
          <c:val>
            <c:numRef>
              <c:f>'WTP Main'!$K$196</c:f>
              <c:numCache>
                <c:formatCode>"£"#,##0</c:formatCode>
                <c:ptCount val="1"/>
                <c:pt idx="0">
                  <c:v>47026.239641482447</c:v>
                </c:pt>
              </c:numCache>
            </c:numRef>
          </c:val>
          <c:extLst>
            <c:ext xmlns:c16="http://schemas.microsoft.com/office/drawing/2014/chart" uri="{C3380CC4-5D6E-409C-BE32-E72D297353CC}">
              <c16:uniqueId val="{00000005-9F42-4D92-ADEE-B5EEBDED40DE}"/>
            </c:ext>
          </c:extLst>
        </c:ser>
        <c:ser>
          <c:idx val="6"/>
          <c:order val="6"/>
          <c:tx>
            <c:strRef>
              <c:f>'WTP Main'!$L$195</c:f>
              <c:strCache>
                <c:ptCount val="1"/>
                <c:pt idx="0">
                  <c:v>WTPCore_MaxDiff</c:v>
                </c:pt>
              </c:strCache>
            </c:strRef>
          </c:tx>
          <c:spPr>
            <a:solidFill>
              <a:schemeClr val="accent2">
                <a:lumMod val="80000"/>
                <a:lumOff val="20000"/>
              </a:schemeClr>
            </a:solidFill>
            <a:ln>
              <a:noFill/>
            </a:ln>
            <a:effectLst/>
          </c:spPr>
          <c:invertIfNegative val="0"/>
          <c:cat>
            <c:strRef>
              <c:f>'WTP Main'!$A$196</c:f>
              <c:strCache>
                <c:ptCount val="1"/>
                <c:pt idx="0">
                  <c:v>Leakage</c:v>
                </c:pt>
              </c:strCache>
            </c:strRef>
          </c:cat>
          <c:val>
            <c:numRef>
              <c:f>'WTP Main'!$L$196</c:f>
              <c:numCache>
                <c:formatCode>"£"#,##0</c:formatCode>
                <c:ptCount val="1"/>
                <c:pt idx="0">
                  <c:v>20822.397340604428</c:v>
                </c:pt>
              </c:numCache>
            </c:numRef>
          </c:val>
          <c:extLst>
            <c:ext xmlns:c16="http://schemas.microsoft.com/office/drawing/2014/chart" uri="{C3380CC4-5D6E-409C-BE32-E72D297353CC}">
              <c16:uniqueId val="{00000006-9F42-4D92-ADEE-B5EEBDED40DE}"/>
            </c:ext>
          </c:extLst>
        </c:ser>
        <c:dLbls>
          <c:showLegendKey val="0"/>
          <c:showVal val="0"/>
          <c:showCatName val="0"/>
          <c:showSerName val="0"/>
          <c:showPercent val="0"/>
          <c:showBubbleSize val="0"/>
        </c:dLbls>
        <c:gapWidth val="219"/>
        <c:overlap val="-27"/>
        <c:axId val="-1083336208"/>
        <c:axId val="-1083335664"/>
      </c:barChart>
      <c:catAx>
        <c:axId val="-1083336208"/>
        <c:scaling>
          <c:orientation val="minMax"/>
        </c:scaling>
        <c:delete val="0"/>
        <c:axPos val="b"/>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35664"/>
        <c:crosses val="autoZero"/>
        <c:auto val="1"/>
        <c:lblAlgn val="ctr"/>
        <c:lblOffset val="100"/>
        <c:noMultiLvlLbl val="0"/>
      </c:catAx>
      <c:valAx>
        <c:axId val="-1083335664"/>
        <c:scaling>
          <c:orientation val="minMax"/>
          <c:max val="25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36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ysClr val="windowText" lastClr="000000"/>
                </a:solidFill>
                <a:effectLst/>
              </a:rPr>
              <a:t>SSW NHH WTP Unit Values and Range - Environmental Protection (£/Hectare/yr)</a:t>
            </a:r>
            <a:endParaRPr lang="en-GB" sz="14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Main'!$D$259</c:f>
              <c:strCache>
                <c:ptCount val="1"/>
                <c:pt idx="0">
                  <c:v>COMBINED</c:v>
                </c:pt>
              </c:strCache>
            </c:strRef>
          </c:tx>
          <c:spPr>
            <a:solidFill>
              <a:schemeClr val="accent2"/>
            </a:solidFill>
            <a:ln>
              <a:noFill/>
            </a:ln>
            <a:effectLst/>
          </c:spPr>
          <c:invertIfNegative val="0"/>
          <c:errBars>
            <c:errBarType val="both"/>
            <c:errValType val="cust"/>
            <c:noEndCap val="0"/>
            <c:plus>
              <c:numRef>
                <c:f>'WTP Main'!$V$260:$V$261</c:f>
                <c:numCache>
                  <c:formatCode>General</c:formatCode>
                  <c:ptCount val="2"/>
                  <c:pt idx="0">
                    <c:v>12163.040714653127</c:v>
                  </c:pt>
                  <c:pt idx="1">
                    <c:v>9925.6523834826221</c:v>
                  </c:pt>
                </c:numCache>
              </c:numRef>
            </c:plus>
            <c:minus>
              <c:numRef>
                <c:f>'WTP Main'!$U$260:$U$261</c:f>
                <c:numCache>
                  <c:formatCode>General</c:formatCode>
                  <c:ptCount val="2"/>
                  <c:pt idx="0">
                    <c:v>6760.7656156024623</c:v>
                  </c:pt>
                  <c:pt idx="1">
                    <c:v>6463.690442807504</c:v>
                  </c:pt>
                </c:numCache>
              </c:numRef>
            </c:minus>
            <c:spPr>
              <a:noFill/>
              <a:ln w="9525" cap="flat" cmpd="sng" algn="ctr">
                <a:solidFill>
                  <a:srgbClr val="000000"/>
                </a:solidFill>
                <a:round/>
              </a:ln>
              <a:effectLst/>
            </c:spPr>
          </c:errBars>
          <c:cat>
            <c:strRef>
              <c:f>'WTP Main'!$A$260:$A$261</c:f>
              <c:strCache>
                <c:ptCount val="2"/>
                <c:pt idx="0">
                  <c:v>Protecting wildlife habitats</c:v>
                </c:pt>
                <c:pt idx="1">
                  <c:v>Managing impacts on rivers &amp; streams</c:v>
                </c:pt>
              </c:strCache>
            </c:strRef>
          </c:cat>
          <c:val>
            <c:numRef>
              <c:f>'WTP Main'!$D$260:$D$261</c:f>
              <c:numCache>
                <c:formatCode>"£"#,##0</c:formatCode>
                <c:ptCount val="2"/>
                <c:pt idx="0">
                  <c:v>8450.9570195030774</c:v>
                </c:pt>
                <c:pt idx="1">
                  <c:v>11467.256928538485</c:v>
                </c:pt>
              </c:numCache>
            </c:numRef>
          </c:val>
          <c:extLst>
            <c:ext xmlns:c16="http://schemas.microsoft.com/office/drawing/2014/chart" uri="{C3380CC4-5D6E-409C-BE32-E72D297353CC}">
              <c16:uniqueId val="{00000000-6EEE-41FC-AF84-1CE1A1545388}"/>
            </c:ext>
          </c:extLst>
        </c:ser>
        <c:ser>
          <c:idx val="1"/>
          <c:order val="1"/>
          <c:tx>
            <c:strRef>
              <c:f>'WTP Main'!$E$259</c:f>
              <c:strCache>
                <c:ptCount val="1"/>
                <c:pt idx="0">
                  <c:v>WTPCore_DCE</c:v>
                </c:pt>
              </c:strCache>
            </c:strRef>
          </c:tx>
          <c:spPr>
            <a:solidFill>
              <a:schemeClr val="accent4"/>
            </a:solidFill>
            <a:ln>
              <a:noFill/>
            </a:ln>
            <a:effectLst/>
          </c:spPr>
          <c:invertIfNegative val="0"/>
          <c:cat>
            <c:strRef>
              <c:f>'WTP Main'!$A$260:$A$261</c:f>
              <c:strCache>
                <c:ptCount val="2"/>
                <c:pt idx="0">
                  <c:v>Protecting wildlife habitats</c:v>
                </c:pt>
                <c:pt idx="1">
                  <c:v>Managing impacts on rivers &amp; streams</c:v>
                </c:pt>
              </c:strCache>
            </c:strRef>
          </c:cat>
          <c:val>
            <c:numRef>
              <c:f>'WTP Main'!$E$260:$E$261</c:f>
              <c:numCache>
                <c:formatCode>"£"#,##0</c:formatCode>
                <c:ptCount val="2"/>
                <c:pt idx="0">
                  <c:v>6633.3456000000006</c:v>
                </c:pt>
                <c:pt idx="1">
                  <c:v>5306.6764800000001</c:v>
                </c:pt>
              </c:numCache>
            </c:numRef>
          </c:val>
          <c:extLst>
            <c:ext xmlns:c16="http://schemas.microsoft.com/office/drawing/2014/chart" uri="{C3380CC4-5D6E-409C-BE32-E72D297353CC}">
              <c16:uniqueId val="{00000001-6EEE-41FC-AF84-1CE1A1545388}"/>
            </c:ext>
          </c:extLst>
        </c:ser>
        <c:ser>
          <c:idx val="2"/>
          <c:order val="2"/>
          <c:tx>
            <c:strRef>
              <c:f>'WTP Main'!$F$259</c:f>
              <c:strCache>
                <c:ptCount val="1"/>
                <c:pt idx="0">
                  <c:v>WTPCore_DCE2</c:v>
                </c:pt>
              </c:strCache>
            </c:strRef>
          </c:tx>
          <c:spPr>
            <a:solidFill>
              <a:schemeClr val="accent6"/>
            </a:solidFill>
            <a:ln>
              <a:noFill/>
            </a:ln>
            <a:effectLst/>
          </c:spPr>
          <c:invertIfNegative val="0"/>
          <c:cat>
            <c:strRef>
              <c:f>'WTP Main'!$A$260:$A$261</c:f>
              <c:strCache>
                <c:ptCount val="2"/>
                <c:pt idx="0">
                  <c:v>Protecting wildlife habitats</c:v>
                </c:pt>
                <c:pt idx="1">
                  <c:v>Managing impacts on rivers &amp; streams</c:v>
                </c:pt>
              </c:strCache>
            </c:strRef>
          </c:cat>
          <c:val>
            <c:numRef>
              <c:f>'WTP Main'!$F$260:$F$261</c:f>
              <c:numCache>
                <c:formatCode>"£"#,##0</c:formatCode>
                <c:ptCount val="2"/>
                <c:pt idx="0">
                  <c:v>4845.6045541539843</c:v>
                </c:pt>
                <c:pt idx="1">
                  <c:v>5105.1011153992204</c:v>
                </c:pt>
              </c:numCache>
            </c:numRef>
          </c:val>
          <c:extLst>
            <c:ext xmlns:c16="http://schemas.microsoft.com/office/drawing/2014/chart" uri="{C3380CC4-5D6E-409C-BE32-E72D297353CC}">
              <c16:uniqueId val="{00000002-6EEE-41FC-AF84-1CE1A1545388}"/>
            </c:ext>
          </c:extLst>
        </c:ser>
        <c:ser>
          <c:idx val="3"/>
          <c:order val="3"/>
          <c:tx>
            <c:strRef>
              <c:f>'WTP Main'!$G$259</c:f>
              <c:strCache>
                <c:ptCount val="1"/>
                <c:pt idx="0">
                  <c:v>WTP core_DCE_Private</c:v>
                </c:pt>
              </c:strCache>
            </c:strRef>
          </c:tx>
          <c:spPr>
            <a:solidFill>
              <a:schemeClr val="accent2">
                <a:lumMod val="60000"/>
              </a:schemeClr>
            </a:solidFill>
            <a:ln>
              <a:noFill/>
            </a:ln>
            <a:effectLst/>
          </c:spPr>
          <c:invertIfNegative val="0"/>
          <c:cat>
            <c:strRef>
              <c:f>'WTP Main'!$A$260:$A$261</c:f>
              <c:strCache>
                <c:ptCount val="2"/>
                <c:pt idx="0">
                  <c:v>Protecting wildlife habitats</c:v>
                </c:pt>
                <c:pt idx="1">
                  <c:v>Managing impacts on rivers &amp; streams</c:v>
                </c:pt>
              </c:strCache>
            </c:strRef>
          </c:cat>
          <c:val>
            <c:numRef>
              <c:f>'WTP Main'!$G$260:$G$261</c:f>
              <c:numCache>
                <c:formatCode>"£"#,##0</c:formatCode>
                <c:ptCount val="2"/>
                <c:pt idx="0">
                  <c:v>5306.6764800000001</c:v>
                </c:pt>
                <c:pt idx="1">
                  <c:v>5306.6764800000001</c:v>
                </c:pt>
              </c:numCache>
            </c:numRef>
          </c:val>
          <c:extLst>
            <c:ext xmlns:c16="http://schemas.microsoft.com/office/drawing/2014/chart" uri="{C3380CC4-5D6E-409C-BE32-E72D297353CC}">
              <c16:uniqueId val="{00000003-6EEE-41FC-AF84-1CE1A1545388}"/>
            </c:ext>
          </c:extLst>
        </c:ser>
        <c:ser>
          <c:idx val="4"/>
          <c:order val="4"/>
          <c:tx>
            <c:strRef>
              <c:f>'WTP Main'!$K$259</c:f>
              <c:strCache>
                <c:ptCount val="1"/>
                <c:pt idx="0">
                  <c:v>ExternalWTP19</c:v>
                </c:pt>
              </c:strCache>
            </c:strRef>
          </c:tx>
          <c:spPr>
            <a:solidFill>
              <a:schemeClr val="accent4">
                <a:lumMod val="60000"/>
              </a:schemeClr>
            </a:solidFill>
            <a:ln>
              <a:noFill/>
            </a:ln>
            <a:effectLst/>
          </c:spPr>
          <c:invertIfNegative val="0"/>
          <c:cat>
            <c:strRef>
              <c:f>'WTP Main'!$A$260:$A$261</c:f>
              <c:strCache>
                <c:ptCount val="2"/>
                <c:pt idx="0">
                  <c:v>Protecting wildlife habitats</c:v>
                </c:pt>
                <c:pt idx="1">
                  <c:v>Managing impacts on rivers &amp; streams</c:v>
                </c:pt>
              </c:strCache>
            </c:strRef>
          </c:cat>
          <c:val>
            <c:numRef>
              <c:f>'WTP Main'!$K$260:$K$261</c:f>
              <c:numCache>
                <c:formatCode>"£"#,##0</c:formatCode>
                <c:ptCount val="2"/>
                <c:pt idx="0">
                  <c:v>4309.787776513891</c:v>
                </c:pt>
              </c:numCache>
            </c:numRef>
          </c:val>
          <c:extLst>
            <c:ext xmlns:c16="http://schemas.microsoft.com/office/drawing/2014/chart" uri="{C3380CC4-5D6E-409C-BE32-E72D297353CC}">
              <c16:uniqueId val="{00000004-6EEE-41FC-AF84-1CE1A1545388}"/>
            </c:ext>
          </c:extLst>
        </c:ser>
        <c:ser>
          <c:idx val="5"/>
          <c:order val="5"/>
          <c:tx>
            <c:strRef>
              <c:f>'WTP Main'!$L$259</c:f>
              <c:strCache>
                <c:ptCount val="1"/>
                <c:pt idx="0">
                  <c:v>WTPCore_MaxDiff</c:v>
                </c:pt>
              </c:strCache>
            </c:strRef>
          </c:tx>
          <c:spPr>
            <a:solidFill>
              <a:schemeClr val="accent6">
                <a:lumMod val="60000"/>
              </a:schemeClr>
            </a:solidFill>
            <a:ln>
              <a:noFill/>
            </a:ln>
            <a:effectLst/>
          </c:spPr>
          <c:invertIfNegative val="0"/>
          <c:cat>
            <c:strRef>
              <c:f>'WTP Main'!$A$260:$A$261</c:f>
              <c:strCache>
                <c:ptCount val="2"/>
                <c:pt idx="0">
                  <c:v>Protecting wildlife habitats</c:v>
                </c:pt>
                <c:pt idx="1">
                  <c:v>Managing impacts on rivers &amp; streams</c:v>
                </c:pt>
              </c:strCache>
            </c:strRef>
          </c:cat>
          <c:val>
            <c:numRef>
              <c:f>'WTP Main'!$L$260:$L$261</c:f>
              <c:numCache>
                <c:formatCode>"£"#,##0</c:formatCode>
                <c:ptCount val="2"/>
                <c:pt idx="0">
                  <c:v>12647.203800108658</c:v>
                </c:pt>
                <c:pt idx="1">
                  <c:v>3387.6438750291049</c:v>
                </c:pt>
              </c:numCache>
            </c:numRef>
          </c:val>
          <c:extLst>
            <c:ext xmlns:c16="http://schemas.microsoft.com/office/drawing/2014/chart" uri="{C3380CC4-5D6E-409C-BE32-E72D297353CC}">
              <c16:uniqueId val="{00000005-6EEE-41FC-AF84-1CE1A1545388}"/>
            </c:ext>
          </c:extLst>
        </c:ser>
        <c:dLbls>
          <c:showLegendKey val="0"/>
          <c:showVal val="0"/>
          <c:showCatName val="0"/>
          <c:showSerName val="0"/>
          <c:showPercent val="0"/>
          <c:showBubbleSize val="0"/>
        </c:dLbls>
        <c:gapWidth val="219"/>
        <c:overlap val="-27"/>
        <c:axId val="-1083341104"/>
        <c:axId val="-1083348720"/>
      </c:barChart>
      <c:catAx>
        <c:axId val="-108334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48720"/>
        <c:crosses val="autoZero"/>
        <c:auto val="1"/>
        <c:lblAlgn val="ctr"/>
        <c:lblOffset val="100"/>
        <c:noMultiLvlLbl val="0"/>
      </c:catAx>
      <c:valAx>
        <c:axId val="-1083348720"/>
        <c:scaling>
          <c:orientation val="minMax"/>
          <c:max val="4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4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SSW</a:t>
            </a:r>
            <a:r>
              <a:rPr lang="en-US" b="1" baseline="0"/>
              <a:t> HH </a:t>
            </a:r>
            <a:r>
              <a:rPr lang="en-US" b="1"/>
              <a:t>WTP Unit Values and Range</a:t>
            </a:r>
            <a:r>
              <a:rPr lang="en-US" b="1" baseline="0"/>
              <a:t> - Drought Restrictions (£/1% Risk/yr)</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Main'!$D$160</c:f>
              <c:strCache>
                <c:ptCount val="1"/>
                <c:pt idx="0">
                  <c:v>COMBINED</c:v>
                </c:pt>
              </c:strCache>
            </c:strRef>
          </c:tx>
          <c:spPr>
            <a:solidFill>
              <a:schemeClr val="accent2"/>
            </a:solidFill>
            <a:ln>
              <a:noFill/>
            </a:ln>
            <a:effectLst/>
          </c:spPr>
          <c:invertIfNegative val="0"/>
          <c:errBars>
            <c:errBarType val="both"/>
            <c:errValType val="cust"/>
            <c:noEndCap val="0"/>
            <c:plus>
              <c:numRef>
                <c:f>'WTP Main'!$R$161:$R$162</c:f>
                <c:numCache>
                  <c:formatCode>General</c:formatCode>
                  <c:ptCount val="2"/>
                  <c:pt idx="0">
                    <c:v>770631.96690510144</c:v>
                  </c:pt>
                  <c:pt idx="1">
                    <c:v>258333.76079599874</c:v>
                  </c:pt>
                </c:numCache>
              </c:numRef>
            </c:plus>
            <c:minus>
              <c:numRef>
                <c:f>'WTP Main'!$Q$161:$Q$162</c:f>
                <c:numCache>
                  <c:formatCode>General</c:formatCode>
                  <c:ptCount val="2"/>
                  <c:pt idx="0">
                    <c:v>731666.50815073401</c:v>
                  </c:pt>
                  <c:pt idx="1">
                    <c:v>262479.55047345615</c:v>
                  </c:pt>
                </c:numCache>
              </c:numRef>
            </c:minus>
            <c:spPr>
              <a:noFill/>
              <a:ln w="9525" cap="flat" cmpd="sng" algn="ctr">
                <a:solidFill>
                  <a:srgbClr val="000000"/>
                </a:solidFill>
                <a:round/>
              </a:ln>
              <a:effectLst/>
            </c:spPr>
          </c:errBars>
          <c:cat>
            <c:strRef>
              <c:f>'WTP Main'!$A$161:$A$162</c:f>
              <c:strCache>
                <c:ptCount val="2"/>
                <c:pt idx="0">
                  <c:v>Drought restrictions</c:v>
                </c:pt>
                <c:pt idx="1">
                  <c:v>Temporary use ban</c:v>
                </c:pt>
              </c:strCache>
            </c:strRef>
          </c:cat>
          <c:val>
            <c:numRef>
              <c:f>'WTP Main'!$D$161:$D$162</c:f>
              <c:numCache>
                <c:formatCode>"£"#,##0</c:formatCode>
                <c:ptCount val="2"/>
                <c:pt idx="0">
                  <c:v>1005208.5511884175</c:v>
                </c:pt>
                <c:pt idx="1">
                  <c:v>328099.43809182022</c:v>
                </c:pt>
              </c:numCache>
            </c:numRef>
          </c:val>
          <c:extLst>
            <c:ext xmlns:c16="http://schemas.microsoft.com/office/drawing/2014/chart" uri="{C3380CC4-5D6E-409C-BE32-E72D297353CC}">
              <c16:uniqueId val="{00000000-CAE8-4385-82E0-2A2C1A47C7D5}"/>
            </c:ext>
          </c:extLst>
        </c:ser>
        <c:ser>
          <c:idx val="1"/>
          <c:order val="1"/>
          <c:tx>
            <c:strRef>
              <c:f>'WTP Main'!$E$160</c:f>
              <c:strCache>
                <c:ptCount val="1"/>
                <c:pt idx="0">
                  <c:v>WTPCore_DCE</c:v>
                </c:pt>
              </c:strCache>
            </c:strRef>
          </c:tx>
          <c:spPr>
            <a:solidFill>
              <a:schemeClr val="accent4"/>
            </a:solidFill>
            <a:ln>
              <a:noFill/>
            </a:ln>
            <a:effectLst/>
          </c:spPr>
          <c:invertIfNegative val="0"/>
          <c:cat>
            <c:strRef>
              <c:f>'WTP Main'!$A$161:$A$162</c:f>
              <c:strCache>
                <c:ptCount val="2"/>
                <c:pt idx="0">
                  <c:v>Drought restrictions</c:v>
                </c:pt>
                <c:pt idx="1">
                  <c:v>Temporary use ban</c:v>
                </c:pt>
              </c:strCache>
            </c:strRef>
          </c:cat>
          <c:val>
            <c:numRef>
              <c:f>'WTP Main'!$E$161:$E$162</c:f>
              <c:numCache>
                <c:formatCode>"£"#,##0</c:formatCode>
                <c:ptCount val="2"/>
                <c:pt idx="0">
                  <c:v>90625.415999999997</c:v>
                </c:pt>
                <c:pt idx="1">
                  <c:v>245983.27199999994</c:v>
                </c:pt>
              </c:numCache>
            </c:numRef>
          </c:val>
          <c:extLst>
            <c:ext xmlns:c16="http://schemas.microsoft.com/office/drawing/2014/chart" uri="{C3380CC4-5D6E-409C-BE32-E72D297353CC}">
              <c16:uniqueId val="{00000000-C191-4C4D-9452-8A7A0A4C88DD}"/>
            </c:ext>
          </c:extLst>
        </c:ser>
        <c:ser>
          <c:idx val="2"/>
          <c:order val="2"/>
          <c:tx>
            <c:strRef>
              <c:f>'WTP Main'!$F$160</c:f>
              <c:strCache>
                <c:ptCount val="1"/>
                <c:pt idx="0">
                  <c:v>WTPCore_DCE2</c:v>
                </c:pt>
              </c:strCache>
            </c:strRef>
          </c:tx>
          <c:spPr>
            <a:solidFill>
              <a:schemeClr val="accent6"/>
            </a:solidFill>
            <a:ln>
              <a:noFill/>
            </a:ln>
            <a:effectLst/>
          </c:spPr>
          <c:invertIfNegative val="0"/>
          <c:cat>
            <c:strRef>
              <c:f>'WTP Main'!$A$161:$A$162</c:f>
              <c:strCache>
                <c:ptCount val="2"/>
                <c:pt idx="0">
                  <c:v>Drought restrictions</c:v>
                </c:pt>
                <c:pt idx="1">
                  <c:v>Temporary use ban</c:v>
                </c:pt>
              </c:strCache>
            </c:strRef>
          </c:cat>
          <c:val>
            <c:numRef>
              <c:f>'WTP Main'!$F$161:$F$162</c:f>
              <c:numCache>
                <c:formatCode>"£"#,##0</c:formatCode>
                <c:ptCount val="2"/>
                <c:pt idx="1">
                  <c:v>387617.59897926223</c:v>
                </c:pt>
              </c:numCache>
            </c:numRef>
          </c:val>
          <c:extLst>
            <c:ext xmlns:c16="http://schemas.microsoft.com/office/drawing/2014/chart" uri="{C3380CC4-5D6E-409C-BE32-E72D297353CC}">
              <c16:uniqueId val="{00000001-C191-4C4D-9452-8A7A0A4C88DD}"/>
            </c:ext>
          </c:extLst>
        </c:ser>
        <c:ser>
          <c:idx val="3"/>
          <c:order val="3"/>
          <c:tx>
            <c:strRef>
              <c:f>'WTP Main'!$G$160</c:f>
              <c:strCache>
                <c:ptCount val="1"/>
                <c:pt idx="0">
                  <c:v>WTP core_DCE_Private</c:v>
                </c:pt>
              </c:strCache>
            </c:strRef>
          </c:tx>
          <c:spPr>
            <a:solidFill>
              <a:schemeClr val="accent2">
                <a:lumMod val="60000"/>
              </a:schemeClr>
            </a:solidFill>
            <a:ln>
              <a:noFill/>
            </a:ln>
            <a:effectLst/>
          </c:spPr>
          <c:invertIfNegative val="0"/>
          <c:cat>
            <c:strRef>
              <c:f>'WTP Main'!$A$161:$A$162</c:f>
              <c:strCache>
                <c:ptCount val="2"/>
                <c:pt idx="0">
                  <c:v>Drought restrictions</c:v>
                </c:pt>
                <c:pt idx="1">
                  <c:v>Temporary use ban</c:v>
                </c:pt>
              </c:strCache>
            </c:strRef>
          </c:cat>
          <c:val>
            <c:numRef>
              <c:f>'WTP Main'!$G$161:$G$162</c:f>
              <c:numCache>
                <c:formatCode>"£"#,##0</c:formatCode>
                <c:ptCount val="2"/>
                <c:pt idx="0">
                  <c:v>142411.36799999999</c:v>
                </c:pt>
                <c:pt idx="1">
                  <c:v>323662.19999999995</c:v>
                </c:pt>
              </c:numCache>
            </c:numRef>
          </c:val>
          <c:extLst>
            <c:ext xmlns:c16="http://schemas.microsoft.com/office/drawing/2014/chart" uri="{C3380CC4-5D6E-409C-BE32-E72D297353CC}">
              <c16:uniqueId val="{00000002-C191-4C4D-9452-8A7A0A4C88DD}"/>
            </c:ext>
          </c:extLst>
        </c:ser>
        <c:ser>
          <c:idx val="4"/>
          <c:order val="4"/>
          <c:tx>
            <c:strRef>
              <c:f>'WTP Main'!$H$160</c:f>
              <c:strCache>
                <c:ptCount val="1"/>
                <c:pt idx="0">
                  <c:v>WTPCore_DCE2_LowBill</c:v>
                </c:pt>
              </c:strCache>
            </c:strRef>
          </c:tx>
          <c:spPr>
            <a:solidFill>
              <a:schemeClr val="accent4">
                <a:lumMod val="60000"/>
              </a:schemeClr>
            </a:solidFill>
            <a:ln>
              <a:noFill/>
            </a:ln>
            <a:effectLst/>
          </c:spPr>
          <c:invertIfNegative val="0"/>
          <c:cat>
            <c:strRef>
              <c:f>'WTP Main'!$A$161:$A$162</c:f>
              <c:strCache>
                <c:ptCount val="2"/>
                <c:pt idx="0">
                  <c:v>Drought restrictions</c:v>
                </c:pt>
                <c:pt idx="1">
                  <c:v>Temporary use ban</c:v>
                </c:pt>
              </c:strCache>
            </c:strRef>
          </c:cat>
          <c:val>
            <c:numRef>
              <c:f>'WTP Main'!$H$161:$H$162</c:f>
              <c:numCache>
                <c:formatCode>"£"#,##0</c:formatCode>
                <c:ptCount val="2"/>
                <c:pt idx="1">
                  <c:v>327685.1166739192</c:v>
                </c:pt>
              </c:numCache>
            </c:numRef>
          </c:val>
          <c:extLst>
            <c:ext xmlns:c16="http://schemas.microsoft.com/office/drawing/2014/chart" uri="{C3380CC4-5D6E-409C-BE32-E72D297353CC}">
              <c16:uniqueId val="{00000003-C191-4C4D-9452-8A7A0A4C88DD}"/>
            </c:ext>
          </c:extLst>
        </c:ser>
        <c:ser>
          <c:idx val="5"/>
          <c:order val="5"/>
          <c:tx>
            <c:strRef>
              <c:f>'WTP Main'!$I$160</c:f>
              <c:strCache>
                <c:ptCount val="1"/>
                <c:pt idx="0">
                  <c:v>WTPPR14</c:v>
                </c:pt>
              </c:strCache>
            </c:strRef>
          </c:tx>
          <c:spPr>
            <a:solidFill>
              <a:schemeClr val="accent6">
                <a:lumMod val="60000"/>
              </a:schemeClr>
            </a:solidFill>
            <a:ln>
              <a:noFill/>
            </a:ln>
            <a:effectLst/>
          </c:spPr>
          <c:invertIfNegative val="0"/>
          <c:cat>
            <c:strRef>
              <c:f>'WTP Main'!$A$161:$A$162</c:f>
              <c:strCache>
                <c:ptCount val="2"/>
                <c:pt idx="0">
                  <c:v>Drought restrictions</c:v>
                </c:pt>
                <c:pt idx="1">
                  <c:v>Temporary use ban</c:v>
                </c:pt>
              </c:strCache>
            </c:strRef>
          </c:cat>
          <c:val>
            <c:numRef>
              <c:f>'WTP Main'!$I$161:$I$162</c:f>
              <c:numCache>
                <c:formatCode>"£"#,##0</c:formatCode>
                <c:ptCount val="2"/>
                <c:pt idx="0">
                  <c:v>0</c:v>
                </c:pt>
                <c:pt idx="1">
                  <c:v>76362.633971798117</c:v>
                </c:pt>
              </c:numCache>
            </c:numRef>
          </c:val>
          <c:extLst>
            <c:ext xmlns:c16="http://schemas.microsoft.com/office/drawing/2014/chart" uri="{C3380CC4-5D6E-409C-BE32-E72D297353CC}">
              <c16:uniqueId val="{00000004-C191-4C4D-9452-8A7A0A4C88DD}"/>
            </c:ext>
          </c:extLst>
        </c:ser>
        <c:ser>
          <c:idx val="6"/>
          <c:order val="6"/>
          <c:tx>
            <c:strRef>
              <c:f>'WTP Main'!$J$160</c:f>
              <c:strCache>
                <c:ptCount val="1"/>
                <c:pt idx="0">
                  <c:v>ExternalWTP14</c:v>
                </c:pt>
              </c:strCache>
            </c:strRef>
          </c:tx>
          <c:spPr>
            <a:solidFill>
              <a:schemeClr val="accent2">
                <a:lumMod val="80000"/>
                <a:lumOff val="20000"/>
              </a:schemeClr>
            </a:solidFill>
            <a:ln>
              <a:noFill/>
            </a:ln>
            <a:effectLst/>
          </c:spPr>
          <c:invertIfNegative val="0"/>
          <c:cat>
            <c:strRef>
              <c:f>'WTP Main'!$A$161:$A$162</c:f>
              <c:strCache>
                <c:ptCount val="2"/>
                <c:pt idx="0">
                  <c:v>Drought restrictions</c:v>
                </c:pt>
                <c:pt idx="1">
                  <c:v>Temporary use ban</c:v>
                </c:pt>
              </c:strCache>
            </c:strRef>
          </c:cat>
          <c:val>
            <c:numRef>
              <c:f>'WTP Main'!$J$161:$J$162</c:f>
              <c:numCache>
                <c:formatCode>"£"#,##0</c:formatCode>
                <c:ptCount val="2"/>
                <c:pt idx="1">
                  <c:v>127342.94973301455</c:v>
                </c:pt>
              </c:numCache>
            </c:numRef>
          </c:val>
          <c:extLst>
            <c:ext xmlns:c16="http://schemas.microsoft.com/office/drawing/2014/chart" uri="{C3380CC4-5D6E-409C-BE32-E72D297353CC}">
              <c16:uniqueId val="{00000005-C191-4C4D-9452-8A7A0A4C88DD}"/>
            </c:ext>
          </c:extLst>
        </c:ser>
        <c:ser>
          <c:idx val="7"/>
          <c:order val="7"/>
          <c:tx>
            <c:strRef>
              <c:f>'WTP Main'!$K$160</c:f>
              <c:strCache>
                <c:ptCount val="1"/>
                <c:pt idx="0">
                  <c:v>ExternalWTP19</c:v>
                </c:pt>
              </c:strCache>
            </c:strRef>
          </c:tx>
          <c:spPr>
            <a:solidFill>
              <a:schemeClr val="accent4">
                <a:lumMod val="80000"/>
                <a:lumOff val="20000"/>
              </a:schemeClr>
            </a:solidFill>
            <a:ln>
              <a:noFill/>
            </a:ln>
            <a:effectLst/>
          </c:spPr>
          <c:invertIfNegative val="0"/>
          <c:cat>
            <c:strRef>
              <c:f>'WTP Main'!$A$161:$A$162</c:f>
              <c:strCache>
                <c:ptCount val="2"/>
                <c:pt idx="0">
                  <c:v>Drought restrictions</c:v>
                </c:pt>
                <c:pt idx="1">
                  <c:v>Temporary use ban</c:v>
                </c:pt>
              </c:strCache>
            </c:strRef>
          </c:cat>
          <c:val>
            <c:numRef>
              <c:f>'WTP Main'!$K$161:$K$162</c:f>
              <c:numCache>
                <c:formatCode>"£"#,##0</c:formatCode>
                <c:ptCount val="2"/>
                <c:pt idx="0">
                  <c:v>266453.92693254468</c:v>
                </c:pt>
                <c:pt idx="1">
                  <c:v>207922.06515294351</c:v>
                </c:pt>
              </c:numCache>
            </c:numRef>
          </c:val>
          <c:extLst>
            <c:ext xmlns:c16="http://schemas.microsoft.com/office/drawing/2014/chart" uri="{C3380CC4-5D6E-409C-BE32-E72D297353CC}">
              <c16:uniqueId val="{00000006-C191-4C4D-9452-8A7A0A4C88DD}"/>
            </c:ext>
          </c:extLst>
        </c:ser>
        <c:ser>
          <c:idx val="8"/>
          <c:order val="8"/>
          <c:tx>
            <c:strRef>
              <c:f>'WTP Main'!$L$160</c:f>
              <c:strCache>
                <c:ptCount val="1"/>
                <c:pt idx="0">
                  <c:v>WTPCore_MaxDiff</c:v>
                </c:pt>
              </c:strCache>
            </c:strRef>
          </c:tx>
          <c:spPr>
            <a:solidFill>
              <a:schemeClr val="accent6">
                <a:lumMod val="80000"/>
                <a:lumOff val="20000"/>
              </a:schemeClr>
            </a:solidFill>
            <a:ln>
              <a:noFill/>
            </a:ln>
            <a:effectLst/>
          </c:spPr>
          <c:invertIfNegative val="0"/>
          <c:cat>
            <c:strRef>
              <c:f>'WTP Main'!$A$161:$A$162</c:f>
              <c:strCache>
                <c:ptCount val="2"/>
                <c:pt idx="0">
                  <c:v>Drought restrictions</c:v>
                </c:pt>
                <c:pt idx="1">
                  <c:v>Temporary use ban</c:v>
                </c:pt>
              </c:strCache>
            </c:strRef>
          </c:cat>
          <c:val>
            <c:numRef>
              <c:f>'WTP Main'!$L$161:$L$162</c:f>
              <c:numCache>
                <c:formatCode>"£"#,##0</c:formatCode>
                <c:ptCount val="2"/>
                <c:pt idx="0">
                  <c:v>965492.56557992543</c:v>
                </c:pt>
                <c:pt idx="1">
                  <c:v>354640.07567068306</c:v>
                </c:pt>
              </c:numCache>
            </c:numRef>
          </c:val>
          <c:extLst>
            <c:ext xmlns:c16="http://schemas.microsoft.com/office/drawing/2014/chart" uri="{C3380CC4-5D6E-409C-BE32-E72D297353CC}">
              <c16:uniqueId val="{00000007-C191-4C4D-9452-8A7A0A4C88DD}"/>
            </c:ext>
          </c:extLst>
        </c:ser>
        <c:dLbls>
          <c:showLegendKey val="0"/>
          <c:showVal val="0"/>
          <c:showCatName val="0"/>
          <c:showSerName val="0"/>
          <c:showPercent val="0"/>
          <c:showBubbleSize val="0"/>
        </c:dLbls>
        <c:gapWidth val="219"/>
        <c:overlap val="-27"/>
        <c:axId val="-1177587984"/>
        <c:axId val="-1177586896"/>
        <c:extLst/>
      </c:barChart>
      <c:catAx>
        <c:axId val="-1177587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77586896"/>
        <c:crosses val="autoZero"/>
        <c:auto val="1"/>
        <c:lblAlgn val="ctr"/>
        <c:lblOffset val="100"/>
        <c:noMultiLvlLbl val="0"/>
      </c:catAx>
      <c:valAx>
        <c:axId val="-1177586896"/>
        <c:scaling>
          <c:orientation val="minMax"/>
          <c:max val="25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77587984"/>
        <c:crosses val="autoZero"/>
        <c:crossBetween val="between"/>
      </c:valAx>
      <c:spPr>
        <a:noFill/>
        <a:ln>
          <a:noFill/>
        </a:ln>
        <a:effectLst/>
      </c:spPr>
    </c:plotArea>
    <c:legend>
      <c:legendPos val="b"/>
      <c:layout>
        <c:manualLayout>
          <c:xMode val="edge"/>
          <c:yMode val="edge"/>
          <c:x val="9.5215878695872211E-2"/>
          <c:y val="0.88168995252398019"/>
          <c:w val="0.84750889244334893"/>
          <c:h val="0.1087260180496997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ysClr val="windowText" lastClr="000000"/>
                </a:solidFill>
                <a:effectLst/>
              </a:rPr>
              <a:t>SSW NHH WTP Unit Values and Range - Traffic Disruption (£/Roadworks/yr)</a:t>
            </a:r>
            <a:endParaRPr lang="en-GB">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Main'!$D$288</c:f>
              <c:strCache>
                <c:ptCount val="1"/>
                <c:pt idx="0">
                  <c:v>COMBINED</c:v>
                </c:pt>
              </c:strCache>
            </c:strRef>
          </c:tx>
          <c:spPr>
            <a:solidFill>
              <a:schemeClr val="accent2"/>
            </a:solidFill>
            <a:ln>
              <a:noFill/>
            </a:ln>
            <a:effectLst/>
          </c:spPr>
          <c:invertIfNegative val="0"/>
          <c:errBars>
            <c:errBarType val="both"/>
            <c:errValType val="cust"/>
            <c:noEndCap val="0"/>
            <c:plus>
              <c:numRef>
                <c:f>'WTP Main'!$U$289</c:f>
                <c:numCache>
                  <c:formatCode>General</c:formatCode>
                  <c:ptCount val="1"/>
                  <c:pt idx="0">
                    <c:v>580.05515068236753</c:v>
                  </c:pt>
                </c:numCache>
              </c:numRef>
            </c:plus>
            <c:minus>
              <c:numRef>
                <c:f>'WTP Main'!$T$289</c:f>
                <c:numCache>
                  <c:formatCode>General</c:formatCode>
                  <c:ptCount val="1"/>
                  <c:pt idx="0">
                    <c:v>375.5078213153642</c:v>
                  </c:pt>
                </c:numCache>
              </c:numRef>
            </c:minus>
            <c:spPr>
              <a:noFill/>
              <a:ln w="9525" cap="flat" cmpd="sng" algn="ctr">
                <a:solidFill>
                  <a:srgbClr val="000000"/>
                </a:solidFill>
                <a:round/>
              </a:ln>
              <a:effectLst/>
            </c:spPr>
          </c:errBars>
          <c:cat>
            <c:strRef>
              <c:f>'WTP Main'!$A$289</c:f>
              <c:strCache>
                <c:ptCount val="1"/>
                <c:pt idx="0">
                  <c:v>Traffic disruption</c:v>
                </c:pt>
              </c:strCache>
            </c:strRef>
          </c:cat>
          <c:val>
            <c:numRef>
              <c:f>'WTP Main'!$D$289</c:f>
              <c:numCache>
                <c:formatCode>"£"#,##0</c:formatCode>
                <c:ptCount val="1"/>
                <c:pt idx="0">
                  <c:v>790.8630239888322</c:v>
                </c:pt>
              </c:numCache>
            </c:numRef>
          </c:val>
          <c:extLst>
            <c:ext xmlns:c16="http://schemas.microsoft.com/office/drawing/2014/chart" uri="{C3380CC4-5D6E-409C-BE32-E72D297353CC}">
              <c16:uniqueId val="{00000000-FDB0-4AFB-969D-E6BFF663A389}"/>
            </c:ext>
          </c:extLst>
        </c:ser>
        <c:ser>
          <c:idx val="1"/>
          <c:order val="1"/>
          <c:tx>
            <c:strRef>
              <c:f>'WTP Main'!$E$288</c:f>
              <c:strCache>
                <c:ptCount val="1"/>
                <c:pt idx="0">
                  <c:v>WTPCore_DCE</c:v>
                </c:pt>
              </c:strCache>
            </c:strRef>
          </c:tx>
          <c:spPr>
            <a:solidFill>
              <a:schemeClr val="accent4"/>
            </a:solidFill>
            <a:ln>
              <a:noFill/>
            </a:ln>
            <a:effectLst/>
          </c:spPr>
          <c:invertIfNegative val="0"/>
          <c:cat>
            <c:strRef>
              <c:f>'WTP Main'!$A$289</c:f>
              <c:strCache>
                <c:ptCount val="1"/>
                <c:pt idx="0">
                  <c:v>Traffic disruption</c:v>
                </c:pt>
              </c:strCache>
            </c:strRef>
          </c:cat>
          <c:val>
            <c:numRef>
              <c:f>'WTP Main'!$E$289</c:f>
              <c:numCache>
                <c:formatCode>"£"#,##0</c:formatCode>
                <c:ptCount val="1"/>
                <c:pt idx="0">
                  <c:v>726.94198356164395</c:v>
                </c:pt>
              </c:numCache>
            </c:numRef>
          </c:val>
          <c:extLst>
            <c:ext xmlns:c16="http://schemas.microsoft.com/office/drawing/2014/chart" uri="{C3380CC4-5D6E-409C-BE32-E72D297353CC}">
              <c16:uniqueId val="{00000001-FDB0-4AFB-969D-E6BFF663A389}"/>
            </c:ext>
          </c:extLst>
        </c:ser>
        <c:ser>
          <c:idx val="2"/>
          <c:order val="2"/>
          <c:tx>
            <c:strRef>
              <c:f>'WTP Main'!$K$288</c:f>
              <c:strCache>
                <c:ptCount val="1"/>
                <c:pt idx="0">
                  <c:v>ExternalWTP19</c:v>
                </c:pt>
              </c:strCache>
            </c:strRef>
          </c:tx>
          <c:spPr>
            <a:solidFill>
              <a:schemeClr val="accent6"/>
            </a:solidFill>
            <a:ln>
              <a:noFill/>
            </a:ln>
            <a:effectLst/>
          </c:spPr>
          <c:invertIfNegative val="0"/>
          <c:cat>
            <c:strRef>
              <c:f>'WTP Main'!$A$289</c:f>
              <c:strCache>
                <c:ptCount val="1"/>
                <c:pt idx="0">
                  <c:v>Traffic disruption</c:v>
                </c:pt>
              </c:strCache>
            </c:strRef>
          </c:cat>
          <c:val>
            <c:numRef>
              <c:f>'WTP Main'!$K$289</c:f>
              <c:numCache>
                <c:formatCode>"£"#,##0</c:formatCode>
                <c:ptCount val="1"/>
                <c:pt idx="0">
                  <c:v>321.47824734462694</c:v>
                </c:pt>
              </c:numCache>
            </c:numRef>
          </c:val>
          <c:extLst>
            <c:ext xmlns:c16="http://schemas.microsoft.com/office/drawing/2014/chart" uri="{C3380CC4-5D6E-409C-BE32-E72D297353CC}">
              <c16:uniqueId val="{00000002-FDB0-4AFB-969D-E6BFF663A389}"/>
            </c:ext>
          </c:extLst>
        </c:ser>
        <c:ser>
          <c:idx val="3"/>
          <c:order val="3"/>
          <c:tx>
            <c:strRef>
              <c:f>'WTP Main'!$L$288</c:f>
              <c:strCache>
                <c:ptCount val="1"/>
                <c:pt idx="0">
                  <c:v>WTPCore_MaxDiff</c:v>
                </c:pt>
              </c:strCache>
            </c:strRef>
          </c:tx>
          <c:spPr>
            <a:solidFill>
              <a:schemeClr val="accent2">
                <a:lumMod val="60000"/>
              </a:schemeClr>
            </a:solidFill>
            <a:ln>
              <a:noFill/>
            </a:ln>
            <a:effectLst/>
          </c:spPr>
          <c:invertIfNegative val="0"/>
          <c:cat>
            <c:strRef>
              <c:f>'WTP Main'!$A$289</c:f>
              <c:strCache>
                <c:ptCount val="1"/>
                <c:pt idx="0">
                  <c:v>Traffic disruption</c:v>
                </c:pt>
              </c:strCache>
            </c:strRef>
          </c:cat>
          <c:val>
            <c:numRef>
              <c:f>'WTP Main'!$L$289</c:f>
              <c:numCache>
                <c:formatCode>"£"#,##0</c:formatCode>
                <c:ptCount val="1"/>
                <c:pt idx="0">
                  <c:v>1515.9319623417914</c:v>
                </c:pt>
              </c:numCache>
            </c:numRef>
          </c:val>
          <c:extLst>
            <c:ext xmlns:c16="http://schemas.microsoft.com/office/drawing/2014/chart" uri="{C3380CC4-5D6E-409C-BE32-E72D297353CC}">
              <c16:uniqueId val="{00000003-FDB0-4AFB-969D-E6BFF663A389}"/>
            </c:ext>
          </c:extLst>
        </c:ser>
        <c:dLbls>
          <c:showLegendKey val="0"/>
          <c:showVal val="0"/>
          <c:showCatName val="0"/>
          <c:showSerName val="0"/>
          <c:showPercent val="0"/>
          <c:showBubbleSize val="0"/>
        </c:dLbls>
        <c:gapWidth val="219"/>
        <c:overlap val="-27"/>
        <c:axId val="-1083346544"/>
        <c:axId val="-1083349264"/>
      </c:barChart>
      <c:catAx>
        <c:axId val="-108334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49264"/>
        <c:crosses val="autoZero"/>
        <c:auto val="1"/>
        <c:lblAlgn val="ctr"/>
        <c:lblOffset val="100"/>
        <c:noMultiLvlLbl val="0"/>
      </c:catAx>
      <c:valAx>
        <c:axId val="-1083349264"/>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46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ysClr val="windowText" lastClr="000000"/>
                </a:solidFill>
                <a:effectLst/>
              </a:rPr>
              <a:t>CAM NHH WTP Unit Values and Range - Services at Property</a:t>
            </a:r>
            <a:endParaRPr lang="en-GB" sz="14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Main'!$CC$139</c:f>
              <c:strCache>
                <c:ptCount val="1"/>
                <c:pt idx="0">
                  <c:v>COMBINED</c:v>
                </c:pt>
              </c:strCache>
            </c:strRef>
          </c:tx>
          <c:spPr>
            <a:solidFill>
              <a:schemeClr val="accent2"/>
            </a:solidFill>
            <a:ln>
              <a:noFill/>
            </a:ln>
            <a:effectLst/>
          </c:spPr>
          <c:invertIfNegative val="0"/>
          <c:errBars>
            <c:errBarType val="both"/>
            <c:errValType val="cust"/>
            <c:noEndCap val="0"/>
            <c:plus>
              <c:numRef>
                <c:f>'WTP Main'!#REF!</c:f>
                <c:numCache>
                  <c:formatCode>General</c:formatCode>
                  <c:ptCount val="1"/>
                  <c:pt idx="0">
                    <c:v>1</c:v>
                  </c:pt>
                </c:numCache>
              </c:numRef>
            </c:plus>
            <c:minus>
              <c:numRef>
                <c:f>'WTP Main'!$CQ$140:$CQ$147</c:f>
                <c:numCache>
                  <c:formatCode>General</c:formatCode>
                  <c:ptCount val="8"/>
                  <c:pt idx="0">
                    <c:v>0</c:v>
                  </c:pt>
                  <c:pt idx="1">
                    <c:v>0</c:v>
                  </c:pt>
                  <c:pt idx="2">
                    <c:v>0</c:v>
                  </c:pt>
                  <c:pt idx="3">
                    <c:v>0</c:v>
                  </c:pt>
                  <c:pt idx="4">
                    <c:v>0</c:v>
                  </c:pt>
                  <c:pt idx="5">
                    <c:v>0</c:v>
                  </c:pt>
                  <c:pt idx="6">
                    <c:v>0</c:v>
                  </c:pt>
                  <c:pt idx="7">
                    <c:v>0</c:v>
                  </c:pt>
                </c:numCache>
              </c:numRef>
            </c:minus>
            <c:spPr>
              <a:noFill/>
              <a:ln w="9525" cap="flat" cmpd="sng" algn="ctr">
                <a:solidFill>
                  <a:srgbClr val="000000"/>
                </a:solidFill>
                <a:round/>
              </a:ln>
              <a:effectLst/>
            </c:spPr>
          </c:errBars>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Main'!$CC$140:$CC$147</c:f>
              <c:numCache>
                <c:formatCode>"£"#,##0</c:formatCode>
                <c:ptCount val="8"/>
                <c:pt idx="0">
                  <c:v>6972.4197788726624</c:v>
                </c:pt>
                <c:pt idx="1">
                  <c:v>3220.7143209952542</c:v>
                </c:pt>
                <c:pt idx="2">
                  <c:v>3802.8500319821865</c:v>
                </c:pt>
                <c:pt idx="3">
                  <c:v>159.31311691882092</c:v>
                </c:pt>
                <c:pt idx="4">
                  <c:v>2518.0655264835627</c:v>
                </c:pt>
                <c:pt idx="5">
                  <c:v>2475.9075697462099</c:v>
                </c:pt>
                <c:pt idx="6">
                  <c:v>1370.6438098482497</c:v>
                </c:pt>
                <c:pt idx="7">
                  <c:v>25.348956661599704</c:v>
                </c:pt>
              </c:numCache>
            </c:numRef>
          </c:val>
          <c:extLst>
            <c:ext xmlns:c16="http://schemas.microsoft.com/office/drawing/2014/chart" uri="{C3380CC4-5D6E-409C-BE32-E72D297353CC}">
              <c16:uniqueId val="{00000000-D848-4F9C-A389-19E0581BCA6C}"/>
            </c:ext>
          </c:extLst>
        </c:ser>
        <c:ser>
          <c:idx val="1"/>
          <c:order val="1"/>
          <c:tx>
            <c:strRef>
              <c:f>'WTP Main'!$CD$139</c:f>
              <c:strCache>
                <c:ptCount val="1"/>
                <c:pt idx="0">
                  <c:v>WTPCore_DCE</c:v>
                </c:pt>
              </c:strCache>
            </c:strRef>
          </c:tx>
          <c:spPr>
            <a:solidFill>
              <a:schemeClr val="accent4"/>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Main'!$CD$140:$CD$147</c:f>
              <c:numCache>
                <c:formatCode>"£"#,##0</c:formatCode>
                <c:ptCount val="8"/>
                <c:pt idx="0">
                  <c:v>657.70066863241811</c:v>
                </c:pt>
                <c:pt idx="1">
                  <c:v>2192.3355621080605</c:v>
                </c:pt>
                <c:pt idx="2">
                  <c:v>76.122762573196539</c:v>
                </c:pt>
                <c:pt idx="3">
                  <c:v>4.8718568046845796</c:v>
                </c:pt>
                <c:pt idx="4">
                  <c:v>152.24552514639311</c:v>
                </c:pt>
                <c:pt idx="5">
                  <c:v>243.59284023422896</c:v>
                </c:pt>
                <c:pt idx="6">
                  <c:v>19.435598954858694</c:v>
                </c:pt>
                <c:pt idx="7">
                  <c:v>19.182936168445536</c:v>
                </c:pt>
              </c:numCache>
            </c:numRef>
          </c:val>
          <c:extLst>
            <c:ext xmlns:c16="http://schemas.microsoft.com/office/drawing/2014/chart" uri="{C3380CC4-5D6E-409C-BE32-E72D297353CC}">
              <c16:uniqueId val="{00000001-D848-4F9C-A389-19E0581BCA6C}"/>
            </c:ext>
          </c:extLst>
        </c:ser>
        <c:ser>
          <c:idx val="2"/>
          <c:order val="2"/>
          <c:tx>
            <c:strRef>
              <c:f>'WTP Main'!$CE$139</c:f>
              <c:strCache>
                <c:ptCount val="1"/>
                <c:pt idx="0">
                  <c:v>WTPCore_DCE2</c:v>
                </c:pt>
              </c:strCache>
            </c:strRef>
          </c:tx>
          <c:spPr>
            <a:solidFill>
              <a:schemeClr val="accent6"/>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Main'!$CE$140:$CE$147</c:f>
              <c:numCache>
                <c:formatCode>"£"#,##0</c:formatCode>
                <c:ptCount val="8"/>
                <c:pt idx="0">
                  <c:v>122.71155623456495</c:v>
                </c:pt>
                <c:pt idx="1">
                  <c:v>46.25957403737916</c:v>
                </c:pt>
                <c:pt idx="2">
                  <c:v>10.189737398103325</c:v>
                </c:pt>
                <c:pt idx="3">
                  <c:v>1935.4368831617396</c:v>
                </c:pt>
                <c:pt idx="4">
                  <c:v>3804.1888084146854</c:v>
                </c:pt>
                <c:pt idx="5">
                  <c:v>2518.7889835624424</c:v>
                </c:pt>
                <c:pt idx="6">
                  <c:v>60.18018505130911</c:v>
                </c:pt>
                <c:pt idx="7">
                  <c:v>123.17277606712938</c:v>
                </c:pt>
              </c:numCache>
            </c:numRef>
          </c:val>
          <c:extLst>
            <c:ext xmlns:c16="http://schemas.microsoft.com/office/drawing/2014/chart" uri="{C3380CC4-5D6E-409C-BE32-E72D297353CC}">
              <c16:uniqueId val="{00000002-D848-4F9C-A389-19E0581BCA6C}"/>
            </c:ext>
          </c:extLst>
        </c:ser>
        <c:ser>
          <c:idx val="3"/>
          <c:order val="3"/>
          <c:tx>
            <c:strRef>
              <c:f>'WTP Main'!$CF$139</c:f>
              <c:strCache>
                <c:ptCount val="1"/>
                <c:pt idx="0">
                  <c:v>WTP core_DCE_Private</c:v>
                </c:pt>
              </c:strCache>
            </c:strRef>
          </c:tx>
          <c:spPr>
            <a:solidFill>
              <a:schemeClr val="accent2">
                <a:lumMod val="60000"/>
              </a:schemeClr>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Main'!$CF$140:$CF$147</c:f>
              <c:numCache>
                <c:formatCode>"£"#,##0</c:formatCode>
                <c:ptCount val="8"/>
                <c:pt idx="0">
                  <c:v>7965.4858756592866</c:v>
                </c:pt>
                <c:pt idx="1">
                  <c:v>1169.245633124299</c:v>
                </c:pt>
                <c:pt idx="2">
                  <c:v>219.23355621080603</c:v>
                </c:pt>
                <c:pt idx="3">
                  <c:v>43.237729141575642</c:v>
                </c:pt>
                <c:pt idx="4">
                  <c:v>1563.0540581696362</c:v>
                </c:pt>
                <c:pt idx="5">
                  <c:v>1469.5499314755596</c:v>
                </c:pt>
                <c:pt idx="6">
                  <c:v>50.24102329830972</c:v>
                </c:pt>
                <c:pt idx="7">
                  <c:v>158.94432825283445</c:v>
                </c:pt>
              </c:numCache>
            </c:numRef>
          </c:val>
          <c:extLst>
            <c:ext xmlns:c16="http://schemas.microsoft.com/office/drawing/2014/chart" uri="{C3380CC4-5D6E-409C-BE32-E72D297353CC}">
              <c16:uniqueId val="{00000003-D848-4F9C-A389-19E0581BCA6C}"/>
            </c:ext>
          </c:extLst>
        </c:ser>
        <c:ser>
          <c:idx val="4"/>
          <c:order val="4"/>
          <c:tx>
            <c:strRef>
              <c:f>'WTP Main'!$CI$139</c:f>
              <c:strCache>
                <c:ptCount val="1"/>
                <c:pt idx="0">
                  <c:v>ExternalWTP14</c:v>
                </c:pt>
              </c:strCache>
            </c:strRef>
          </c:tx>
          <c:spPr>
            <a:solidFill>
              <a:schemeClr val="accent4">
                <a:lumMod val="60000"/>
              </a:schemeClr>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Main'!$CI$140:$CI$147</c:f>
              <c:numCache>
                <c:formatCode>"£"#,##0</c:formatCode>
                <c:ptCount val="8"/>
                <c:pt idx="2">
                  <c:v>348.33479993731117</c:v>
                </c:pt>
                <c:pt idx="3" formatCode="&quot;£&quot;#,##0.000">
                  <c:v>1.1109472761948894E-3</c:v>
                </c:pt>
                <c:pt idx="4">
                  <c:v>1453.7143548064109</c:v>
                </c:pt>
                <c:pt idx="5">
                  <c:v>831.36816229618285</c:v>
                </c:pt>
                <c:pt idx="6">
                  <c:v>61.841392862803467</c:v>
                </c:pt>
              </c:numCache>
            </c:numRef>
          </c:val>
          <c:extLst>
            <c:ext xmlns:c16="http://schemas.microsoft.com/office/drawing/2014/chart" uri="{C3380CC4-5D6E-409C-BE32-E72D297353CC}">
              <c16:uniqueId val="{00000004-D848-4F9C-A389-19E0581BCA6C}"/>
            </c:ext>
          </c:extLst>
        </c:ser>
        <c:ser>
          <c:idx val="5"/>
          <c:order val="5"/>
          <c:tx>
            <c:strRef>
              <c:f>'WTP Main'!$CJ$139</c:f>
              <c:strCache>
                <c:ptCount val="1"/>
                <c:pt idx="0">
                  <c:v>ExternalWTP19</c:v>
                </c:pt>
              </c:strCache>
            </c:strRef>
          </c:tx>
          <c:spPr>
            <a:solidFill>
              <a:schemeClr val="accent6">
                <a:lumMod val="60000"/>
              </a:schemeClr>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Main'!$CJ$140:$CJ$147</c:f>
              <c:numCache>
                <c:formatCode>"£"#,##0</c:formatCode>
                <c:ptCount val="8"/>
                <c:pt idx="0">
                  <c:v>1407.2443989049395</c:v>
                </c:pt>
                <c:pt idx="2">
                  <c:v>667.09216139358898</c:v>
                </c:pt>
                <c:pt idx="4">
                  <c:v>1532.179761600968</c:v>
                </c:pt>
                <c:pt idx="5">
                  <c:v>407.06597202824906</c:v>
                </c:pt>
                <c:pt idx="6">
                  <c:v>154.28531463693295</c:v>
                </c:pt>
              </c:numCache>
            </c:numRef>
          </c:val>
          <c:extLst>
            <c:ext xmlns:c16="http://schemas.microsoft.com/office/drawing/2014/chart" uri="{C3380CC4-5D6E-409C-BE32-E72D297353CC}">
              <c16:uniqueId val="{00000005-D848-4F9C-A389-19E0581BCA6C}"/>
            </c:ext>
          </c:extLst>
        </c:ser>
        <c:ser>
          <c:idx val="6"/>
          <c:order val="6"/>
          <c:tx>
            <c:strRef>
              <c:f>'WTP Main'!$CK$139</c:f>
              <c:strCache>
                <c:ptCount val="1"/>
                <c:pt idx="0">
                  <c:v>WTPCore_MaxDiff</c:v>
                </c:pt>
              </c:strCache>
            </c:strRef>
          </c:tx>
          <c:spPr>
            <a:solidFill>
              <a:schemeClr val="accent2">
                <a:lumMod val="80000"/>
                <a:lumOff val="20000"/>
              </a:schemeClr>
            </a:solidFill>
            <a:ln>
              <a:noFill/>
            </a:ln>
            <a:effectLst/>
          </c:spPr>
          <c:invertIfNegative val="0"/>
          <c:cat>
            <c:strRef>
              <c:f>'WTP Main'!$A$140:$A$147</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Main'!$CK$140:$CK$147</c:f>
              <c:numCache>
                <c:formatCode>"£"#,##0</c:formatCode>
                <c:ptCount val="8"/>
                <c:pt idx="0">
                  <c:v>2436.8849864826743</c:v>
                </c:pt>
                <c:pt idx="1">
                  <c:v>915.71639969206558</c:v>
                </c:pt>
                <c:pt idx="2">
                  <c:v>823.4009850955664</c:v>
                </c:pt>
                <c:pt idx="3" formatCode="&quot;£&quot;#,##0.000">
                  <c:v>787.74436889613628</c:v>
                </c:pt>
                <c:pt idx="4">
                  <c:v>2309.3550135865971</c:v>
                </c:pt>
                <c:pt idx="5">
                  <c:v>1311.8369796608804</c:v>
                </c:pt>
                <c:pt idx="6">
                  <c:v>134.62933675761613</c:v>
                </c:pt>
                <c:pt idx="7">
                  <c:v>51.710182841878989</c:v>
                </c:pt>
              </c:numCache>
            </c:numRef>
          </c:val>
          <c:extLst>
            <c:ext xmlns:c16="http://schemas.microsoft.com/office/drawing/2014/chart" uri="{C3380CC4-5D6E-409C-BE32-E72D297353CC}">
              <c16:uniqueId val="{00000006-D848-4F9C-A389-19E0581BCA6C}"/>
            </c:ext>
          </c:extLst>
        </c:ser>
        <c:dLbls>
          <c:showLegendKey val="0"/>
          <c:showVal val="0"/>
          <c:showCatName val="0"/>
          <c:showSerName val="0"/>
          <c:showPercent val="0"/>
          <c:showBubbleSize val="0"/>
        </c:dLbls>
        <c:gapWidth val="219"/>
        <c:overlap val="-27"/>
        <c:axId val="-1083345456"/>
        <c:axId val="-1236320448"/>
      </c:barChart>
      <c:catAx>
        <c:axId val="-108334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236320448"/>
        <c:crosses val="autoZero"/>
        <c:auto val="1"/>
        <c:lblAlgn val="ctr"/>
        <c:lblOffset val="100"/>
        <c:noMultiLvlLbl val="0"/>
      </c:catAx>
      <c:valAx>
        <c:axId val="-1236320448"/>
        <c:scaling>
          <c:orientation val="minMax"/>
          <c:max val="1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83345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rgbClr val="000000"/>
                </a:solidFill>
                <a:effectLst/>
              </a:rPr>
              <a:t>CAM HH WTP Unit Values and Range - Drought Restrictions (£/1% Risk/yr)</a:t>
            </a:r>
            <a:endParaRPr lang="en-GB">
              <a:solidFill>
                <a:srgbClr val="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Main'!$BY$160</c:f>
              <c:strCache>
                <c:ptCount val="1"/>
                <c:pt idx="0">
                  <c:v>COMBINED</c:v>
                </c:pt>
              </c:strCache>
            </c:strRef>
          </c:tx>
          <c:spPr>
            <a:solidFill>
              <a:schemeClr val="accent2"/>
            </a:solidFill>
            <a:ln>
              <a:noFill/>
            </a:ln>
            <a:effectLst/>
          </c:spPr>
          <c:invertIfNegative val="0"/>
          <c:errBars>
            <c:errBarType val="both"/>
            <c:errValType val="cust"/>
            <c:noEndCap val="0"/>
            <c:plus>
              <c:numRef>
                <c:f>'WTP Main'!$CQ$161:$CQ$162</c:f>
                <c:numCache>
                  <c:formatCode>General</c:formatCode>
                  <c:ptCount val="2"/>
                  <c:pt idx="0">
                    <c:v>52478.502971219539</c:v>
                  </c:pt>
                  <c:pt idx="1">
                    <c:v>270997.06626438996</c:v>
                  </c:pt>
                </c:numCache>
              </c:numRef>
            </c:plus>
            <c:minus>
              <c:numRef>
                <c:f>'WTP Main'!$CO$161:$CO$162</c:f>
                <c:numCache>
                  <c:formatCode>General</c:formatCode>
                  <c:ptCount val="2"/>
                  <c:pt idx="0">
                    <c:v>234510.54136961355</c:v>
                  </c:pt>
                  <c:pt idx="1">
                    <c:v>104689.48733560999</c:v>
                  </c:pt>
                </c:numCache>
              </c:numRef>
            </c:minus>
            <c:spPr>
              <a:noFill/>
              <a:ln w="9525" cap="flat" cmpd="sng" algn="ctr">
                <a:solidFill>
                  <a:srgbClr val="000000"/>
                </a:solidFill>
                <a:round/>
              </a:ln>
              <a:effectLst/>
            </c:spPr>
          </c:errBars>
          <c:cat>
            <c:strRef>
              <c:f>'WTP Main'!$A$161:$A$162</c:f>
              <c:strCache>
                <c:ptCount val="2"/>
                <c:pt idx="0">
                  <c:v>Drought restrictions</c:v>
                </c:pt>
                <c:pt idx="1">
                  <c:v>Temporary use ban</c:v>
                </c:pt>
              </c:strCache>
            </c:strRef>
          </c:cat>
          <c:val>
            <c:numRef>
              <c:f>'WTP Main'!$BY$161:$BY$162</c:f>
              <c:numCache>
                <c:formatCode>"£"#,##0</c:formatCode>
                <c:ptCount val="2"/>
                <c:pt idx="0">
                  <c:v>430258.68961941078</c:v>
                </c:pt>
                <c:pt idx="1">
                  <c:v>130861.85916951248</c:v>
                </c:pt>
              </c:numCache>
            </c:numRef>
          </c:val>
          <c:extLst>
            <c:ext xmlns:c16="http://schemas.microsoft.com/office/drawing/2014/chart" uri="{C3380CC4-5D6E-409C-BE32-E72D297353CC}">
              <c16:uniqueId val="{00000000-B300-486A-BE69-C1B342F394CF}"/>
            </c:ext>
          </c:extLst>
        </c:ser>
        <c:ser>
          <c:idx val="1"/>
          <c:order val="1"/>
          <c:tx>
            <c:strRef>
              <c:f>'WTP Main'!$BZ$160</c:f>
              <c:strCache>
                <c:ptCount val="1"/>
                <c:pt idx="0">
                  <c:v>WTPCore_DCE</c:v>
                </c:pt>
              </c:strCache>
            </c:strRef>
          </c:tx>
          <c:spPr>
            <a:solidFill>
              <a:schemeClr val="accent4"/>
            </a:solidFill>
            <a:ln>
              <a:noFill/>
            </a:ln>
            <a:effectLst/>
          </c:spPr>
          <c:invertIfNegative val="0"/>
          <c:cat>
            <c:strRef>
              <c:f>'WTP Main'!$A$161:$A$162</c:f>
              <c:strCache>
                <c:ptCount val="2"/>
                <c:pt idx="0">
                  <c:v>Drought restrictions</c:v>
                </c:pt>
                <c:pt idx="1">
                  <c:v>Temporary use ban</c:v>
                </c:pt>
              </c:strCache>
            </c:strRef>
          </c:cat>
          <c:val>
            <c:numRef>
              <c:f>'WTP Main'!$BZ$161:$BZ$162</c:f>
              <c:numCache>
                <c:formatCode>"£"#,##0</c:formatCode>
                <c:ptCount val="2"/>
                <c:pt idx="0">
                  <c:v>490150.41233112832</c:v>
                </c:pt>
                <c:pt idx="1">
                  <c:v>469608.19199999986</c:v>
                </c:pt>
              </c:numCache>
            </c:numRef>
          </c:val>
          <c:extLst>
            <c:ext xmlns:c16="http://schemas.microsoft.com/office/drawing/2014/chart" uri="{C3380CC4-5D6E-409C-BE32-E72D297353CC}">
              <c16:uniqueId val="{00000001-B300-486A-BE69-C1B342F394CF}"/>
            </c:ext>
          </c:extLst>
        </c:ser>
        <c:ser>
          <c:idx val="2"/>
          <c:order val="2"/>
          <c:tx>
            <c:strRef>
              <c:f>'WTP Main'!$CA$160</c:f>
              <c:strCache>
                <c:ptCount val="1"/>
                <c:pt idx="0">
                  <c:v>WTPCore_DCE2</c:v>
                </c:pt>
              </c:strCache>
            </c:strRef>
          </c:tx>
          <c:spPr>
            <a:solidFill>
              <a:schemeClr val="accent6"/>
            </a:solidFill>
            <a:ln>
              <a:noFill/>
            </a:ln>
            <a:effectLst/>
          </c:spPr>
          <c:invertIfNegative val="0"/>
          <c:cat>
            <c:strRef>
              <c:f>'WTP Main'!$A$161:$A$162</c:f>
              <c:strCache>
                <c:ptCount val="2"/>
                <c:pt idx="0">
                  <c:v>Drought restrictions</c:v>
                </c:pt>
                <c:pt idx="1">
                  <c:v>Temporary use ban</c:v>
                </c:pt>
              </c:strCache>
            </c:strRef>
          </c:cat>
          <c:val>
            <c:numRef>
              <c:f>'WTP Main'!$CA$161:$CA$162</c:f>
              <c:numCache>
                <c:formatCode>"£"#,##0</c:formatCode>
                <c:ptCount val="2"/>
                <c:pt idx="1">
                  <c:v>16798.64283841243</c:v>
                </c:pt>
              </c:numCache>
            </c:numRef>
          </c:val>
          <c:extLst>
            <c:ext xmlns:c16="http://schemas.microsoft.com/office/drawing/2014/chart" uri="{C3380CC4-5D6E-409C-BE32-E72D297353CC}">
              <c16:uniqueId val="{00000002-B300-486A-BE69-C1B342F394CF}"/>
            </c:ext>
          </c:extLst>
        </c:ser>
        <c:ser>
          <c:idx val="3"/>
          <c:order val="3"/>
          <c:tx>
            <c:strRef>
              <c:f>'WTP Main'!$CB$160</c:f>
              <c:strCache>
                <c:ptCount val="1"/>
                <c:pt idx="0">
                  <c:v>WTP core_DCE_Private</c:v>
                </c:pt>
              </c:strCache>
            </c:strRef>
          </c:tx>
          <c:spPr>
            <a:solidFill>
              <a:schemeClr val="accent2">
                <a:lumMod val="60000"/>
              </a:schemeClr>
            </a:solidFill>
            <a:ln>
              <a:noFill/>
            </a:ln>
            <a:effectLst/>
          </c:spPr>
          <c:invertIfNegative val="0"/>
          <c:cat>
            <c:strRef>
              <c:f>'WTP Main'!$A$161:$A$162</c:f>
              <c:strCache>
                <c:ptCount val="2"/>
                <c:pt idx="0">
                  <c:v>Drought restrictions</c:v>
                </c:pt>
                <c:pt idx="1">
                  <c:v>Temporary use ban</c:v>
                </c:pt>
              </c:strCache>
            </c:strRef>
          </c:cat>
          <c:val>
            <c:numRef>
              <c:f>'WTP Main'!$CB$161:$CB$162</c:f>
              <c:numCache>
                <c:formatCode>"£"#,##0</c:formatCode>
                <c:ptCount val="2"/>
                <c:pt idx="0">
                  <c:v>566349.89197397744</c:v>
                </c:pt>
                <c:pt idx="1">
                  <c:v>479391.69599999994</c:v>
                </c:pt>
              </c:numCache>
            </c:numRef>
          </c:val>
          <c:extLst>
            <c:ext xmlns:c16="http://schemas.microsoft.com/office/drawing/2014/chart" uri="{C3380CC4-5D6E-409C-BE32-E72D297353CC}">
              <c16:uniqueId val="{00000003-B300-486A-BE69-C1B342F394CF}"/>
            </c:ext>
          </c:extLst>
        </c:ser>
        <c:ser>
          <c:idx val="4"/>
          <c:order val="4"/>
          <c:tx>
            <c:strRef>
              <c:f>'WTP Main'!$CC$160</c:f>
              <c:strCache>
                <c:ptCount val="1"/>
                <c:pt idx="0">
                  <c:v>WTPCore_DCE2_LowBill</c:v>
                </c:pt>
              </c:strCache>
            </c:strRef>
          </c:tx>
          <c:spPr>
            <a:solidFill>
              <a:schemeClr val="accent4">
                <a:lumMod val="60000"/>
              </a:schemeClr>
            </a:solidFill>
            <a:ln>
              <a:noFill/>
            </a:ln>
            <a:effectLst/>
          </c:spPr>
          <c:invertIfNegative val="0"/>
          <c:cat>
            <c:strRef>
              <c:f>'WTP Main'!$A$161:$A$162</c:f>
              <c:strCache>
                <c:ptCount val="2"/>
                <c:pt idx="0">
                  <c:v>Drought restrictions</c:v>
                </c:pt>
                <c:pt idx="1">
                  <c:v>Temporary use ban</c:v>
                </c:pt>
              </c:strCache>
            </c:strRef>
          </c:cat>
          <c:val>
            <c:numRef>
              <c:f>'WTP Main'!$CC$161:$CC$162</c:f>
              <c:numCache>
                <c:formatCode>"£"#,##0</c:formatCode>
                <c:ptCount val="2"/>
                <c:pt idx="1">
                  <c:v>47514.295374341986</c:v>
                </c:pt>
              </c:numCache>
            </c:numRef>
          </c:val>
          <c:extLst>
            <c:ext xmlns:c16="http://schemas.microsoft.com/office/drawing/2014/chart" uri="{C3380CC4-5D6E-409C-BE32-E72D297353CC}">
              <c16:uniqueId val="{00000004-B300-486A-BE69-C1B342F394CF}"/>
            </c:ext>
          </c:extLst>
        </c:ser>
        <c:ser>
          <c:idx val="5"/>
          <c:order val="5"/>
          <c:tx>
            <c:strRef>
              <c:f>'WTP Main'!$CF$160</c:f>
              <c:strCache>
                <c:ptCount val="1"/>
                <c:pt idx="0">
                  <c:v>ExternalWTP19</c:v>
                </c:pt>
              </c:strCache>
            </c:strRef>
          </c:tx>
          <c:spPr>
            <a:solidFill>
              <a:schemeClr val="accent6">
                <a:lumMod val="60000"/>
              </a:schemeClr>
            </a:solidFill>
            <a:ln>
              <a:noFill/>
            </a:ln>
            <a:effectLst/>
          </c:spPr>
          <c:invertIfNegative val="0"/>
          <c:cat>
            <c:strRef>
              <c:f>'WTP Main'!$A$161:$A$162</c:f>
              <c:strCache>
                <c:ptCount val="2"/>
                <c:pt idx="0">
                  <c:v>Drought restrictions</c:v>
                </c:pt>
                <c:pt idx="1">
                  <c:v>Temporary use ban</c:v>
                </c:pt>
              </c:strCache>
            </c:strRef>
          </c:cat>
          <c:val>
            <c:numRef>
              <c:f>'WTP Main'!$CF$161:$CF$162</c:f>
              <c:numCache>
                <c:formatCode>"£"#,##0</c:formatCode>
                <c:ptCount val="2"/>
                <c:pt idx="0">
                  <c:v>137120.51290739383</c:v>
                </c:pt>
                <c:pt idx="1">
                  <c:v>80909.640059860249</c:v>
                </c:pt>
              </c:numCache>
            </c:numRef>
          </c:val>
          <c:extLst>
            <c:ext xmlns:c16="http://schemas.microsoft.com/office/drawing/2014/chart" uri="{C3380CC4-5D6E-409C-BE32-E72D297353CC}">
              <c16:uniqueId val="{00000009-B300-486A-BE69-C1B342F394CF}"/>
            </c:ext>
          </c:extLst>
        </c:ser>
        <c:ser>
          <c:idx val="6"/>
          <c:order val="6"/>
          <c:tx>
            <c:strRef>
              <c:f>'WTP Main'!$CG$160</c:f>
              <c:strCache>
                <c:ptCount val="1"/>
                <c:pt idx="0">
                  <c:v>WTPCore_MaxDiff</c:v>
                </c:pt>
              </c:strCache>
            </c:strRef>
          </c:tx>
          <c:spPr>
            <a:solidFill>
              <a:schemeClr val="accent2">
                <a:lumMod val="80000"/>
                <a:lumOff val="20000"/>
              </a:schemeClr>
            </a:solidFill>
            <a:ln>
              <a:noFill/>
            </a:ln>
            <a:effectLst/>
          </c:spPr>
          <c:invertIfNegative val="0"/>
          <c:cat>
            <c:strRef>
              <c:f>'WTP Main'!$A$161:$A$162</c:f>
              <c:strCache>
                <c:ptCount val="2"/>
                <c:pt idx="0">
                  <c:v>Drought restrictions</c:v>
                </c:pt>
                <c:pt idx="1">
                  <c:v>Temporary use ban</c:v>
                </c:pt>
              </c:strCache>
            </c:strRef>
          </c:cat>
          <c:val>
            <c:numRef>
              <c:f>'WTP Main'!$CG$161:$CG$162</c:f>
              <c:numCache>
                <c:formatCode>"£"#,##0</c:formatCode>
                <c:ptCount val="2"/>
                <c:pt idx="0">
                  <c:v>251470.78671168489</c:v>
                </c:pt>
                <c:pt idx="1">
                  <c:v>64749.144337062389</c:v>
                </c:pt>
              </c:numCache>
            </c:numRef>
          </c:val>
          <c:extLst>
            <c:ext xmlns:c16="http://schemas.microsoft.com/office/drawing/2014/chart" uri="{C3380CC4-5D6E-409C-BE32-E72D297353CC}">
              <c16:uniqueId val="{0000000A-B300-486A-BE69-C1B342F394CF}"/>
            </c:ext>
          </c:extLst>
        </c:ser>
        <c:dLbls>
          <c:showLegendKey val="0"/>
          <c:showVal val="0"/>
          <c:showCatName val="0"/>
          <c:showSerName val="0"/>
          <c:showPercent val="0"/>
          <c:showBubbleSize val="0"/>
        </c:dLbls>
        <c:gapWidth val="219"/>
        <c:overlap val="-27"/>
        <c:axId val="-1236319360"/>
        <c:axId val="-1236313920"/>
      </c:barChart>
      <c:catAx>
        <c:axId val="-123631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236313920"/>
        <c:crosses val="autoZero"/>
        <c:auto val="1"/>
        <c:lblAlgn val="ctr"/>
        <c:lblOffset val="100"/>
        <c:noMultiLvlLbl val="0"/>
      </c:catAx>
      <c:valAx>
        <c:axId val="-1236313920"/>
        <c:scaling>
          <c:orientation val="minMax"/>
          <c:max val="25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236319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rgbClr val="000000"/>
                </a:solidFill>
                <a:effectLst/>
              </a:rPr>
              <a:t>CAM NHH WTP Unit Values and Range - Drought Restrictions (£/1% Risk/yr)</a:t>
            </a:r>
            <a:endParaRPr lang="en-GB">
              <a:solidFill>
                <a:srgbClr val="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Main'!$BY$166</c:f>
              <c:strCache>
                <c:ptCount val="1"/>
                <c:pt idx="0">
                  <c:v>COMBINED</c:v>
                </c:pt>
              </c:strCache>
            </c:strRef>
          </c:tx>
          <c:spPr>
            <a:solidFill>
              <a:schemeClr val="accent2"/>
            </a:solidFill>
            <a:ln>
              <a:noFill/>
            </a:ln>
            <a:effectLst/>
          </c:spPr>
          <c:invertIfNegative val="0"/>
          <c:errBars>
            <c:errBarType val="both"/>
            <c:errValType val="cust"/>
            <c:noEndCap val="0"/>
            <c:plus>
              <c:numRef>
                <c:f>'WTP Main'!$CQ$167:$CQ$168</c:f>
                <c:numCache>
                  <c:formatCode>General</c:formatCode>
                  <c:ptCount val="2"/>
                  <c:pt idx="0">
                    <c:v>635387.17338174488</c:v>
                  </c:pt>
                  <c:pt idx="1">
                    <c:v>461217.06241016858</c:v>
                  </c:pt>
                </c:numCache>
              </c:numRef>
            </c:plus>
            <c:minus>
              <c:numRef>
                <c:f>'WTP Main'!$CO$167:$CO$168</c:f>
                <c:numCache>
                  <c:formatCode>General</c:formatCode>
                  <c:ptCount val="2"/>
                  <c:pt idx="0">
                    <c:v>809795.46196511877</c:v>
                  </c:pt>
                  <c:pt idx="1">
                    <c:v>298948.10878983128</c:v>
                  </c:pt>
                </c:numCache>
              </c:numRef>
            </c:minus>
            <c:spPr>
              <a:noFill/>
              <a:ln w="9525" cap="flat" cmpd="sng" algn="ctr">
                <a:solidFill>
                  <a:srgbClr val="000000"/>
                </a:solidFill>
                <a:round/>
              </a:ln>
              <a:effectLst/>
            </c:spPr>
          </c:errBars>
          <c:cat>
            <c:strRef>
              <c:f>'WTP Main'!$A$167:$A$168</c:f>
              <c:strCache>
                <c:ptCount val="2"/>
                <c:pt idx="0">
                  <c:v>Drought restrictions</c:v>
                </c:pt>
                <c:pt idx="1">
                  <c:v>Temporary use ban</c:v>
                </c:pt>
              </c:strCache>
            </c:strRef>
          </c:cat>
          <c:val>
            <c:numRef>
              <c:f>'WTP Main'!$BY$167:$BY$168</c:f>
              <c:numCache>
                <c:formatCode>"£"#,##0</c:formatCode>
                <c:ptCount val="2"/>
                <c:pt idx="0">
                  <c:v>1576192.6918665692</c:v>
                </c:pt>
                <c:pt idx="1">
                  <c:v>373685.13598728913</c:v>
                </c:pt>
              </c:numCache>
            </c:numRef>
          </c:val>
          <c:extLst>
            <c:ext xmlns:c16="http://schemas.microsoft.com/office/drawing/2014/chart" uri="{C3380CC4-5D6E-409C-BE32-E72D297353CC}">
              <c16:uniqueId val="{00000000-0D97-48DE-823F-2151C8E0129A}"/>
            </c:ext>
          </c:extLst>
        </c:ser>
        <c:ser>
          <c:idx val="1"/>
          <c:order val="1"/>
          <c:tx>
            <c:strRef>
              <c:f>'WTP Main'!$BZ$166</c:f>
              <c:strCache>
                <c:ptCount val="1"/>
                <c:pt idx="0">
                  <c:v>WTPCore_DCE</c:v>
                </c:pt>
              </c:strCache>
            </c:strRef>
          </c:tx>
          <c:spPr>
            <a:solidFill>
              <a:schemeClr val="accent4"/>
            </a:solidFill>
            <a:ln>
              <a:noFill/>
            </a:ln>
            <a:effectLst/>
          </c:spPr>
          <c:invertIfNegative val="0"/>
          <c:cat>
            <c:strRef>
              <c:f>'WTP Main'!$A$167:$A$168</c:f>
              <c:strCache>
                <c:ptCount val="2"/>
                <c:pt idx="0">
                  <c:v>Drought restrictions</c:v>
                </c:pt>
                <c:pt idx="1">
                  <c:v>Temporary use ban</c:v>
                </c:pt>
              </c:strCache>
            </c:strRef>
          </c:cat>
          <c:val>
            <c:numRef>
              <c:f>'WTP Main'!$BZ$167:$BZ$168</c:f>
              <c:numCache>
                <c:formatCode>"£"#,##0</c:formatCode>
                <c:ptCount val="2"/>
                <c:pt idx="0">
                  <c:v>962433.11413022119</c:v>
                </c:pt>
                <c:pt idx="1">
                  <c:v>950206.4639999998</c:v>
                </c:pt>
              </c:numCache>
            </c:numRef>
          </c:val>
          <c:extLst>
            <c:ext xmlns:c16="http://schemas.microsoft.com/office/drawing/2014/chart" uri="{C3380CC4-5D6E-409C-BE32-E72D297353CC}">
              <c16:uniqueId val="{00000001-0D97-48DE-823F-2151C8E0129A}"/>
            </c:ext>
          </c:extLst>
        </c:ser>
        <c:ser>
          <c:idx val="2"/>
          <c:order val="2"/>
          <c:tx>
            <c:strRef>
              <c:f>'WTP Main'!$CA$166</c:f>
              <c:strCache>
                <c:ptCount val="1"/>
                <c:pt idx="0">
                  <c:v>WTPCore_DCE2</c:v>
                </c:pt>
              </c:strCache>
            </c:strRef>
          </c:tx>
          <c:spPr>
            <a:solidFill>
              <a:schemeClr val="accent6"/>
            </a:solidFill>
            <a:ln>
              <a:noFill/>
            </a:ln>
            <a:effectLst/>
          </c:spPr>
          <c:invertIfNegative val="0"/>
          <c:cat>
            <c:strRef>
              <c:f>'WTP Main'!$A$167:$A$168</c:f>
              <c:strCache>
                <c:ptCount val="2"/>
                <c:pt idx="0">
                  <c:v>Drought restrictions</c:v>
                </c:pt>
                <c:pt idx="1">
                  <c:v>Temporary use ban</c:v>
                </c:pt>
              </c:strCache>
            </c:strRef>
          </c:cat>
          <c:val>
            <c:numRef>
              <c:f>'WTP Main'!$CA$167:$CA$168</c:f>
              <c:numCache>
                <c:formatCode>"£"#,##0</c:formatCode>
                <c:ptCount val="2"/>
                <c:pt idx="1">
                  <c:v>163435.57878935931</c:v>
                </c:pt>
              </c:numCache>
            </c:numRef>
          </c:val>
          <c:extLst>
            <c:ext xmlns:c16="http://schemas.microsoft.com/office/drawing/2014/chart" uri="{C3380CC4-5D6E-409C-BE32-E72D297353CC}">
              <c16:uniqueId val="{00000005-0D97-48DE-823F-2151C8E0129A}"/>
            </c:ext>
          </c:extLst>
        </c:ser>
        <c:ser>
          <c:idx val="3"/>
          <c:order val="3"/>
          <c:tx>
            <c:strRef>
              <c:f>'WTP Main'!$CB$166</c:f>
              <c:strCache>
                <c:ptCount val="1"/>
                <c:pt idx="0">
                  <c:v>WTP core_DCE_Private</c:v>
                </c:pt>
              </c:strCache>
            </c:strRef>
          </c:tx>
          <c:spPr>
            <a:solidFill>
              <a:schemeClr val="accent2">
                <a:lumMod val="60000"/>
              </a:schemeClr>
            </a:solidFill>
            <a:ln>
              <a:noFill/>
            </a:ln>
            <a:effectLst/>
          </c:spPr>
          <c:invertIfNegative val="0"/>
          <c:cat>
            <c:strRef>
              <c:f>'WTP Main'!$A$167:$A$168</c:f>
              <c:strCache>
                <c:ptCount val="2"/>
                <c:pt idx="0">
                  <c:v>Drought restrictions</c:v>
                </c:pt>
                <c:pt idx="1">
                  <c:v>Temporary use ban</c:v>
                </c:pt>
              </c:strCache>
            </c:strRef>
          </c:cat>
          <c:val>
            <c:numRef>
              <c:f>'WTP Main'!$CB$167:$CB$168</c:f>
              <c:numCache>
                <c:formatCode>"£"#,##0</c:formatCode>
                <c:ptCount val="2"/>
                <c:pt idx="0">
                  <c:v>751059.52101211366</c:v>
                </c:pt>
                <c:pt idx="1">
                  <c:v>844627.96799999988</c:v>
                </c:pt>
              </c:numCache>
            </c:numRef>
          </c:val>
          <c:extLst>
            <c:ext xmlns:c16="http://schemas.microsoft.com/office/drawing/2014/chart" uri="{C3380CC4-5D6E-409C-BE32-E72D297353CC}">
              <c16:uniqueId val="{00000006-0D97-48DE-823F-2151C8E0129A}"/>
            </c:ext>
          </c:extLst>
        </c:ser>
        <c:ser>
          <c:idx val="4"/>
          <c:order val="4"/>
          <c:tx>
            <c:strRef>
              <c:f>'WTP Main'!$CF$166</c:f>
              <c:strCache>
                <c:ptCount val="1"/>
                <c:pt idx="0">
                  <c:v>ExternalWTP19</c:v>
                </c:pt>
              </c:strCache>
            </c:strRef>
          </c:tx>
          <c:spPr>
            <a:solidFill>
              <a:schemeClr val="accent4">
                <a:lumMod val="60000"/>
              </a:schemeClr>
            </a:solidFill>
            <a:ln>
              <a:noFill/>
            </a:ln>
            <a:effectLst/>
          </c:spPr>
          <c:invertIfNegative val="0"/>
          <c:cat>
            <c:strRef>
              <c:f>'WTP Main'!$A$167:$A$168</c:f>
              <c:strCache>
                <c:ptCount val="2"/>
                <c:pt idx="0">
                  <c:v>Drought restrictions</c:v>
                </c:pt>
                <c:pt idx="1">
                  <c:v>Temporary use ban</c:v>
                </c:pt>
              </c:strCache>
            </c:strRef>
          </c:cat>
          <c:val>
            <c:numRef>
              <c:f>'WTP Main'!$CF$167:$CF$168</c:f>
              <c:numCache>
                <c:formatCode>"£"#,##0</c:formatCode>
                <c:ptCount val="2"/>
                <c:pt idx="0">
                  <c:v>563948.3644101707</c:v>
                </c:pt>
                <c:pt idx="1">
                  <c:v>283007.84234115132</c:v>
                </c:pt>
              </c:numCache>
            </c:numRef>
          </c:val>
          <c:extLst>
            <c:ext xmlns:c16="http://schemas.microsoft.com/office/drawing/2014/chart" uri="{C3380CC4-5D6E-409C-BE32-E72D297353CC}">
              <c16:uniqueId val="{00000007-0D97-48DE-823F-2151C8E0129A}"/>
            </c:ext>
          </c:extLst>
        </c:ser>
        <c:ser>
          <c:idx val="5"/>
          <c:order val="5"/>
          <c:tx>
            <c:strRef>
              <c:f>'WTP Main'!$CG$166</c:f>
              <c:strCache>
                <c:ptCount val="1"/>
                <c:pt idx="0">
                  <c:v>WTPCore_MaxDiff</c:v>
                </c:pt>
              </c:strCache>
            </c:strRef>
          </c:tx>
          <c:spPr>
            <a:solidFill>
              <a:schemeClr val="accent6">
                <a:lumMod val="60000"/>
              </a:schemeClr>
            </a:solidFill>
            <a:ln>
              <a:noFill/>
            </a:ln>
            <a:effectLst/>
          </c:spPr>
          <c:invertIfNegative val="0"/>
          <c:cat>
            <c:strRef>
              <c:f>'WTP Main'!$A$167:$A$168</c:f>
              <c:strCache>
                <c:ptCount val="2"/>
                <c:pt idx="0">
                  <c:v>Drought restrictions</c:v>
                </c:pt>
                <c:pt idx="1">
                  <c:v>Temporary use ban</c:v>
                </c:pt>
              </c:strCache>
            </c:strRef>
          </c:cat>
          <c:val>
            <c:numRef>
              <c:f>'WTP Main'!$CG$167:$CG$168</c:f>
              <c:numCache>
                <c:formatCode>"£"#,##0</c:formatCode>
                <c:ptCount val="2"/>
                <c:pt idx="0">
                  <c:v>1267482.5409220785</c:v>
                </c:pt>
                <c:pt idx="1">
                  <c:v>796129.26405908831</c:v>
                </c:pt>
              </c:numCache>
            </c:numRef>
          </c:val>
          <c:extLst>
            <c:ext xmlns:c16="http://schemas.microsoft.com/office/drawing/2014/chart" uri="{C3380CC4-5D6E-409C-BE32-E72D297353CC}">
              <c16:uniqueId val="{00000008-0D97-48DE-823F-2151C8E0129A}"/>
            </c:ext>
          </c:extLst>
        </c:ser>
        <c:dLbls>
          <c:showLegendKey val="0"/>
          <c:showVal val="0"/>
          <c:showCatName val="0"/>
          <c:showSerName val="0"/>
          <c:showPercent val="0"/>
          <c:showBubbleSize val="0"/>
        </c:dLbls>
        <c:gapWidth val="219"/>
        <c:overlap val="-27"/>
        <c:axId val="-1466653168"/>
        <c:axId val="-1466648272"/>
      </c:barChart>
      <c:catAx>
        <c:axId val="-1466653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466648272"/>
        <c:crosses val="autoZero"/>
        <c:auto val="1"/>
        <c:lblAlgn val="ctr"/>
        <c:lblOffset val="100"/>
        <c:noMultiLvlLbl val="0"/>
      </c:catAx>
      <c:valAx>
        <c:axId val="-1466648272"/>
        <c:scaling>
          <c:orientation val="minMax"/>
          <c:max val="25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466653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rgbClr val="000000"/>
                </a:solidFill>
                <a:effectLst/>
              </a:rPr>
              <a:t>CAM WTP Unit Values and Range - Leakage (£/MLD/yr) (HH and NHH)</a:t>
            </a:r>
            <a:endParaRPr lang="en-GB" sz="1400">
              <a:solidFill>
                <a:srgbClr val="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Main'!$BY$188</c:f>
              <c:strCache>
                <c:ptCount val="1"/>
                <c:pt idx="0">
                  <c:v>COMBINED</c:v>
                </c:pt>
              </c:strCache>
            </c:strRef>
          </c:tx>
          <c:spPr>
            <a:solidFill>
              <a:schemeClr val="accent2"/>
            </a:solidFill>
            <a:ln>
              <a:noFill/>
            </a:ln>
            <a:effectLst/>
          </c:spPr>
          <c:invertIfNegative val="0"/>
          <c:errBars>
            <c:errBarType val="both"/>
            <c:errValType val="cust"/>
            <c:noEndCap val="0"/>
            <c:plus>
              <c:numRef>
                <c:f>'WTP Main'!$CA$189</c:f>
                <c:numCache>
                  <c:formatCode>General</c:formatCode>
                  <c:ptCount val="1"/>
                  <c:pt idx="0">
                    <c:v>499624.30765523075</c:v>
                  </c:pt>
                </c:numCache>
              </c:numRef>
            </c:plus>
            <c:minus>
              <c:numRef>
                <c:f>'WTP Main'!$BZ$189</c:f>
                <c:numCache>
                  <c:formatCode>General</c:formatCode>
                  <c:ptCount val="1"/>
                  <c:pt idx="0">
                    <c:v>188492.04884304563</c:v>
                  </c:pt>
                </c:numCache>
              </c:numRef>
            </c:minus>
            <c:spPr>
              <a:noFill/>
              <a:ln w="9525" cap="flat" cmpd="sng" algn="ctr">
                <a:solidFill>
                  <a:srgbClr val="000000"/>
                </a:solidFill>
                <a:round/>
              </a:ln>
              <a:effectLst/>
            </c:spPr>
          </c:errBars>
          <c:cat>
            <c:strRef>
              <c:f>'WTP Main'!$A$189</c:f>
              <c:strCache>
                <c:ptCount val="1"/>
                <c:pt idx="0">
                  <c:v>Leakage</c:v>
                </c:pt>
              </c:strCache>
            </c:strRef>
          </c:cat>
          <c:val>
            <c:numRef>
              <c:f>'WTP Main'!$BY$189</c:f>
              <c:numCache>
                <c:formatCode>"£"#,##0</c:formatCode>
                <c:ptCount val="1"/>
                <c:pt idx="0">
                  <c:v>258542.0311916942</c:v>
                </c:pt>
              </c:numCache>
            </c:numRef>
          </c:val>
          <c:extLst>
            <c:ext xmlns:c16="http://schemas.microsoft.com/office/drawing/2014/chart" uri="{C3380CC4-5D6E-409C-BE32-E72D297353CC}">
              <c16:uniqueId val="{00000000-365F-4FA9-B8D8-63EC1B4F0973}"/>
            </c:ext>
          </c:extLst>
        </c:ser>
        <c:dLbls>
          <c:showLegendKey val="0"/>
          <c:showVal val="0"/>
          <c:showCatName val="0"/>
          <c:showSerName val="0"/>
          <c:showPercent val="0"/>
          <c:showBubbleSize val="0"/>
        </c:dLbls>
        <c:gapWidth val="219"/>
        <c:overlap val="-27"/>
        <c:axId val="-1466651536"/>
        <c:axId val="-1466650448"/>
      </c:barChart>
      <c:catAx>
        <c:axId val="-1466651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466650448"/>
        <c:crosses val="autoZero"/>
        <c:auto val="1"/>
        <c:lblAlgn val="ctr"/>
        <c:lblOffset val="100"/>
        <c:noMultiLvlLbl val="0"/>
      </c:catAx>
      <c:valAx>
        <c:axId val="-1466650448"/>
        <c:scaling>
          <c:orientation val="minMax"/>
          <c:max val="10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466651536"/>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rgbClr val="000000"/>
                </a:solidFill>
                <a:effectLst/>
              </a:rPr>
              <a:t>CAM NHH WTP Unit Values and Range - Leakage (£/MLD/yr)</a:t>
            </a:r>
            <a:endParaRPr lang="en-GB" sz="1400">
              <a:solidFill>
                <a:srgbClr val="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Main'!$CC$195</c:f>
              <c:strCache>
                <c:ptCount val="1"/>
                <c:pt idx="0">
                  <c:v>COMBINED</c:v>
                </c:pt>
              </c:strCache>
            </c:strRef>
          </c:tx>
          <c:spPr>
            <a:solidFill>
              <a:schemeClr val="accent2"/>
            </a:solidFill>
            <a:ln>
              <a:noFill/>
            </a:ln>
            <a:effectLst/>
          </c:spPr>
          <c:invertIfNegative val="0"/>
          <c:errBars>
            <c:errBarType val="both"/>
            <c:errValType val="cust"/>
            <c:noEndCap val="0"/>
            <c:plus>
              <c:numRef>
                <c:f>'WTP Main'!$CW$196</c:f>
                <c:numCache>
                  <c:formatCode>General</c:formatCode>
                  <c:ptCount val="1"/>
                  <c:pt idx="0">
                    <c:v>421736.73457448254</c:v>
                  </c:pt>
                </c:numCache>
              </c:numRef>
            </c:plus>
            <c:minus>
              <c:numRef>
                <c:f>'WTP Main'!$CV$196</c:f>
                <c:numCache>
                  <c:formatCode>General</c:formatCode>
                  <c:ptCount val="1"/>
                  <c:pt idx="0">
                    <c:v>135372.98985347993</c:v>
                  </c:pt>
                </c:numCache>
              </c:numRef>
            </c:minus>
            <c:spPr>
              <a:noFill/>
              <a:ln w="9525" cap="flat" cmpd="sng" algn="ctr">
                <a:solidFill>
                  <a:srgbClr val="000000"/>
                </a:solidFill>
                <a:round/>
              </a:ln>
              <a:effectLst/>
            </c:spPr>
          </c:errBars>
          <c:cat>
            <c:strRef>
              <c:f>'WTP Main'!$A$196</c:f>
              <c:strCache>
                <c:ptCount val="1"/>
                <c:pt idx="0">
                  <c:v>Leakage</c:v>
                </c:pt>
              </c:strCache>
            </c:strRef>
          </c:cat>
          <c:val>
            <c:numRef>
              <c:f>'WTP Main'!$CC$196</c:f>
              <c:numCache>
                <c:formatCode>"£"#,##0</c:formatCode>
                <c:ptCount val="1"/>
                <c:pt idx="0">
                  <c:v>169216.2373168499</c:v>
                </c:pt>
              </c:numCache>
            </c:numRef>
          </c:val>
          <c:extLst>
            <c:ext xmlns:c16="http://schemas.microsoft.com/office/drawing/2014/chart" uri="{C3380CC4-5D6E-409C-BE32-E72D297353CC}">
              <c16:uniqueId val="{00000000-D9AF-4191-827D-1EA305D3AAB8}"/>
            </c:ext>
          </c:extLst>
        </c:ser>
        <c:ser>
          <c:idx val="1"/>
          <c:order val="1"/>
          <c:tx>
            <c:strRef>
              <c:f>'WTP Main'!$CD$195</c:f>
              <c:strCache>
                <c:ptCount val="1"/>
                <c:pt idx="0">
                  <c:v>WTPCore_DCE</c:v>
                </c:pt>
              </c:strCache>
            </c:strRef>
          </c:tx>
          <c:spPr>
            <a:solidFill>
              <a:schemeClr val="accent4"/>
            </a:solidFill>
            <a:ln>
              <a:noFill/>
            </a:ln>
            <a:effectLst/>
          </c:spPr>
          <c:invertIfNegative val="0"/>
          <c:cat>
            <c:strRef>
              <c:f>'WTP Main'!$A$196</c:f>
              <c:strCache>
                <c:ptCount val="1"/>
                <c:pt idx="0">
                  <c:v>Leakage</c:v>
                </c:pt>
              </c:strCache>
            </c:strRef>
          </c:cat>
          <c:val>
            <c:numRef>
              <c:f>'WTP Main'!$CD$196</c:f>
              <c:numCache>
                <c:formatCode>"£"#,##0</c:formatCode>
                <c:ptCount val="1"/>
                <c:pt idx="0">
                  <c:v>13034.382222222222</c:v>
                </c:pt>
              </c:numCache>
            </c:numRef>
          </c:val>
          <c:extLst>
            <c:ext xmlns:c16="http://schemas.microsoft.com/office/drawing/2014/chart" uri="{C3380CC4-5D6E-409C-BE32-E72D297353CC}">
              <c16:uniqueId val="{00000001-D9AF-4191-827D-1EA305D3AAB8}"/>
            </c:ext>
          </c:extLst>
        </c:ser>
        <c:ser>
          <c:idx val="2"/>
          <c:order val="2"/>
          <c:tx>
            <c:strRef>
              <c:f>'WTP Main'!$CE$195</c:f>
              <c:strCache>
                <c:ptCount val="1"/>
                <c:pt idx="0">
                  <c:v>WTPCore_DCE2</c:v>
                </c:pt>
              </c:strCache>
            </c:strRef>
          </c:tx>
          <c:spPr>
            <a:solidFill>
              <a:schemeClr val="accent6"/>
            </a:solidFill>
            <a:ln>
              <a:noFill/>
            </a:ln>
            <a:effectLst/>
          </c:spPr>
          <c:invertIfNegative val="0"/>
          <c:cat>
            <c:strRef>
              <c:f>'WTP Main'!$A$196</c:f>
              <c:strCache>
                <c:ptCount val="1"/>
                <c:pt idx="0">
                  <c:v>Leakage</c:v>
                </c:pt>
              </c:strCache>
            </c:strRef>
          </c:cat>
          <c:val>
            <c:numRef>
              <c:f>'WTP Main'!$CE$196</c:f>
              <c:numCache>
                <c:formatCode>"£"#,##0</c:formatCode>
                <c:ptCount val="1"/>
                <c:pt idx="0">
                  <c:v>696387.155534953</c:v>
                </c:pt>
              </c:numCache>
            </c:numRef>
          </c:val>
          <c:extLst>
            <c:ext xmlns:c16="http://schemas.microsoft.com/office/drawing/2014/chart" uri="{C3380CC4-5D6E-409C-BE32-E72D297353CC}">
              <c16:uniqueId val="{00000002-D9AF-4191-827D-1EA305D3AAB8}"/>
            </c:ext>
          </c:extLst>
        </c:ser>
        <c:ser>
          <c:idx val="3"/>
          <c:order val="3"/>
          <c:tx>
            <c:strRef>
              <c:f>'WTP Main'!$CF$195</c:f>
              <c:strCache>
                <c:ptCount val="1"/>
                <c:pt idx="0">
                  <c:v>WTP core_DCE_Private</c:v>
                </c:pt>
              </c:strCache>
            </c:strRef>
          </c:tx>
          <c:spPr>
            <a:solidFill>
              <a:schemeClr val="accent2">
                <a:lumMod val="60000"/>
              </a:schemeClr>
            </a:solidFill>
            <a:ln>
              <a:noFill/>
            </a:ln>
            <a:effectLst/>
          </c:spPr>
          <c:invertIfNegative val="0"/>
          <c:cat>
            <c:strRef>
              <c:f>'WTP Main'!$A$196</c:f>
              <c:strCache>
                <c:ptCount val="1"/>
                <c:pt idx="0">
                  <c:v>Leakage</c:v>
                </c:pt>
              </c:strCache>
            </c:strRef>
          </c:cat>
          <c:val>
            <c:numRef>
              <c:f>'WTP Main'!$CF$196</c:f>
              <c:numCache>
                <c:formatCode>"£"#,##0</c:formatCode>
                <c:ptCount val="1"/>
                <c:pt idx="0">
                  <c:v>110792.24888888889</c:v>
                </c:pt>
              </c:numCache>
            </c:numRef>
          </c:val>
          <c:extLst>
            <c:ext xmlns:c16="http://schemas.microsoft.com/office/drawing/2014/chart" uri="{C3380CC4-5D6E-409C-BE32-E72D297353CC}">
              <c16:uniqueId val="{00000003-D9AF-4191-827D-1EA305D3AAB8}"/>
            </c:ext>
          </c:extLst>
        </c:ser>
        <c:ser>
          <c:idx val="4"/>
          <c:order val="4"/>
          <c:tx>
            <c:strRef>
              <c:f>'WTP Main'!$CI$195</c:f>
              <c:strCache>
                <c:ptCount val="1"/>
                <c:pt idx="0">
                  <c:v>ExternalWTP14</c:v>
                </c:pt>
              </c:strCache>
            </c:strRef>
          </c:tx>
          <c:spPr>
            <a:solidFill>
              <a:schemeClr val="accent4">
                <a:lumMod val="60000"/>
              </a:schemeClr>
            </a:solidFill>
            <a:ln>
              <a:noFill/>
            </a:ln>
            <a:effectLst/>
          </c:spPr>
          <c:invertIfNegative val="0"/>
          <c:cat>
            <c:strRef>
              <c:f>'WTP Main'!$A$196</c:f>
              <c:strCache>
                <c:ptCount val="1"/>
                <c:pt idx="0">
                  <c:v>Leakage</c:v>
                </c:pt>
              </c:strCache>
            </c:strRef>
          </c:cat>
          <c:val>
            <c:numRef>
              <c:f>'WTP Main'!$CI$196</c:f>
              <c:numCache>
                <c:formatCode>"£"#,##0</c:formatCode>
                <c:ptCount val="1"/>
                <c:pt idx="0">
                  <c:v>706479.34371927811</c:v>
                </c:pt>
              </c:numCache>
            </c:numRef>
          </c:val>
          <c:extLst>
            <c:ext xmlns:c16="http://schemas.microsoft.com/office/drawing/2014/chart" uri="{C3380CC4-5D6E-409C-BE32-E72D297353CC}">
              <c16:uniqueId val="{00000004-D9AF-4191-827D-1EA305D3AAB8}"/>
            </c:ext>
          </c:extLst>
        </c:ser>
        <c:ser>
          <c:idx val="5"/>
          <c:order val="5"/>
          <c:tx>
            <c:strRef>
              <c:f>'WTP Main'!$CJ$195</c:f>
              <c:strCache>
                <c:ptCount val="1"/>
                <c:pt idx="0">
                  <c:v>ExternalWTP19</c:v>
                </c:pt>
              </c:strCache>
            </c:strRef>
          </c:tx>
          <c:spPr>
            <a:solidFill>
              <a:schemeClr val="accent6">
                <a:lumMod val="60000"/>
              </a:schemeClr>
            </a:solidFill>
            <a:ln>
              <a:noFill/>
            </a:ln>
            <a:effectLst/>
          </c:spPr>
          <c:invertIfNegative val="0"/>
          <c:cat>
            <c:strRef>
              <c:f>'WTP Main'!$A$196</c:f>
              <c:strCache>
                <c:ptCount val="1"/>
                <c:pt idx="0">
                  <c:v>Leakage</c:v>
                </c:pt>
              </c:strCache>
            </c:strRef>
          </c:cat>
          <c:val>
            <c:numRef>
              <c:f>'WTP Main'!$CJ$196</c:f>
              <c:numCache>
                <c:formatCode>"£"#,##0</c:formatCode>
                <c:ptCount val="1"/>
                <c:pt idx="0">
                  <c:v>251660.2123705667</c:v>
                </c:pt>
              </c:numCache>
            </c:numRef>
          </c:val>
          <c:extLst>
            <c:ext xmlns:c16="http://schemas.microsoft.com/office/drawing/2014/chart" uri="{C3380CC4-5D6E-409C-BE32-E72D297353CC}">
              <c16:uniqueId val="{00000005-D9AF-4191-827D-1EA305D3AAB8}"/>
            </c:ext>
          </c:extLst>
        </c:ser>
        <c:ser>
          <c:idx val="6"/>
          <c:order val="6"/>
          <c:tx>
            <c:strRef>
              <c:f>'WTP Main'!$CK$195</c:f>
              <c:strCache>
                <c:ptCount val="1"/>
                <c:pt idx="0">
                  <c:v>WTPCore_MaxDiff</c:v>
                </c:pt>
              </c:strCache>
            </c:strRef>
          </c:tx>
          <c:spPr>
            <a:solidFill>
              <a:schemeClr val="accent2">
                <a:lumMod val="80000"/>
                <a:lumOff val="20000"/>
              </a:schemeClr>
            </a:solidFill>
            <a:ln>
              <a:noFill/>
            </a:ln>
            <a:effectLst/>
          </c:spPr>
          <c:invertIfNegative val="0"/>
          <c:cat>
            <c:strRef>
              <c:f>'WTP Main'!$A$196</c:f>
              <c:strCache>
                <c:ptCount val="1"/>
                <c:pt idx="0">
                  <c:v>Leakage</c:v>
                </c:pt>
              </c:strCache>
            </c:strRef>
          </c:cat>
          <c:val>
            <c:numRef>
              <c:f>'WTP Main'!$CK$196</c:f>
              <c:numCache>
                <c:formatCode>"£"#,##0</c:formatCode>
                <c:ptCount val="1"/>
                <c:pt idx="0">
                  <c:v>103453.31685820092</c:v>
                </c:pt>
              </c:numCache>
            </c:numRef>
          </c:val>
          <c:extLst>
            <c:ext xmlns:c16="http://schemas.microsoft.com/office/drawing/2014/chart" uri="{C3380CC4-5D6E-409C-BE32-E72D297353CC}">
              <c16:uniqueId val="{00000006-D9AF-4191-827D-1EA305D3AAB8}"/>
            </c:ext>
          </c:extLst>
        </c:ser>
        <c:dLbls>
          <c:showLegendKey val="0"/>
          <c:showVal val="0"/>
          <c:showCatName val="0"/>
          <c:showSerName val="0"/>
          <c:showPercent val="0"/>
          <c:showBubbleSize val="0"/>
        </c:dLbls>
        <c:gapWidth val="219"/>
        <c:overlap val="-27"/>
        <c:axId val="-1383048288"/>
        <c:axId val="-1383045568"/>
      </c:barChart>
      <c:catAx>
        <c:axId val="-138304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383045568"/>
        <c:crosses val="autoZero"/>
        <c:auto val="1"/>
        <c:lblAlgn val="ctr"/>
        <c:lblOffset val="100"/>
        <c:noMultiLvlLbl val="0"/>
      </c:catAx>
      <c:valAx>
        <c:axId val="-1383045568"/>
        <c:scaling>
          <c:orientation val="minMax"/>
          <c:max val="10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383048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rgbClr val="000000"/>
                </a:solidFill>
                <a:effectLst/>
              </a:rPr>
              <a:t>CAM WTP Unit Values and Range - Metering (£/HH metered/yr) (HH and NHH)</a:t>
            </a:r>
            <a:endParaRPr lang="en-GB" sz="1400">
              <a:solidFill>
                <a:srgbClr val="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Main'!$BY$220</c:f>
              <c:strCache>
                <c:ptCount val="1"/>
                <c:pt idx="0">
                  <c:v>COMBINED</c:v>
                </c:pt>
              </c:strCache>
            </c:strRef>
          </c:tx>
          <c:spPr>
            <a:solidFill>
              <a:schemeClr val="accent2"/>
            </a:solidFill>
            <a:ln>
              <a:noFill/>
            </a:ln>
            <a:effectLst/>
          </c:spPr>
          <c:invertIfNegative val="0"/>
          <c:errBars>
            <c:errBarType val="both"/>
            <c:errValType val="cust"/>
            <c:noEndCap val="0"/>
            <c:plus>
              <c:numRef>
                <c:f>'WTP Main'!$CA$221:$CA$222</c:f>
                <c:numCache>
                  <c:formatCode>General</c:formatCode>
                  <c:ptCount val="2"/>
                  <c:pt idx="0">
                    <c:v>2.5499360156365816</c:v>
                  </c:pt>
                  <c:pt idx="1">
                    <c:v>1.2498313951275477</c:v>
                  </c:pt>
                </c:numCache>
              </c:numRef>
            </c:plus>
            <c:minus>
              <c:numRef>
                <c:f>'WTP Main'!$BZ$221:$BZ$222</c:f>
                <c:numCache>
                  <c:formatCode>General</c:formatCode>
                  <c:ptCount val="2"/>
                  <c:pt idx="0">
                    <c:v>3.6578979083462482</c:v>
                  </c:pt>
                  <c:pt idx="1">
                    <c:v>1.0685686048724521</c:v>
                  </c:pt>
                </c:numCache>
              </c:numRef>
            </c:minus>
            <c:spPr>
              <a:noFill/>
              <a:ln w="9525" cap="flat" cmpd="sng" algn="ctr">
                <a:solidFill>
                  <a:srgbClr val="000000"/>
                </a:solidFill>
                <a:round/>
              </a:ln>
              <a:effectLst/>
            </c:spPr>
          </c:errBars>
          <c:cat>
            <c:strRef>
              <c:f>'WTP Main'!$A$221:$A$222</c:f>
              <c:strCache>
                <c:ptCount val="2"/>
                <c:pt idx="0">
                  <c:v>Water metering</c:v>
                </c:pt>
                <c:pt idx="1">
                  <c:v>Giving customers control of their water usage</c:v>
                </c:pt>
              </c:strCache>
            </c:strRef>
          </c:cat>
          <c:val>
            <c:numRef>
              <c:f>'WTP Main'!$BY$221:$BY$222</c:f>
              <c:numCache>
                <c:formatCode>"£"#,##0</c:formatCode>
                <c:ptCount val="2"/>
                <c:pt idx="0">
                  <c:v>6.2292249888062914</c:v>
                </c:pt>
                <c:pt idx="1">
                  <c:v>1.3357107560905652</c:v>
                </c:pt>
              </c:numCache>
            </c:numRef>
          </c:val>
          <c:extLst>
            <c:ext xmlns:c16="http://schemas.microsoft.com/office/drawing/2014/chart" uri="{C3380CC4-5D6E-409C-BE32-E72D297353CC}">
              <c16:uniqueId val="{00000000-02E9-4B78-AEE8-82E2FA9E7FFA}"/>
            </c:ext>
          </c:extLst>
        </c:ser>
        <c:dLbls>
          <c:showLegendKey val="0"/>
          <c:showVal val="0"/>
          <c:showCatName val="0"/>
          <c:showSerName val="0"/>
          <c:showPercent val="0"/>
          <c:showBubbleSize val="0"/>
        </c:dLbls>
        <c:gapWidth val="219"/>
        <c:overlap val="-27"/>
        <c:axId val="-1383047744"/>
        <c:axId val="-1383047200"/>
      </c:barChart>
      <c:catAx>
        <c:axId val="-1383047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383047200"/>
        <c:crosses val="autoZero"/>
        <c:auto val="1"/>
        <c:lblAlgn val="ctr"/>
        <c:lblOffset val="100"/>
        <c:noMultiLvlLbl val="0"/>
      </c:catAx>
      <c:valAx>
        <c:axId val="-1383047200"/>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383047744"/>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rgbClr val="000000"/>
                </a:solidFill>
                <a:effectLst/>
              </a:rPr>
              <a:t>CAM WTP Unit Values and Range - Environmental Protection (£/Hectare/yr) (HH and NHH)</a:t>
            </a:r>
            <a:endParaRPr lang="en-GB" sz="1400">
              <a:solidFill>
                <a:srgbClr val="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Main'!$BY$252</c:f>
              <c:strCache>
                <c:ptCount val="1"/>
                <c:pt idx="0">
                  <c:v>COMBINED</c:v>
                </c:pt>
              </c:strCache>
            </c:strRef>
          </c:tx>
          <c:spPr>
            <a:solidFill>
              <a:schemeClr val="accent2"/>
            </a:solidFill>
            <a:ln>
              <a:noFill/>
            </a:ln>
            <a:effectLst/>
          </c:spPr>
          <c:invertIfNegative val="0"/>
          <c:errBars>
            <c:errBarType val="both"/>
            <c:errValType val="cust"/>
            <c:noEndCap val="0"/>
            <c:plus>
              <c:numRef>
                <c:f>'WTP Main'!$CA$253:$CA$254</c:f>
                <c:numCache>
                  <c:formatCode>General</c:formatCode>
                  <c:ptCount val="2"/>
                  <c:pt idx="0">
                    <c:v>104527.49237430593</c:v>
                  </c:pt>
                  <c:pt idx="1">
                    <c:v>10501.304246159776</c:v>
                  </c:pt>
                </c:numCache>
              </c:numRef>
            </c:plus>
            <c:minus>
              <c:numRef>
                <c:f>'WTP Main'!$BZ$253:$BZ$254</c:f>
                <c:numCache>
                  <c:formatCode>General</c:formatCode>
                  <c:ptCount val="2"/>
                  <c:pt idx="0">
                    <c:v>30966.895643342759</c:v>
                  </c:pt>
                  <c:pt idx="1">
                    <c:v>11960.640883400323</c:v>
                  </c:pt>
                </c:numCache>
              </c:numRef>
            </c:minus>
            <c:spPr>
              <a:noFill/>
              <a:ln w="9525" cap="flat" cmpd="sng" algn="ctr">
                <a:solidFill>
                  <a:srgbClr val="000000"/>
                </a:solidFill>
                <a:round/>
              </a:ln>
              <a:effectLst/>
            </c:spPr>
          </c:errBars>
          <c:cat>
            <c:strRef>
              <c:f>'WTP Main'!$A$253:$A$254</c:f>
              <c:strCache>
                <c:ptCount val="2"/>
                <c:pt idx="0">
                  <c:v>Protecting wildlife habitats</c:v>
                </c:pt>
                <c:pt idx="1">
                  <c:v>Managing impacts on rivers &amp; streams</c:v>
                </c:pt>
              </c:strCache>
            </c:strRef>
          </c:cat>
          <c:val>
            <c:numRef>
              <c:f>'WTP Main'!$BY$253:$BY$254</c:f>
              <c:numCache>
                <c:formatCode>"£"#,##0</c:formatCode>
                <c:ptCount val="2"/>
                <c:pt idx="0">
                  <c:v>38708.619554178447</c:v>
                </c:pt>
                <c:pt idx="1">
                  <c:v>22218.536072019229</c:v>
                </c:pt>
              </c:numCache>
            </c:numRef>
          </c:val>
          <c:extLst>
            <c:ext xmlns:c16="http://schemas.microsoft.com/office/drawing/2014/chart" uri="{C3380CC4-5D6E-409C-BE32-E72D297353CC}">
              <c16:uniqueId val="{00000000-C743-41D5-8831-DF5F77C91F2F}"/>
            </c:ext>
          </c:extLst>
        </c:ser>
        <c:dLbls>
          <c:showLegendKey val="0"/>
          <c:showVal val="0"/>
          <c:showCatName val="0"/>
          <c:showSerName val="0"/>
          <c:showPercent val="0"/>
          <c:showBubbleSize val="0"/>
        </c:dLbls>
        <c:gapWidth val="219"/>
        <c:overlap val="-27"/>
        <c:axId val="-1672263520"/>
        <c:axId val="-1672261888"/>
      </c:barChart>
      <c:catAx>
        <c:axId val="-167226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672261888"/>
        <c:crosses val="autoZero"/>
        <c:auto val="1"/>
        <c:lblAlgn val="ctr"/>
        <c:lblOffset val="100"/>
        <c:noMultiLvlLbl val="0"/>
      </c:catAx>
      <c:valAx>
        <c:axId val="-1672261888"/>
        <c:scaling>
          <c:orientation val="minMax"/>
          <c:max val="2000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672263520"/>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rgbClr val="000000"/>
                </a:solidFill>
                <a:effectLst/>
              </a:rPr>
              <a:t>CAM NHH WTP Unit Values and Range - Environmental Protection (£/Hectare/yr)</a:t>
            </a:r>
            <a:endParaRPr lang="en-GB" sz="1400">
              <a:solidFill>
                <a:srgbClr val="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Main'!$CC$259</c:f>
              <c:strCache>
                <c:ptCount val="1"/>
                <c:pt idx="0">
                  <c:v>COMBINED</c:v>
                </c:pt>
              </c:strCache>
            </c:strRef>
          </c:tx>
          <c:spPr>
            <a:solidFill>
              <a:schemeClr val="accent2"/>
            </a:solidFill>
            <a:ln>
              <a:noFill/>
            </a:ln>
            <a:effectLst/>
          </c:spPr>
          <c:invertIfNegative val="0"/>
          <c:errBars>
            <c:errBarType val="both"/>
            <c:errValType val="cust"/>
            <c:noEndCap val="0"/>
            <c:plus>
              <c:numRef>
                <c:f>'WTP Main'!$CU$260:$CU$261</c:f>
                <c:numCache>
                  <c:formatCode>General</c:formatCode>
                  <c:ptCount val="2"/>
                  <c:pt idx="0">
                    <c:v>57504.966252574493</c:v>
                  </c:pt>
                  <c:pt idx="1">
                    <c:v>8957.6695425964499</c:v>
                  </c:pt>
                </c:numCache>
              </c:numRef>
            </c:plus>
            <c:minus>
              <c:numRef>
                <c:f>'WTP Main'!$CT$260:$CT$261</c:f>
                <c:numCache>
                  <c:formatCode>General</c:formatCode>
                  <c:ptCount val="2"/>
                  <c:pt idx="0">
                    <c:v>22027.722923375342</c:v>
                  </c:pt>
                  <c:pt idx="1">
                    <c:v>11167.660226394324</c:v>
                  </c:pt>
                </c:numCache>
              </c:numRef>
            </c:minus>
            <c:spPr>
              <a:noFill/>
              <a:ln w="9525" cap="flat" cmpd="sng" algn="ctr">
                <a:solidFill>
                  <a:srgbClr val="000000"/>
                </a:solidFill>
                <a:round/>
              </a:ln>
              <a:effectLst/>
            </c:spPr>
          </c:errBars>
          <c:cat>
            <c:strRef>
              <c:f>'WTP Main'!$A$260:$A$261</c:f>
              <c:strCache>
                <c:ptCount val="2"/>
                <c:pt idx="0">
                  <c:v>Protecting wildlife habitats</c:v>
                </c:pt>
                <c:pt idx="1">
                  <c:v>Managing impacts on rivers &amp; streams</c:v>
                </c:pt>
              </c:strCache>
            </c:strRef>
          </c:cat>
          <c:val>
            <c:numRef>
              <c:f>'WTP Main'!$CC$260:$CC$261</c:f>
              <c:numCache>
                <c:formatCode>"£"#,##0</c:formatCode>
                <c:ptCount val="2"/>
                <c:pt idx="0">
                  <c:v>27534.653654219179</c:v>
                </c:pt>
                <c:pt idx="1">
                  <c:v>20655.080048212443</c:v>
                </c:pt>
              </c:numCache>
            </c:numRef>
          </c:val>
          <c:extLst>
            <c:ext xmlns:c16="http://schemas.microsoft.com/office/drawing/2014/chart" uri="{C3380CC4-5D6E-409C-BE32-E72D297353CC}">
              <c16:uniqueId val="{00000000-811A-48E5-9F97-3B59D31494F6}"/>
            </c:ext>
          </c:extLst>
        </c:ser>
        <c:ser>
          <c:idx val="1"/>
          <c:order val="1"/>
          <c:tx>
            <c:strRef>
              <c:f>'WTP Main'!$CD$259</c:f>
              <c:strCache>
                <c:ptCount val="1"/>
                <c:pt idx="0">
                  <c:v>WTPCore_DCE</c:v>
                </c:pt>
              </c:strCache>
            </c:strRef>
          </c:tx>
          <c:spPr>
            <a:solidFill>
              <a:schemeClr val="accent4"/>
            </a:solidFill>
            <a:ln>
              <a:noFill/>
            </a:ln>
            <a:effectLst/>
          </c:spPr>
          <c:invertIfNegative val="0"/>
          <c:cat>
            <c:strRef>
              <c:f>'WTP Main'!$A$260:$A$261</c:f>
              <c:strCache>
                <c:ptCount val="2"/>
                <c:pt idx="0">
                  <c:v>Protecting wildlife habitats</c:v>
                </c:pt>
                <c:pt idx="1">
                  <c:v>Managing impacts on rivers &amp; streams</c:v>
                </c:pt>
              </c:strCache>
            </c:strRef>
          </c:cat>
          <c:val>
            <c:numRef>
              <c:f>'WTP Main'!$CD$260:$CD$261</c:f>
              <c:numCache>
                <c:formatCode>"£"#,##0</c:formatCode>
                <c:ptCount val="2"/>
                <c:pt idx="0">
                  <c:v>4399.1040000000003</c:v>
                </c:pt>
                <c:pt idx="1">
                  <c:v>11437.670400000001</c:v>
                </c:pt>
              </c:numCache>
            </c:numRef>
          </c:val>
          <c:extLst>
            <c:ext xmlns:c16="http://schemas.microsoft.com/office/drawing/2014/chart" uri="{C3380CC4-5D6E-409C-BE32-E72D297353CC}">
              <c16:uniqueId val="{00000001-811A-48E5-9F97-3B59D31494F6}"/>
            </c:ext>
          </c:extLst>
        </c:ser>
        <c:ser>
          <c:idx val="2"/>
          <c:order val="2"/>
          <c:tx>
            <c:strRef>
              <c:f>'WTP Main'!$CE$259</c:f>
              <c:strCache>
                <c:ptCount val="1"/>
                <c:pt idx="0">
                  <c:v>WTPCore_DCE2</c:v>
                </c:pt>
              </c:strCache>
            </c:strRef>
          </c:tx>
          <c:spPr>
            <a:solidFill>
              <a:schemeClr val="accent6"/>
            </a:solidFill>
            <a:ln>
              <a:noFill/>
            </a:ln>
            <a:effectLst/>
          </c:spPr>
          <c:invertIfNegative val="0"/>
          <c:cat>
            <c:strRef>
              <c:f>'WTP Main'!$A$260:$A$261</c:f>
              <c:strCache>
                <c:ptCount val="2"/>
                <c:pt idx="0">
                  <c:v>Protecting wildlife habitats</c:v>
                </c:pt>
                <c:pt idx="1">
                  <c:v>Managing impacts on rivers &amp; streams</c:v>
                </c:pt>
              </c:strCache>
            </c:strRef>
          </c:cat>
          <c:val>
            <c:numRef>
              <c:f>'WTP Main'!$CE$260:$CE$261</c:f>
              <c:numCache>
                <c:formatCode>"£"#,##0</c:formatCode>
                <c:ptCount val="2"/>
                <c:pt idx="0">
                  <c:v>99415.861469937299</c:v>
                </c:pt>
                <c:pt idx="1">
                  <c:v>30910.737958347312</c:v>
                </c:pt>
              </c:numCache>
            </c:numRef>
          </c:val>
          <c:extLst>
            <c:ext xmlns:c16="http://schemas.microsoft.com/office/drawing/2014/chart" uri="{C3380CC4-5D6E-409C-BE32-E72D297353CC}">
              <c16:uniqueId val="{00000002-811A-48E5-9F97-3B59D31494F6}"/>
            </c:ext>
          </c:extLst>
        </c:ser>
        <c:ser>
          <c:idx val="3"/>
          <c:order val="3"/>
          <c:tx>
            <c:strRef>
              <c:f>'WTP Main'!$CF$259</c:f>
              <c:strCache>
                <c:ptCount val="1"/>
                <c:pt idx="0">
                  <c:v>WTP core_DCE_Private</c:v>
                </c:pt>
              </c:strCache>
            </c:strRef>
          </c:tx>
          <c:spPr>
            <a:solidFill>
              <a:schemeClr val="accent2">
                <a:lumMod val="60000"/>
              </a:schemeClr>
            </a:solidFill>
            <a:ln>
              <a:noFill/>
            </a:ln>
            <a:effectLst/>
          </c:spPr>
          <c:invertIfNegative val="0"/>
          <c:cat>
            <c:strRef>
              <c:f>'WTP Main'!$A$260:$A$261</c:f>
              <c:strCache>
                <c:ptCount val="2"/>
                <c:pt idx="0">
                  <c:v>Protecting wildlife habitats</c:v>
                </c:pt>
                <c:pt idx="1">
                  <c:v>Managing impacts on rivers &amp; streams</c:v>
                </c:pt>
              </c:strCache>
            </c:strRef>
          </c:cat>
          <c:val>
            <c:numRef>
              <c:f>'WTP Main'!$CF$260:$CF$261</c:f>
              <c:numCache>
                <c:formatCode>"£"#,##0</c:formatCode>
                <c:ptCount val="2"/>
                <c:pt idx="0">
                  <c:v>15396.864000000001</c:v>
                </c:pt>
                <c:pt idx="1">
                  <c:v>15132.91776</c:v>
                </c:pt>
              </c:numCache>
            </c:numRef>
          </c:val>
          <c:extLst>
            <c:ext xmlns:c16="http://schemas.microsoft.com/office/drawing/2014/chart" uri="{C3380CC4-5D6E-409C-BE32-E72D297353CC}">
              <c16:uniqueId val="{00000003-811A-48E5-9F97-3B59D31494F6}"/>
            </c:ext>
          </c:extLst>
        </c:ser>
        <c:ser>
          <c:idx val="4"/>
          <c:order val="4"/>
          <c:tx>
            <c:strRef>
              <c:f>'WTP Main'!$CJ$259</c:f>
              <c:strCache>
                <c:ptCount val="1"/>
                <c:pt idx="0">
                  <c:v>ExternalWTP19</c:v>
                </c:pt>
              </c:strCache>
            </c:strRef>
          </c:tx>
          <c:spPr>
            <a:solidFill>
              <a:schemeClr val="accent4">
                <a:lumMod val="60000"/>
              </a:schemeClr>
            </a:solidFill>
            <a:ln>
              <a:noFill/>
            </a:ln>
            <a:effectLst/>
          </c:spPr>
          <c:invertIfNegative val="0"/>
          <c:cat>
            <c:strRef>
              <c:f>'WTP Main'!$A$260:$A$261</c:f>
              <c:strCache>
                <c:ptCount val="2"/>
                <c:pt idx="0">
                  <c:v>Protecting wildlife habitats</c:v>
                </c:pt>
                <c:pt idx="1">
                  <c:v>Managing impacts on rivers &amp; streams</c:v>
                </c:pt>
              </c:strCache>
            </c:strRef>
          </c:cat>
          <c:val>
            <c:numRef>
              <c:f>'WTP Main'!$CJ$260:$CJ$261</c:f>
              <c:numCache>
                <c:formatCode>"£"#,##0</c:formatCode>
                <c:ptCount val="2"/>
                <c:pt idx="0">
                  <c:v>21379.278732389354</c:v>
                </c:pt>
              </c:numCache>
            </c:numRef>
          </c:val>
          <c:extLst>
            <c:ext xmlns:c16="http://schemas.microsoft.com/office/drawing/2014/chart" uri="{C3380CC4-5D6E-409C-BE32-E72D297353CC}">
              <c16:uniqueId val="{00000004-811A-48E5-9F97-3B59D31494F6}"/>
            </c:ext>
          </c:extLst>
        </c:ser>
        <c:ser>
          <c:idx val="5"/>
          <c:order val="5"/>
          <c:tx>
            <c:strRef>
              <c:f>'WTP Main'!$CK$259</c:f>
              <c:strCache>
                <c:ptCount val="1"/>
                <c:pt idx="0">
                  <c:v>WTPCore_MaxDiff</c:v>
                </c:pt>
              </c:strCache>
            </c:strRef>
          </c:tx>
          <c:spPr>
            <a:solidFill>
              <a:schemeClr val="accent6">
                <a:lumMod val="60000"/>
              </a:schemeClr>
            </a:solidFill>
            <a:ln>
              <a:noFill/>
            </a:ln>
            <a:effectLst/>
          </c:spPr>
          <c:invertIfNegative val="0"/>
          <c:cat>
            <c:strRef>
              <c:f>'WTP Main'!$A$260:$A$261</c:f>
              <c:strCache>
                <c:ptCount val="2"/>
                <c:pt idx="0">
                  <c:v>Protecting wildlife habitats</c:v>
                </c:pt>
                <c:pt idx="1">
                  <c:v>Managing impacts on rivers &amp; streams</c:v>
                </c:pt>
              </c:strCache>
            </c:strRef>
          </c:cat>
          <c:val>
            <c:numRef>
              <c:f>'WTP Main'!$CK$260:$CK$261</c:f>
              <c:numCache>
                <c:formatCode>"£"#,##0</c:formatCode>
                <c:ptCount val="2"/>
                <c:pt idx="0">
                  <c:v>71699.986409479243</c:v>
                </c:pt>
                <c:pt idx="1">
                  <c:v>6695.5047652195381</c:v>
                </c:pt>
              </c:numCache>
            </c:numRef>
          </c:val>
          <c:extLst>
            <c:ext xmlns:c16="http://schemas.microsoft.com/office/drawing/2014/chart" uri="{C3380CC4-5D6E-409C-BE32-E72D297353CC}">
              <c16:uniqueId val="{00000005-811A-48E5-9F97-3B59D31494F6}"/>
            </c:ext>
          </c:extLst>
        </c:ser>
        <c:dLbls>
          <c:showLegendKey val="0"/>
          <c:showVal val="0"/>
          <c:showCatName val="0"/>
          <c:showSerName val="0"/>
          <c:showPercent val="0"/>
          <c:showBubbleSize val="0"/>
        </c:dLbls>
        <c:gapWidth val="219"/>
        <c:overlap val="-27"/>
        <c:axId val="-1373840784"/>
        <c:axId val="-1099509744"/>
      </c:barChart>
      <c:catAx>
        <c:axId val="-137384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099509744"/>
        <c:crosses val="autoZero"/>
        <c:auto val="1"/>
        <c:lblAlgn val="ctr"/>
        <c:lblOffset val="100"/>
        <c:noMultiLvlLbl val="0"/>
      </c:catAx>
      <c:valAx>
        <c:axId val="-1099509744"/>
        <c:scaling>
          <c:orientation val="minMax"/>
          <c:max val="2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37384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rgbClr val="000000"/>
                </a:solidFill>
                <a:effectLst/>
              </a:rPr>
              <a:t>CAM WTP Unit Values and Range - Traffic Disruption (£/Roadworks/yr) (HH and NHH)</a:t>
            </a:r>
            <a:endParaRPr lang="en-GB" sz="1400">
              <a:solidFill>
                <a:srgbClr val="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Main'!$BY$282</c:f>
              <c:strCache>
                <c:ptCount val="1"/>
                <c:pt idx="0">
                  <c:v>COMBINED</c:v>
                </c:pt>
              </c:strCache>
            </c:strRef>
          </c:tx>
          <c:spPr>
            <a:solidFill>
              <a:schemeClr val="accent2"/>
            </a:solidFill>
            <a:ln>
              <a:noFill/>
            </a:ln>
            <a:effectLst/>
          </c:spPr>
          <c:invertIfNegative val="0"/>
          <c:errBars>
            <c:errBarType val="both"/>
            <c:errValType val="cust"/>
            <c:noEndCap val="0"/>
            <c:plus>
              <c:numRef>
                <c:f>'WTP Main'!$CA$283</c:f>
                <c:numCache>
                  <c:formatCode>General</c:formatCode>
                  <c:ptCount val="1"/>
                  <c:pt idx="0">
                    <c:v>537.39608751791775</c:v>
                  </c:pt>
                </c:numCache>
              </c:numRef>
            </c:plus>
            <c:minus>
              <c:numRef>
                <c:f>'WTP Main'!$BZ$283</c:f>
                <c:numCache>
                  <c:formatCode>General</c:formatCode>
                  <c:ptCount val="1"/>
                  <c:pt idx="0">
                    <c:v>215.80142902176408</c:v>
                  </c:pt>
                </c:numCache>
              </c:numRef>
            </c:minus>
            <c:spPr>
              <a:noFill/>
              <a:ln w="9525" cap="flat" cmpd="sng" algn="ctr">
                <a:solidFill>
                  <a:srgbClr val="000000"/>
                </a:solidFill>
                <a:round/>
              </a:ln>
              <a:effectLst/>
            </c:spPr>
          </c:errBars>
          <c:cat>
            <c:strRef>
              <c:f>'WTP Main'!$A$283</c:f>
              <c:strCache>
                <c:ptCount val="1"/>
                <c:pt idx="0">
                  <c:v>Traffic disruption</c:v>
                </c:pt>
              </c:strCache>
            </c:strRef>
          </c:cat>
          <c:val>
            <c:numRef>
              <c:f>'WTP Main'!$BY$283</c:f>
              <c:numCache>
                <c:formatCode>"£"#,##0</c:formatCode>
                <c:ptCount val="1"/>
                <c:pt idx="0">
                  <c:v>1989.5063643555104</c:v>
                </c:pt>
              </c:numCache>
            </c:numRef>
          </c:val>
          <c:extLst>
            <c:ext xmlns:c16="http://schemas.microsoft.com/office/drawing/2014/chart" uri="{C3380CC4-5D6E-409C-BE32-E72D297353CC}">
              <c16:uniqueId val="{00000000-7AC5-49C3-B8D6-83D09B2FDB4A}"/>
            </c:ext>
          </c:extLst>
        </c:ser>
        <c:dLbls>
          <c:showLegendKey val="0"/>
          <c:showVal val="0"/>
          <c:showCatName val="0"/>
          <c:showSerName val="0"/>
          <c:showPercent val="0"/>
          <c:showBubbleSize val="0"/>
        </c:dLbls>
        <c:gapWidth val="219"/>
        <c:overlap val="-27"/>
        <c:axId val="-1381817136"/>
        <c:axId val="-1381811152"/>
      </c:barChart>
      <c:catAx>
        <c:axId val="-138181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381811152"/>
        <c:crosses val="autoZero"/>
        <c:auto val="1"/>
        <c:lblAlgn val="ctr"/>
        <c:lblOffset val="100"/>
        <c:noMultiLvlLbl val="0"/>
      </c:catAx>
      <c:valAx>
        <c:axId val="-1381811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381817136"/>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SSW HH WTP Unit Values and Range</a:t>
            </a:r>
            <a:r>
              <a:rPr lang="en-US" b="1" baseline="0"/>
              <a:t> - Leakage (£/MLD/yr)</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Main'!$D$191</c:f>
              <c:strCache>
                <c:ptCount val="1"/>
                <c:pt idx="0">
                  <c:v>COMBINED</c:v>
                </c:pt>
              </c:strCache>
            </c:strRef>
          </c:tx>
          <c:spPr>
            <a:solidFill>
              <a:schemeClr val="accent2"/>
            </a:solidFill>
            <a:ln>
              <a:noFill/>
            </a:ln>
            <a:effectLst/>
          </c:spPr>
          <c:invertIfNegative val="0"/>
          <c:errBars>
            <c:errBarType val="both"/>
            <c:errValType val="cust"/>
            <c:noEndCap val="0"/>
            <c:plus>
              <c:numRef>
                <c:f>'WTP Main'!$V$192</c:f>
                <c:numCache>
                  <c:formatCode>General</c:formatCode>
                  <c:ptCount val="1"/>
                  <c:pt idx="0">
                    <c:v>143403.35319810611</c:v>
                  </c:pt>
                </c:numCache>
              </c:numRef>
            </c:plus>
            <c:minus>
              <c:numRef>
                <c:f>'WTP Main'!$U$192</c:f>
                <c:numCache>
                  <c:formatCode>General</c:formatCode>
                  <c:ptCount val="1"/>
                  <c:pt idx="0">
                    <c:v>46323.162627063713</c:v>
                  </c:pt>
                </c:numCache>
              </c:numRef>
            </c:minus>
            <c:spPr>
              <a:noFill/>
              <a:ln w="9525" cap="flat" cmpd="sng" algn="ctr">
                <a:solidFill>
                  <a:sysClr val="windowText" lastClr="000000"/>
                </a:solidFill>
                <a:round/>
              </a:ln>
              <a:effectLst/>
            </c:spPr>
          </c:errBars>
          <c:cat>
            <c:strRef>
              <c:f>'WTP Main'!$A$192</c:f>
              <c:strCache>
                <c:ptCount val="1"/>
                <c:pt idx="0">
                  <c:v>Leakage</c:v>
                </c:pt>
              </c:strCache>
            </c:strRef>
          </c:cat>
          <c:val>
            <c:numRef>
              <c:f>'WTP Main'!$D$192</c:f>
              <c:numCache>
                <c:formatCode>"£"#,##0</c:formatCode>
                <c:ptCount val="1"/>
                <c:pt idx="0">
                  <c:v>65426.556323929632</c:v>
                </c:pt>
              </c:numCache>
            </c:numRef>
          </c:val>
          <c:extLst>
            <c:ext xmlns:c16="http://schemas.microsoft.com/office/drawing/2014/chart" uri="{C3380CC4-5D6E-409C-BE32-E72D297353CC}">
              <c16:uniqueId val="{00000000-3E51-414A-A979-EAF6AF3B2281}"/>
            </c:ext>
          </c:extLst>
        </c:ser>
        <c:ser>
          <c:idx val="1"/>
          <c:order val="1"/>
          <c:tx>
            <c:strRef>
              <c:f>'WTP Main'!$E$191</c:f>
              <c:strCache>
                <c:ptCount val="1"/>
                <c:pt idx="0">
                  <c:v>WTPCore_DCE</c:v>
                </c:pt>
              </c:strCache>
            </c:strRef>
          </c:tx>
          <c:spPr>
            <a:solidFill>
              <a:schemeClr val="accent4"/>
            </a:solidFill>
            <a:ln>
              <a:noFill/>
            </a:ln>
            <a:effectLst/>
          </c:spPr>
          <c:invertIfNegative val="0"/>
          <c:cat>
            <c:strRef>
              <c:f>'WTP Main'!$A$192</c:f>
              <c:strCache>
                <c:ptCount val="1"/>
                <c:pt idx="0">
                  <c:v>Leakage</c:v>
                </c:pt>
              </c:strCache>
            </c:strRef>
          </c:cat>
          <c:val>
            <c:numRef>
              <c:f>'WTP Main'!$E$192</c:f>
              <c:numCache>
                <c:formatCode>"£"#,##0</c:formatCode>
                <c:ptCount val="1"/>
                <c:pt idx="0">
                  <c:v>30606.35460992908</c:v>
                </c:pt>
              </c:numCache>
            </c:numRef>
          </c:val>
          <c:extLst>
            <c:ext xmlns:c16="http://schemas.microsoft.com/office/drawing/2014/chart" uri="{C3380CC4-5D6E-409C-BE32-E72D297353CC}">
              <c16:uniqueId val="{00000006-59C8-4B74-A38F-ADE5D22989BB}"/>
            </c:ext>
          </c:extLst>
        </c:ser>
        <c:ser>
          <c:idx val="2"/>
          <c:order val="2"/>
          <c:tx>
            <c:strRef>
              <c:f>'WTP Main'!$F$191</c:f>
              <c:strCache>
                <c:ptCount val="1"/>
                <c:pt idx="0">
                  <c:v>WTPCore_DCE2</c:v>
                </c:pt>
              </c:strCache>
            </c:strRef>
          </c:tx>
          <c:spPr>
            <a:solidFill>
              <a:schemeClr val="accent6"/>
            </a:solidFill>
            <a:ln>
              <a:noFill/>
            </a:ln>
            <a:effectLst/>
          </c:spPr>
          <c:invertIfNegative val="0"/>
          <c:cat>
            <c:strRef>
              <c:f>'WTP Main'!$A$192</c:f>
              <c:strCache>
                <c:ptCount val="1"/>
                <c:pt idx="0">
                  <c:v>Leakage</c:v>
                </c:pt>
              </c:strCache>
            </c:strRef>
          </c:cat>
          <c:val>
            <c:numRef>
              <c:f>'WTP Main'!$F$192</c:f>
              <c:numCache>
                <c:formatCode>"£"#,##0</c:formatCode>
                <c:ptCount val="1"/>
                <c:pt idx="0">
                  <c:v>25578.754356606645</c:v>
                </c:pt>
              </c:numCache>
            </c:numRef>
          </c:val>
          <c:extLst>
            <c:ext xmlns:c16="http://schemas.microsoft.com/office/drawing/2014/chart" uri="{C3380CC4-5D6E-409C-BE32-E72D297353CC}">
              <c16:uniqueId val="{00000007-59C8-4B74-A38F-ADE5D22989BB}"/>
            </c:ext>
          </c:extLst>
        </c:ser>
        <c:ser>
          <c:idx val="3"/>
          <c:order val="3"/>
          <c:tx>
            <c:strRef>
              <c:f>'WTP Main'!$G$191</c:f>
              <c:strCache>
                <c:ptCount val="1"/>
                <c:pt idx="0">
                  <c:v>WTP core_DCE_Private</c:v>
                </c:pt>
              </c:strCache>
            </c:strRef>
          </c:tx>
          <c:spPr>
            <a:solidFill>
              <a:schemeClr val="accent2">
                <a:lumMod val="60000"/>
              </a:schemeClr>
            </a:solidFill>
            <a:ln>
              <a:noFill/>
            </a:ln>
            <a:effectLst/>
          </c:spPr>
          <c:invertIfNegative val="0"/>
          <c:cat>
            <c:strRef>
              <c:f>'WTP Main'!$A$192</c:f>
              <c:strCache>
                <c:ptCount val="1"/>
                <c:pt idx="0">
                  <c:v>Leakage</c:v>
                </c:pt>
              </c:strCache>
            </c:strRef>
          </c:cat>
          <c:val>
            <c:numRef>
              <c:f>'WTP Main'!$G$192</c:f>
              <c:numCache>
                <c:formatCode>"£"#,##0</c:formatCode>
                <c:ptCount val="1"/>
                <c:pt idx="0">
                  <c:v>37339.752624113476</c:v>
                </c:pt>
              </c:numCache>
            </c:numRef>
          </c:val>
          <c:extLst>
            <c:ext xmlns:c16="http://schemas.microsoft.com/office/drawing/2014/chart" uri="{C3380CC4-5D6E-409C-BE32-E72D297353CC}">
              <c16:uniqueId val="{00000008-59C8-4B74-A38F-ADE5D22989BB}"/>
            </c:ext>
          </c:extLst>
        </c:ser>
        <c:ser>
          <c:idx val="4"/>
          <c:order val="4"/>
          <c:tx>
            <c:strRef>
              <c:f>'WTP Main'!$H$191</c:f>
              <c:strCache>
                <c:ptCount val="1"/>
                <c:pt idx="0">
                  <c:v>WTPCore_DCE2_LowBill</c:v>
                </c:pt>
              </c:strCache>
            </c:strRef>
          </c:tx>
          <c:spPr>
            <a:solidFill>
              <a:schemeClr val="accent4">
                <a:lumMod val="60000"/>
              </a:schemeClr>
            </a:solidFill>
            <a:ln>
              <a:noFill/>
            </a:ln>
            <a:effectLst/>
          </c:spPr>
          <c:invertIfNegative val="0"/>
          <c:cat>
            <c:strRef>
              <c:f>'WTP Main'!$A$192</c:f>
              <c:strCache>
                <c:ptCount val="1"/>
                <c:pt idx="0">
                  <c:v>Leakage</c:v>
                </c:pt>
              </c:strCache>
            </c:strRef>
          </c:cat>
          <c:val>
            <c:numRef>
              <c:f>'WTP Main'!$H$192</c:f>
              <c:numCache>
                <c:formatCode>"£"#,##0</c:formatCode>
                <c:ptCount val="1"/>
                <c:pt idx="0">
                  <c:v>10334.933585254337</c:v>
                </c:pt>
              </c:numCache>
            </c:numRef>
          </c:val>
          <c:extLst>
            <c:ext xmlns:c16="http://schemas.microsoft.com/office/drawing/2014/chart" uri="{C3380CC4-5D6E-409C-BE32-E72D297353CC}">
              <c16:uniqueId val="{00000009-59C8-4B74-A38F-ADE5D22989BB}"/>
            </c:ext>
          </c:extLst>
        </c:ser>
        <c:ser>
          <c:idx val="5"/>
          <c:order val="5"/>
          <c:tx>
            <c:strRef>
              <c:f>'WTP Main'!$J$191</c:f>
              <c:strCache>
                <c:ptCount val="1"/>
                <c:pt idx="0">
                  <c:v>ExternalWTP14</c:v>
                </c:pt>
              </c:strCache>
            </c:strRef>
          </c:tx>
          <c:spPr>
            <a:solidFill>
              <a:schemeClr val="accent6">
                <a:lumMod val="60000"/>
              </a:schemeClr>
            </a:solidFill>
            <a:ln>
              <a:noFill/>
            </a:ln>
            <a:effectLst/>
          </c:spPr>
          <c:invertIfNegative val="0"/>
          <c:cat>
            <c:strRef>
              <c:f>'WTP Main'!$A$192</c:f>
              <c:strCache>
                <c:ptCount val="1"/>
                <c:pt idx="0">
                  <c:v>Leakage</c:v>
                </c:pt>
              </c:strCache>
            </c:strRef>
          </c:cat>
          <c:val>
            <c:numRef>
              <c:f>'WTP Main'!$J$192</c:f>
              <c:numCache>
                <c:formatCode>"£"#,##0</c:formatCode>
                <c:ptCount val="1"/>
                <c:pt idx="0">
                  <c:v>45597.865216015329</c:v>
                </c:pt>
              </c:numCache>
            </c:numRef>
          </c:val>
          <c:extLst>
            <c:ext xmlns:c16="http://schemas.microsoft.com/office/drawing/2014/chart" uri="{C3380CC4-5D6E-409C-BE32-E72D297353CC}">
              <c16:uniqueId val="{00000000-3637-4870-BFAF-8B8BE67C12D8}"/>
            </c:ext>
          </c:extLst>
        </c:ser>
        <c:ser>
          <c:idx val="6"/>
          <c:order val="6"/>
          <c:tx>
            <c:strRef>
              <c:f>'WTP Main'!$K$191</c:f>
              <c:strCache>
                <c:ptCount val="1"/>
                <c:pt idx="0">
                  <c:v>ExternalWTP19</c:v>
                </c:pt>
              </c:strCache>
            </c:strRef>
          </c:tx>
          <c:spPr>
            <a:solidFill>
              <a:schemeClr val="accent2">
                <a:lumMod val="80000"/>
                <a:lumOff val="20000"/>
              </a:schemeClr>
            </a:solidFill>
            <a:ln>
              <a:noFill/>
            </a:ln>
            <a:effectLst/>
          </c:spPr>
          <c:invertIfNegative val="0"/>
          <c:cat>
            <c:strRef>
              <c:f>'WTP Main'!$A$192</c:f>
              <c:strCache>
                <c:ptCount val="1"/>
                <c:pt idx="0">
                  <c:v>Leakage</c:v>
                </c:pt>
              </c:strCache>
            </c:strRef>
          </c:cat>
          <c:val>
            <c:numRef>
              <c:f>'WTP Main'!$K$192</c:f>
              <c:numCache>
                <c:formatCode>"£"#,##0</c:formatCode>
                <c:ptCount val="1"/>
                <c:pt idx="0">
                  <c:v>82333.080739438054</c:v>
                </c:pt>
              </c:numCache>
            </c:numRef>
          </c:val>
          <c:extLst>
            <c:ext xmlns:c16="http://schemas.microsoft.com/office/drawing/2014/chart" uri="{C3380CC4-5D6E-409C-BE32-E72D297353CC}">
              <c16:uniqueId val="{00000001-3637-4870-BFAF-8B8BE67C12D8}"/>
            </c:ext>
          </c:extLst>
        </c:ser>
        <c:ser>
          <c:idx val="7"/>
          <c:order val="7"/>
          <c:tx>
            <c:strRef>
              <c:f>'WTP Main'!$L$191</c:f>
              <c:strCache>
                <c:ptCount val="1"/>
                <c:pt idx="0">
                  <c:v>WTPCore_MaxDiff</c:v>
                </c:pt>
              </c:strCache>
            </c:strRef>
          </c:tx>
          <c:spPr>
            <a:solidFill>
              <a:srgbClr val="FFFF00"/>
            </a:solidFill>
            <a:ln>
              <a:noFill/>
            </a:ln>
            <a:effectLst/>
          </c:spPr>
          <c:invertIfNegative val="0"/>
          <c:cat>
            <c:strRef>
              <c:f>'WTP Main'!$A$192</c:f>
              <c:strCache>
                <c:ptCount val="1"/>
                <c:pt idx="0">
                  <c:v>Leakage</c:v>
                </c:pt>
              </c:strCache>
            </c:strRef>
          </c:cat>
          <c:val>
            <c:numRef>
              <c:f>'WTP Main'!$L$192</c:f>
              <c:numCache>
                <c:formatCode>"£"#,##0</c:formatCode>
                <c:ptCount val="1"/>
                <c:pt idx="0">
                  <c:v>29542.991425669981</c:v>
                </c:pt>
              </c:numCache>
            </c:numRef>
          </c:val>
          <c:extLst>
            <c:ext xmlns:c16="http://schemas.microsoft.com/office/drawing/2014/chart" uri="{C3380CC4-5D6E-409C-BE32-E72D297353CC}">
              <c16:uniqueId val="{00000002-3637-4870-BFAF-8B8BE67C12D8}"/>
            </c:ext>
          </c:extLst>
        </c:ser>
        <c:ser>
          <c:idx val="8"/>
          <c:order val="8"/>
          <c:tx>
            <c:strRef>
              <c:f>'WTP Main'!$M$191</c:f>
              <c:strCache>
                <c:ptCount val="1"/>
                <c:pt idx="0">
                  <c:v>PC Slider</c:v>
                </c:pt>
              </c:strCache>
            </c:strRef>
          </c:tx>
          <c:spPr>
            <a:solidFill>
              <a:srgbClr val="FFC000"/>
            </a:solidFill>
            <a:ln>
              <a:noFill/>
            </a:ln>
            <a:effectLst/>
          </c:spPr>
          <c:invertIfNegative val="0"/>
          <c:cat>
            <c:strRef>
              <c:f>'WTP Main'!$A$192</c:f>
              <c:strCache>
                <c:ptCount val="1"/>
                <c:pt idx="0">
                  <c:v>Leakage</c:v>
                </c:pt>
              </c:strCache>
            </c:strRef>
          </c:cat>
          <c:val>
            <c:numRef>
              <c:f>'WTP Main'!$M$192</c:f>
              <c:numCache>
                <c:formatCode>"£"#,##0</c:formatCode>
                <c:ptCount val="1"/>
                <c:pt idx="0">
                  <c:v>15794.731223974153</c:v>
                </c:pt>
              </c:numCache>
            </c:numRef>
          </c:val>
          <c:extLst>
            <c:ext xmlns:c16="http://schemas.microsoft.com/office/drawing/2014/chart" uri="{C3380CC4-5D6E-409C-BE32-E72D297353CC}">
              <c16:uniqueId val="{00000003-3637-4870-BFAF-8B8BE67C12D8}"/>
            </c:ext>
          </c:extLst>
        </c:ser>
        <c:ser>
          <c:idx val="9"/>
          <c:order val="9"/>
          <c:tx>
            <c:strRef>
              <c:f>'WTP Main'!$N$191</c:f>
              <c:strCache>
                <c:ptCount val="1"/>
                <c:pt idx="0">
                  <c:v>Priorities</c:v>
                </c:pt>
              </c:strCache>
            </c:strRef>
          </c:tx>
          <c:spPr>
            <a:solidFill>
              <a:srgbClr val="92D050"/>
            </a:solidFill>
            <a:ln>
              <a:noFill/>
            </a:ln>
            <a:effectLst/>
          </c:spPr>
          <c:invertIfNegative val="0"/>
          <c:cat>
            <c:strRef>
              <c:f>'WTP Main'!$A$192</c:f>
              <c:strCache>
                <c:ptCount val="1"/>
                <c:pt idx="0">
                  <c:v>Leakage</c:v>
                </c:pt>
              </c:strCache>
            </c:strRef>
          </c:cat>
          <c:val>
            <c:numRef>
              <c:f>'WTP Main'!$N$192</c:f>
              <c:numCache>
                <c:formatCode>"£"#,##0</c:formatCode>
                <c:ptCount val="1"/>
                <c:pt idx="0">
                  <c:v>29701.968641470376</c:v>
                </c:pt>
              </c:numCache>
            </c:numRef>
          </c:val>
          <c:extLst>
            <c:ext xmlns:c16="http://schemas.microsoft.com/office/drawing/2014/chart" uri="{C3380CC4-5D6E-409C-BE32-E72D297353CC}">
              <c16:uniqueId val="{00000004-3637-4870-BFAF-8B8BE67C12D8}"/>
            </c:ext>
          </c:extLst>
        </c:ser>
        <c:ser>
          <c:idx val="10"/>
          <c:order val="10"/>
          <c:tx>
            <c:strRef>
              <c:f>'WTP Main'!$O$191</c:f>
              <c:strCache>
                <c:ptCount val="1"/>
                <c:pt idx="0">
                  <c:v>WRMP_online</c:v>
                </c:pt>
              </c:strCache>
            </c:strRef>
          </c:tx>
          <c:spPr>
            <a:solidFill>
              <a:schemeClr val="accent4">
                <a:lumMod val="80000"/>
              </a:schemeClr>
            </a:solidFill>
            <a:ln>
              <a:noFill/>
            </a:ln>
            <a:effectLst/>
          </c:spPr>
          <c:invertIfNegative val="0"/>
          <c:cat>
            <c:strRef>
              <c:f>'WTP Main'!$A$192</c:f>
              <c:strCache>
                <c:ptCount val="1"/>
                <c:pt idx="0">
                  <c:v>Leakage</c:v>
                </c:pt>
              </c:strCache>
            </c:strRef>
          </c:cat>
          <c:val>
            <c:numRef>
              <c:f>'WTP Main'!$O$192</c:f>
              <c:numCache>
                <c:formatCode>"£"#,##0</c:formatCode>
                <c:ptCount val="1"/>
                <c:pt idx="0">
                  <c:v>28385.027419993654</c:v>
                </c:pt>
              </c:numCache>
            </c:numRef>
          </c:val>
          <c:extLst>
            <c:ext xmlns:c16="http://schemas.microsoft.com/office/drawing/2014/chart" uri="{C3380CC4-5D6E-409C-BE32-E72D297353CC}">
              <c16:uniqueId val="{00000005-3637-4870-BFAF-8B8BE67C12D8}"/>
            </c:ext>
          </c:extLst>
        </c:ser>
        <c:ser>
          <c:idx val="11"/>
          <c:order val="11"/>
          <c:tx>
            <c:strRef>
              <c:f>'WTP Main'!$P$191</c:f>
              <c:strCache>
                <c:ptCount val="1"/>
                <c:pt idx="0">
                  <c:v>WRMP_workshop</c:v>
                </c:pt>
              </c:strCache>
            </c:strRef>
          </c:tx>
          <c:spPr>
            <a:solidFill>
              <a:srgbClr val="FF66CC"/>
            </a:solidFill>
            <a:ln>
              <a:noFill/>
            </a:ln>
            <a:effectLst/>
          </c:spPr>
          <c:invertIfNegative val="0"/>
          <c:cat>
            <c:strRef>
              <c:f>'WTP Main'!$A$192</c:f>
              <c:strCache>
                <c:ptCount val="1"/>
                <c:pt idx="0">
                  <c:v>Leakage</c:v>
                </c:pt>
              </c:strCache>
            </c:strRef>
          </c:cat>
          <c:val>
            <c:numRef>
              <c:f>'WTP Main'!$P$192</c:f>
              <c:numCache>
                <c:formatCode>"£"#,##0</c:formatCode>
                <c:ptCount val="1"/>
                <c:pt idx="0">
                  <c:v>43613.733864245318</c:v>
                </c:pt>
              </c:numCache>
            </c:numRef>
          </c:val>
          <c:extLst>
            <c:ext xmlns:c16="http://schemas.microsoft.com/office/drawing/2014/chart" uri="{C3380CC4-5D6E-409C-BE32-E72D297353CC}">
              <c16:uniqueId val="{00000006-3637-4870-BFAF-8B8BE67C12D8}"/>
            </c:ext>
          </c:extLst>
        </c:ser>
        <c:dLbls>
          <c:showLegendKey val="0"/>
          <c:showVal val="0"/>
          <c:showCatName val="0"/>
          <c:showSerName val="0"/>
          <c:showPercent val="0"/>
          <c:showBubbleSize val="0"/>
        </c:dLbls>
        <c:gapWidth val="219"/>
        <c:overlap val="-27"/>
        <c:axId val="-1177589616"/>
        <c:axId val="-1177586352"/>
        <c:extLst/>
      </c:barChart>
      <c:catAx>
        <c:axId val="-1177589616"/>
        <c:scaling>
          <c:orientation val="minMax"/>
        </c:scaling>
        <c:delete val="1"/>
        <c:axPos val="b"/>
        <c:numFmt formatCode="General" sourceLinked="1"/>
        <c:majorTickMark val="none"/>
        <c:minorTickMark val="none"/>
        <c:tickLblPos val="nextTo"/>
        <c:crossAx val="-1177586352"/>
        <c:crosses val="autoZero"/>
        <c:auto val="1"/>
        <c:lblAlgn val="ctr"/>
        <c:lblOffset val="100"/>
        <c:noMultiLvlLbl val="0"/>
      </c:catAx>
      <c:valAx>
        <c:axId val="-1177586352"/>
        <c:scaling>
          <c:orientation val="minMax"/>
          <c:max val="2500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77589616"/>
        <c:crosses val="autoZero"/>
        <c:crossBetween val="between"/>
      </c:valAx>
      <c:spPr>
        <a:noFill/>
        <a:ln>
          <a:noFill/>
        </a:ln>
        <a:effectLst/>
      </c:spPr>
    </c:plotArea>
    <c:legend>
      <c:legendPos val="b"/>
      <c:layout>
        <c:manualLayout>
          <c:xMode val="edge"/>
          <c:yMode val="edge"/>
          <c:x val="6.3250142450142446E-2"/>
          <c:y val="0.86648485008585385"/>
          <c:w val="0.89934236658490696"/>
          <c:h val="0.1275722378760801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rgbClr val="000000"/>
                </a:solidFill>
                <a:effectLst/>
              </a:rPr>
              <a:t>CAM NHH WTP Unit Values and Range - Traffic Disruption (£/Roadworks/yr)</a:t>
            </a:r>
            <a:endParaRPr lang="en-GB" sz="1400">
              <a:solidFill>
                <a:srgbClr val="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'WTP Main'!$CC$288</c:f>
              <c:strCache>
                <c:ptCount val="1"/>
                <c:pt idx="0">
                  <c:v>COMBINED</c:v>
                </c:pt>
              </c:strCache>
            </c:strRef>
          </c:tx>
          <c:spPr>
            <a:solidFill>
              <a:schemeClr val="accent2"/>
            </a:solidFill>
            <a:ln>
              <a:noFill/>
            </a:ln>
            <a:effectLst/>
          </c:spPr>
          <c:invertIfNegative val="0"/>
          <c:errBars>
            <c:errBarType val="both"/>
            <c:errValType val="cust"/>
            <c:noEndCap val="0"/>
            <c:plus>
              <c:numRef>
                <c:f>'WTP Main'!$CQ$289</c:f>
                <c:numCache>
                  <c:formatCode>General</c:formatCode>
                  <c:ptCount val="1"/>
                  <c:pt idx="0">
                    <c:v>394.61305272277764</c:v>
                  </c:pt>
                </c:numCache>
              </c:numRef>
            </c:plus>
            <c:minus>
              <c:numRef>
                <c:f>'WTP Main'!$CO$289</c:f>
                <c:numCache>
                  <c:formatCode>General</c:formatCode>
                  <c:ptCount val="1"/>
                  <c:pt idx="0">
                    <c:v>104.94850381367314</c:v>
                  </c:pt>
                </c:numCache>
              </c:numRef>
            </c:minus>
            <c:spPr>
              <a:noFill/>
              <a:ln w="9525" cap="flat" cmpd="sng" algn="ctr">
                <a:solidFill>
                  <a:srgbClr val="000000"/>
                </a:solidFill>
                <a:round/>
              </a:ln>
              <a:effectLst/>
            </c:spPr>
          </c:errBars>
          <c:cat>
            <c:strRef>
              <c:f>'WTP Main'!$A$289</c:f>
              <c:strCache>
                <c:ptCount val="1"/>
                <c:pt idx="0">
                  <c:v>Traffic disruption</c:v>
                </c:pt>
              </c:strCache>
            </c:strRef>
          </c:cat>
          <c:val>
            <c:numRef>
              <c:f>'WTP Main'!$CC$289</c:f>
              <c:numCache>
                <c:formatCode>"£"#,##0</c:formatCode>
                <c:ptCount val="1"/>
                <c:pt idx="0">
                  <c:v>1577.4663968903794</c:v>
                </c:pt>
              </c:numCache>
            </c:numRef>
          </c:val>
          <c:extLst>
            <c:ext xmlns:c16="http://schemas.microsoft.com/office/drawing/2014/chart" uri="{C3380CC4-5D6E-409C-BE32-E72D297353CC}">
              <c16:uniqueId val="{00000000-08D1-4A66-A315-1647AD4F963C}"/>
            </c:ext>
          </c:extLst>
        </c:ser>
        <c:ser>
          <c:idx val="1"/>
          <c:order val="1"/>
          <c:tx>
            <c:strRef>
              <c:f>'WTP Main'!$CD$288</c:f>
              <c:strCache>
                <c:ptCount val="1"/>
                <c:pt idx="0">
                  <c:v>WTPCore_DCE</c:v>
                </c:pt>
              </c:strCache>
            </c:strRef>
          </c:tx>
          <c:spPr>
            <a:solidFill>
              <a:schemeClr val="accent4"/>
            </a:solidFill>
            <a:ln>
              <a:noFill/>
            </a:ln>
            <a:effectLst/>
          </c:spPr>
          <c:invertIfNegative val="0"/>
          <c:cat>
            <c:strRef>
              <c:f>'WTP Main'!$A$289</c:f>
              <c:strCache>
                <c:ptCount val="1"/>
                <c:pt idx="0">
                  <c:v>Traffic disruption</c:v>
                </c:pt>
              </c:strCache>
            </c:strRef>
          </c:cat>
          <c:val>
            <c:numRef>
              <c:f>'WTP Main'!$CD$289</c:f>
              <c:numCache>
                <c:formatCode>"£"#,##0</c:formatCode>
                <c:ptCount val="1"/>
                <c:pt idx="0">
                  <c:v>1446.2807671232879</c:v>
                </c:pt>
              </c:numCache>
            </c:numRef>
          </c:val>
          <c:extLst>
            <c:ext xmlns:c16="http://schemas.microsoft.com/office/drawing/2014/chart" uri="{C3380CC4-5D6E-409C-BE32-E72D297353CC}">
              <c16:uniqueId val="{00000001-08D1-4A66-A315-1647AD4F963C}"/>
            </c:ext>
          </c:extLst>
        </c:ser>
        <c:ser>
          <c:idx val="2"/>
          <c:order val="2"/>
          <c:tx>
            <c:strRef>
              <c:f>'WTP Main'!$CJ$288</c:f>
              <c:strCache>
                <c:ptCount val="1"/>
                <c:pt idx="0">
                  <c:v>ExternalWTP19</c:v>
                </c:pt>
              </c:strCache>
            </c:strRef>
          </c:tx>
          <c:spPr>
            <a:solidFill>
              <a:schemeClr val="accent6"/>
            </a:solidFill>
            <a:ln>
              <a:noFill/>
            </a:ln>
            <a:effectLst/>
          </c:spPr>
          <c:invertIfNegative val="0"/>
          <c:cat>
            <c:strRef>
              <c:f>'WTP Main'!$A$289</c:f>
              <c:strCache>
                <c:ptCount val="1"/>
                <c:pt idx="0">
                  <c:v>Traffic disruption</c:v>
                </c:pt>
              </c:strCache>
            </c:strRef>
          </c:cat>
          <c:val>
            <c:numRef>
              <c:f>'WTP Main'!$CJ$289</c:f>
              <c:numCache>
                <c:formatCode>"£"#,##0</c:formatCode>
                <c:ptCount val="1"/>
                <c:pt idx="0">
                  <c:v>1608.9426000552728</c:v>
                </c:pt>
              </c:numCache>
            </c:numRef>
          </c:val>
          <c:extLst>
            <c:ext xmlns:c16="http://schemas.microsoft.com/office/drawing/2014/chart" uri="{C3380CC4-5D6E-409C-BE32-E72D297353CC}">
              <c16:uniqueId val="{00000002-08D1-4A66-A315-1647AD4F963C}"/>
            </c:ext>
          </c:extLst>
        </c:ser>
        <c:ser>
          <c:idx val="3"/>
          <c:order val="3"/>
          <c:tx>
            <c:strRef>
              <c:f>'WTP Main'!$CK$288</c:f>
              <c:strCache>
                <c:ptCount val="1"/>
                <c:pt idx="0">
                  <c:v>WTPCore_MaxDiff</c:v>
                </c:pt>
              </c:strCache>
            </c:strRef>
          </c:tx>
          <c:spPr>
            <a:solidFill>
              <a:schemeClr val="accent2">
                <a:lumMod val="60000"/>
              </a:schemeClr>
            </a:solidFill>
            <a:ln>
              <a:noFill/>
            </a:ln>
            <a:effectLst/>
          </c:spPr>
          <c:invertIfNegative val="0"/>
          <c:cat>
            <c:strRef>
              <c:f>'WTP Main'!$A$289</c:f>
              <c:strCache>
                <c:ptCount val="1"/>
                <c:pt idx="0">
                  <c:v>Traffic disruption</c:v>
                </c:pt>
              </c:strCache>
            </c:strRef>
          </c:cat>
          <c:val>
            <c:numRef>
              <c:f>'WTP Main'!$CK$289</c:f>
              <c:numCache>
                <c:formatCode>"£"#,##0</c:formatCode>
                <c:ptCount val="1"/>
                <c:pt idx="0">
                  <c:v>2070.7327127938515</c:v>
                </c:pt>
              </c:numCache>
            </c:numRef>
          </c:val>
          <c:extLst>
            <c:ext xmlns:c16="http://schemas.microsoft.com/office/drawing/2014/chart" uri="{C3380CC4-5D6E-409C-BE32-E72D297353CC}">
              <c16:uniqueId val="{00000003-08D1-4A66-A315-1647AD4F963C}"/>
            </c:ext>
          </c:extLst>
        </c:ser>
        <c:dLbls>
          <c:showLegendKey val="0"/>
          <c:showVal val="0"/>
          <c:showCatName val="0"/>
          <c:showSerName val="0"/>
          <c:showPercent val="0"/>
          <c:showBubbleSize val="0"/>
        </c:dLbls>
        <c:gapWidth val="219"/>
        <c:overlap val="-27"/>
        <c:axId val="-1381814416"/>
        <c:axId val="-1381816048"/>
      </c:barChart>
      <c:catAx>
        <c:axId val="-138181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381816048"/>
        <c:crosses val="autoZero"/>
        <c:auto val="1"/>
        <c:lblAlgn val="ctr"/>
        <c:lblOffset val="100"/>
        <c:noMultiLvlLbl val="0"/>
      </c:catAx>
      <c:valAx>
        <c:axId val="-1381816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crossAx val="-1381814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SSW HH WTP Unit Values and Range</a:t>
            </a:r>
            <a:r>
              <a:rPr lang="en-US" b="1" baseline="0"/>
              <a:t> - Metering (£/HH metered/yr)</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5727638407207028E-2"/>
          <c:y val="9.9871974491521326E-2"/>
          <c:w val="0.93147568737239395"/>
          <c:h val="0.70293291823644966"/>
        </c:manualLayout>
      </c:layout>
      <c:barChart>
        <c:barDir val="col"/>
        <c:grouping val="clustered"/>
        <c:varyColors val="0"/>
        <c:ser>
          <c:idx val="0"/>
          <c:order val="0"/>
          <c:tx>
            <c:strRef>
              <c:f>'WTP Main'!$D$223</c:f>
              <c:strCache>
                <c:ptCount val="1"/>
                <c:pt idx="0">
                  <c:v>COMBINED</c:v>
                </c:pt>
              </c:strCache>
            </c:strRef>
          </c:tx>
          <c:spPr>
            <a:solidFill>
              <a:schemeClr val="accent2"/>
            </a:solidFill>
            <a:ln>
              <a:noFill/>
            </a:ln>
            <a:effectLst/>
          </c:spPr>
          <c:invertIfNegative val="0"/>
          <c:errBars>
            <c:errBarType val="both"/>
            <c:errValType val="cust"/>
            <c:noEndCap val="0"/>
            <c:plus>
              <c:numRef>
                <c:f>'WTP Main'!$S$224:$S$225</c:f>
                <c:numCache>
                  <c:formatCode>General</c:formatCode>
                  <c:ptCount val="2"/>
                  <c:pt idx="0">
                    <c:v>14.019793306726912</c:v>
                  </c:pt>
                  <c:pt idx="1">
                    <c:v>0.46681094736192497</c:v>
                  </c:pt>
                </c:numCache>
              </c:numRef>
            </c:plus>
            <c:minus>
              <c:numRef>
                <c:f>'WTP Main'!$R$224:$R$225</c:f>
                <c:numCache>
                  <c:formatCode>General</c:formatCode>
                  <c:ptCount val="2"/>
                  <c:pt idx="0">
                    <c:v>5.7576483459058991</c:v>
                  </c:pt>
                  <c:pt idx="1">
                    <c:v>0.24114428167590463</c:v>
                  </c:pt>
                </c:numCache>
              </c:numRef>
            </c:minus>
            <c:spPr>
              <a:noFill/>
              <a:ln w="9525" cap="flat" cmpd="sng" algn="ctr">
                <a:solidFill>
                  <a:sysClr val="windowText" lastClr="000000"/>
                </a:solidFill>
                <a:round/>
              </a:ln>
              <a:effectLst/>
            </c:spPr>
          </c:errBars>
          <c:cat>
            <c:strRef>
              <c:f>'WTP Main'!$A$224:$A$225</c:f>
              <c:strCache>
                <c:ptCount val="2"/>
                <c:pt idx="0">
                  <c:v>Water metering</c:v>
                </c:pt>
                <c:pt idx="1">
                  <c:v>Giving customers control of their water usage</c:v>
                </c:pt>
              </c:strCache>
            </c:strRef>
          </c:cat>
          <c:val>
            <c:numRef>
              <c:f>'WTP Main'!$D$224:$D$225</c:f>
              <c:numCache>
                <c:formatCode>"£"#,##0.00</c:formatCode>
                <c:ptCount val="2"/>
                <c:pt idx="0" formatCode="&quot;£&quot;#,##0">
                  <c:v>8.968990256943778</c:v>
                </c:pt>
                <c:pt idx="1">
                  <c:v>0.30143035209488078</c:v>
                </c:pt>
              </c:numCache>
            </c:numRef>
          </c:val>
          <c:extLst>
            <c:ext xmlns:c16="http://schemas.microsoft.com/office/drawing/2014/chart" uri="{C3380CC4-5D6E-409C-BE32-E72D297353CC}">
              <c16:uniqueId val="{00000000-98B2-4694-A075-D97435938856}"/>
            </c:ext>
          </c:extLst>
        </c:ser>
        <c:ser>
          <c:idx val="1"/>
          <c:order val="1"/>
          <c:tx>
            <c:strRef>
              <c:f>'WTP Main'!$E$223</c:f>
              <c:strCache>
                <c:ptCount val="1"/>
                <c:pt idx="0">
                  <c:v>WTPCore_DCE</c:v>
                </c:pt>
              </c:strCache>
            </c:strRef>
          </c:tx>
          <c:spPr>
            <a:solidFill>
              <a:schemeClr val="accent4"/>
            </a:solidFill>
            <a:ln>
              <a:noFill/>
            </a:ln>
            <a:effectLst/>
          </c:spPr>
          <c:invertIfNegative val="0"/>
          <c:cat>
            <c:strRef>
              <c:f>'WTP Main'!$A$224:$A$225</c:f>
              <c:strCache>
                <c:ptCount val="2"/>
                <c:pt idx="0">
                  <c:v>Water metering</c:v>
                </c:pt>
                <c:pt idx="1">
                  <c:v>Giving customers control of their water usage</c:v>
                </c:pt>
              </c:strCache>
            </c:strRef>
          </c:cat>
          <c:val>
            <c:numRef>
              <c:f>'WTP Main'!$E$224:$E$225</c:f>
              <c:numCache>
                <c:formatCode>"£"#,##0.00</c:formatCode>
                <c:ptCount val="2"/>
                <c:pt idx="0" formatCode="&quot;£&quot;#,##0">
                  <c:v>1.7719298245614032</c:v>
                </c:pt>
                <c:pt idx="1">
                  <c:v>0.44199999999999995</c:v>
                </c:pt>
              </c:numCache>
            </c:numRef>
          </c:val>
          <c:extLst>
            <c:ext xmlns:c16="http://schemas.microsoft.com/office/drawing/2014/chart" uri="{C3380CC4-5D6E-409C-BE32-E72D297353CC}">
              <c16:uniqueId val="{0000000C-8C99-4B38-89C3-6D33843D17B7}"/>
            </c:ext>
          </c:extLst>
        </c:ser>
        <c:ser>
          <c:idx val="2"/>
          <c:order val="2"/>
          <c:tx>
            <c:strRef>
              <c:f>'WTP Main'!$F$223</c:f>
              <c:strCache>
                <c:ptCount val="1"/>
                <c:pt idx="0">
                  <c:v>WTPCore_DCE2</c:v>
                </c:pt>
              </c:strCache>
            </c:strRef>
          </c:tx>
          <c:spPr>
            <a:solidFill>
              <a:schemeClr val="accent6"/>
            </a:solidFill>
            <a:ln>
              <a:noFill/>
            </a:ln>
            <a:effectLst/>
          </c:spPr>
          <c:invertIfNegative val="0"/>
          <c:cat>
            <c:strRef>
              <c:f>'WTP Main'!$A$224:$A$225</c:f>
              <c:strCache>
                <c:ptCount val="2"/>
                <c:pt idx="0">
                  <c:v>Water metering</c:v>
                </c:pt>
                <c:pt idx="1">
                  <c:v>Giving customers control of their water usage</c:v>
                </c:pt>
              </c:strCache>
            </c:strRef>
          </c:cat>
          <c:val>
            <c:numRef>
              <c:f>'WTP Main'!$F$224:$F$225</c:f>
              <c:numCache>
                <c:formatCode>"£"#,##0.00</c:formatCode>
                <c:ptCount val="2"/>
                <c:pt idx="0" formatCode="&quot;£&quot;#,##0">
                  <c:v>26.493731890352418</c:v>
                </c:pt>
              </c:numCache>
            </c:numRef>
          </c:val>
          <c:extLst>
            <c:ext xmlns:c16="http://schemas.microsoft.com/office/drawing/2014/chart" uri="{C3380CC4-5D6E-409C-BE32-E72D297353CC}">
              <c16:uniqueId val="{0000000D-8C99-4B38-89C3-6D33843D17B7}"/>
            </c:ext>
          </c:extLst>
        </c:ser>
        <c:ser>
          <c:idx val="3"/>
          <c:order val="3"/>
          <c:tx>
            <c:strRef>
              <c:f>'WTP Main'!$G$223</c:f>
              <c:strCache>
                <c:ptCount val="1"/>
                <c:pt idx="0">
                  <c:v>WTP core_DCE_Private</c:v>
                </c:pt>
              </c:strCache>
            </c:strRef>
          </c:tx>
          <c:spPr>
            <a:solidFill>
              <a:schemeClr val="accent2">
                <a:lumMod val="60000"/>
              </a:schemeClr>
            </a:solidFill>
            <a:ln>
              <a:noFill/>
            </a:ln>
            <a:effectLst/>
          </c:spPr>
          <c:invertIfNegative val="0"/>
          <c:cat>
            <c:strRef>
              <c:f>'WTP Main'!$A$224:$A$225</c:f>
              <c:strCache>
                <c:ptCount val="2"/>
                <c:pt idx="0">
                  <c:v>Water metering</c:v>
                </c:pt>
                <c:pt idx="1">
                  <c:v>Giving customers control of their water usage</c:v>
                </c:pt>
              </c:strCache>
            </c:strRef>
          </c:cat>
          <c:val>
            <c:numRef>
              <c:f>'WTP Main'!$G$224:$G$225</c:f>
              <c:numCache>
                <c:formatCode>"£"#,##0.00</c:formatCode>
                <c:ptCount val="2"/>
                <c:pt idx="0" formatCode="&quot;£&quot;#,##0">
                  <c:v>1.6140350877192979</c:v>
                </c:pt>
                <c:pt idx="1">
                  <c:v>0.40200000000000002</c:v>
                </c:pt>
              </c:numCache>
            </c:numRef>
          </c:val>
          <c:extLst>
            <c:ext xmlns:c16="http://schemas.microsoft.com/office/drawing/2014/chart" uri="{C3380CC4-5D6E-409C-BE32-E72D297353CC}">
              <c16:uniqueId val="{0000000E-8C99-4B38-89C3-6D33843D17B7}"/>
            </c:ext>
          </c:extLst>
        </c:ser>
        <c:ser>
          <c:idx val="4"/>
          <c:order val="4"/>
          <c:tx>
            <c:strRef>
              <c:f>'WTP Main'!$H$223</c:f>
              <c:strCache>
                <c:ptCount val="1"/>
                <c:pt idx="0">
                  <c:v>WTPCore_DCE2_LowBill</c:v>
                </c:pt>
              </c:strCache>
            </c:strRef>
          </c:tx>
          <c:spPr>
            <a:solidFill>
              <a:schemeClr val="accent4">
                <a:lumMod val="60000"/>
              </a:schemeClr>
            </a:solidFill>
            <a:ln>
              <a:noFill/>
            </a:ln>
            <a:effectLst/>
          </c:spPr>
          <c:invertIfNegative val="0"/>
          <c:cat>
            <c:strRef>
              <c:f>'WTP Main'!$A$224:$A$225</c:f>
              <c:strCache>
                <c:ptCount val="2"/>
                <c:pt idx="0">
                  <c:v>Water metering</c:v>
                </c:pt>
                <c:pt idx="1">
                  <c:v>Giving customers control of their water usage</c:v>
                </c:pt>
              </c:strCache>
            </c:strRef>
          </c:cat>
          <c:val>
            <c:numRef>
              <c:f>'WTP Main'!$H$224:$H$225</c:f>
              <c:numCache>
                <c:formatCode>"£"#,##0.00</c:formatCode>
                <c:ptCount val="2"/>
                <c:pt idx="0" formatCode="&quot;£&quot;#,##0">
                  <c:v>23.049146180227552</c:v>
                </c:pt>
              </c:numCache>
            </c:numRef>
          </c:val>
          <c:extLst>
            <c:ext xmlns:c16="http://schemas.microsoft.com/office/drawing/2014/chart" uri="{C3380CC4-5D6E-409C-BE32-E72D297353CC}">
              <c16:uniqueId val="{0000000F-8C99-4B38-89C3-6D33843D17B7}"/>
            </c:ext>
          </c:extLst>
        </c:ser>
        <c:ser>
          <c:idx val="5"/>
          <c:order val="5"/>
          <c:tx>
            <c:strRef>
              <c:f>'WTP Main'!$J$223</c:f>
              <c:strCache>
                <c:ptCount val="1"/>
                <c:pt idx="0">
                  <c:v>ExternalWTP19</c:v>
                </c:pt>
              </c:strCache>
            </c:strRef>
          </c:tx>
          <c:spPr>
            <a:solidFill>
              <a:schemeClr val="accent6">
                <a:lumMod val="60000"/>
              </a:schemeClr>
            </a:solidFill>
            <a:ln>
              <a:noFill/>
            </a:ln>
            <a:effectLst/>
          </c:spPr>
          <c:invertIfNegative val="0"/>
          <c:cat>
            <c:strRef>
              <c:f>'WTP Main'!$A$224:$A$225</c:f>
              <c:strCache>
                <c:ptCount val="2"/>
                <c:pt idx="0">
                  <c:v>Water metering</c:v>
                </c:pt>
                <c:pt idx="1">
                  <c:v>Giving customers control of their water usage</c:v>
                </c:pt>
              </c:strCache>
            </c:strRef>
          </c:cat>
          <c:val>
            <c:numRef>
              <c:f>'WTP Main'!$J$224:$J$225</c:f>
              <c:numCache>
                <c:formatCode>"£"#,##0.00</c:formatCode>
                <c:ptCount val="2"/>
                <c:pt idx="0">
                  <c:v>3.501339540702856</c:v>
                </c:pt>
              </c:numCache>
            </c:numRef>
          </c:val>
          <c:extLst>
            <c:ext xmlns:c16="http://schemas.microsoft.com/office/drawing/2014/chart" uri="{C3380CC4-5D6E-409C-BE32-E72D297353CC}">
              <c16:uniqueId val="{00000000-FF12-4FE5-8AC8-870FD8F0097E}"/>
            </c:ext>
          </c:extLst>
        </c:ser>
        <c:ser>
          <c:idx val="6"/>
          <c:order val="6"/>
          <c:tx>
            <c:strRef>
              <c:f>'WTP Main'!$K$223</c:f>
              <c:strCache>
                <c:ptCount val="1"/>
                <c:pt idx="0">
                  <c:v>WTPCore_MaxDiff</c:v>
                </c:pt>
              </c:strCache>
            </c:strRef>
          </c:tx>
          <c:spPr>
            <a:solidFill>
              <a:schemeClr val="accent2">
                <a:lumMod val="80000"/>
                <a:lumOff val="20000"/>
              </a:schemeClr>
            </a:solidFill>
            <a:ln>
              <a:noFill/>
            </a:ln>
            <a:effectLst/>
          </c:spPr>
          <c:invertIfNegative val="0"/>
          <c:cat>
            <c:strRef>
              <c:f>'WTP Main'!$A$224:$A$225</c:f>
              <c:strCache>
                <c:ptCount val="2"/>
                <c:pt idx="0">
                  <c:v>Water metering</c:v>
                </c:pt>
                <c:pt idx="1">
                  <c:v>Giving customers control of their water usage</c:v>
                </c:pt>
              </c:strCache>
            </c:strRef>
          </c:cat>
          <c:val>
            <c:numRef>
              <c:f>'WTP Main'!$K$224:$K$225</c:f>
              <c:numCache>
                <c:formatCode>"£"#,##0.00</c:formatCode>
                <c:ptCount val="2"/>
                <c:pt idx="0">
                  <c:v>3.0392217341706713</c:v>
                </c:pt>
                <c:pt idx="1">
                  <c:v>0.23990174605107395</c:v>
                </c:pt>
              </c:numCache>
            </c:numRef>
          </c:val>
          <c:extLst>
            <c:ext xmlns:c16="http://schemas.microsoft.com/office/drawing/2014/chart" uri="{C3380CC4-5D6E-409C-BE32-E72D297353CC}">
              <c16:uniqueId val="{00000001-FF12-4FE5-8AC8-870FD8F0097E}"/>
            </c:ext>
          </c:extLst>
        </c:ser>
        <c:ser>
          <c:idx val="7"/>
          <c:order val="7"/>
          <c:tx>
            <c:strRef>
              <c:f>'WTP Main'!$L$223</c:f>
              <c:strCache>
                <c:ptCount val="1"/>
                <c:pt idx="0">
                  <c:v>WRMP_online</c:v>
                </c:pt>
              </c:strCache>
            </c:strRef>
          </c:tx>
          <c:spPr>
            <a:solidFill>
              <a:srgbClr val="92D050"/>
            </a:solidFill>
            <a:ln>
              <a:noFill/>
            </a:ln>
            <a:effectLst/>
          </c:spPr>
          <c:invertIfNegative val="0"/>
          <c:cat>
            <c:strRef>
              <c:f>'WTP Main'!$A$224:$A$225</c:f>
              <c:strCache>
                <c:ptCount val="2"/>
                <c:pt idx="0">
                  <c:v>Water metering</c:v>
                </c:pt>
                <c:pt idx="1">
                  <c:v>Giving customers control of their water usage</c:v>
                </c:pt>
              </c:strCache>
            </c:strRef>
          </c:cat>
          <c:val>
            <c:numRef>
              <c:f>'WTP Main'!$L$224:$L$225</c:f>
              <c:numCache>
                <c:formatCode>"£"#,##0.00</c:formatCode>
                <c:ptCount val="2"/>
                <c:pt idx="0" formatCode="&quot;£&quot;#,##0">
                  <c:v>0</c:v>
                </c:pt>
                <c:pt idx="1">
                  <c:v>0.42288809069532801</c:v>
                </c:pt>
              </c:numCache>
            </c:numRef>
          </c:val>
          <c:extLst>
            <c:ext xmlns:c16="http://schemas.microsoft.com/office/drawing/2014/chart" uri="{C3380CC4-5D6E-409C-BE32-E72D297353CC}">
              <c16:uniqueId val="{00000002-FF12-4FE5-8AC8-870FD8F0097E}"/>
            </c:ext>
          </c:extLst>
        </c:ser>
        <c:ser>
          <c:idx val="8"/>
          <c:order val="8"/>
          <c:tx>
            <c:strRef>
              <c:f>'WTP Main'!$M$223</c:f>
              <c:strCache>
                <c:ptCount val="1"/>
                <c:pt idx="0">
                  <c:v>WRMP_workshop</c:v>
                </c:pt>
              </c:strCache>
            </c:strRef>
          </c:tx>
          <c:spPr>
            <a:solidFill>
              <a:srgbClr val="FF66CC"/>
            </a:solidFill>
            <a:ln>
              <a:noFill/>
            </a:ln>
            <a:effectLst/>
          </c:spPr>
          <c:invertIfNegative val="0"/>
          <c:cat>
            <c:strRef>
              <c:f>'WTP Main'!$A$224:$A$225</c:f>
              <c:strCache>
                <c:ptCount val="2"/>
                <c:pt idx="0">
                  <c:v>Water metering</c:v>
                </c:pt>
                <c:pt idx="1">
                  <c:v>Giving customers control of their water usage</c:v>
                </c:pt>
              </c:strCache>
            </c:strRef>
          </c:cat>
          <c:val>
            <c:numRef>
              <c:f>'WTP Main'!$M$224:$M$225</c:f>
              <c:numCache>
                <c:formatCode>"£"#,##0</c:formatCode>
                <c:ptCount val="2"/>
                <c:pt idx="0">
                  <c:v>5.561127447643095</c:v>
                </c:pt>
                <c:pt idx="1">
                  <c:v>0.88494403629728691</c:v>
                </c:pt>
              </c:numCache>
            </c:numRef>
          </c:val>
          <c:extLst>
            <c:ext xmlns:c16="http://schemas.microsoft.com/office/drawing/2014/chart" uri="{C3380CC4-5D6E-409C-BE32-E72D297353CC}">
              <c16:uniqueId val="{00000003-FF12-4FE5-8AC8-870FD8F0097E}"/>
            </c:ext>
          </c:extLst>
        </c:ser>
        <c:dLbls>
          <c:showLegendKey val="0"/>
          <c:showVal val="0"/>
          <c:showCatName val="0"/>
          <c:showSerName val="0"/>
          <c:showPercent val="0"/>
          <c:showBubbleSize val="0"/>
        </c:dLbls>
        <c:gapWidth val="219"/>
        <c:overlap val="-27"/>
        <c:axId val="-1177585808"/>
        <c:axId val="-1177585264"/>
        <c:extLst/>
      </c:barChart>
      <c:catAx>
        <c:axId val="-1177585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77585264"/>
        <c:crosses val="autoZero"/>
        <c:auto val="1"/>
        <c:lblAlgn val="ctr"/>
        <c:lblOffset val="100"/>
        <c:noMultiLvlLbl val="0"/>
      </c:catAx>
      <c:valAx>
        <c:axId val="-117758526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77585808"/>
        <c:crosses val="autoZero"/>
        <c:crossBetween val="between"/>
      </c:valAx>
      <c:spPr>
        <a:noFill/>
        <a:ln>
          <a:noFill/>
        </a:ln>
        <a:effectLst/>
      </c:spPr>
    </c:plotArea>
    <c:legend>
      <c:legendPos val="b"/>
      <c:layout>
        <c:manualLayout>
          <c:xMode val="edge"/>
          <c:yMode val="edge"/>
          <c:x val="4.894704989026645E-2"/>
          <c:y val="0.8699414080042267"/>
          <c:w val="0.90360836458688487"/>
          <c:h val="0.123683106590939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SSW HH WTP Unit Values and Range</a:t>
            </a:r>
            <a:r>
              <a:rPr lang="en-US" b="1" baseline="0"/>
              <a:t> - Environmental Protection (£/Hectare/yr)</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Main'!$D$255</c:f>
              <c:strCache>
                <c:ptCount val="1"/>
                <c:pt idx="0">
                  <c:v>COMBINED</c:v>
                </c:pt>
              </c:strCache>
            </c:strRef>
          </c:tx>
          <c:spPr>
            <a:solidFill>
              <a:schemeClr val="accent2"/>
            </a:solidFill>
            <a:ln>
              <a:noFill/>
            </a:ln>
            <a:effectLst/>
          </c:spPr>
          <c:invertIfNegative val="0"/>
          <c:errBars>
            <c:errBarType val="both"/>
            <c:errValType val="cust"/>
            <c:noEndCap val="0"/>
            <c:plus>
              <c:numRef>
                <c:f>'WTP Main'!$V$256:$V$257</c:f>
                <c:numCache>
                  <c:formatCode>General</c:formatCode>
                  <c:ptCount val="2"/>
                  <c:pt idx="0">
                    <c:v>13914.840460165178</c:v>
                  </c:pt>
                  <c:pt idx="1">
                    <c:v>2979.1217818312907</c:v>
                  </c:pt>
                </c:numCache>
              </c:numRef>
            </c:plus>
            <c:minus>
              <c:numRef>
                <c:f>'WTP Main'!$U$256:$U$257</c:f>
                <c:numCache>
                  <c:formatCode>General</c:formatCode>
                  <c:ptCount val="2"/>
                  <c:pt idx="0">
                    <c:v>4547.7864222066582</c:v>
                  </c:pt>
                  <c:pt idx="1">
                    <c:v>1670.3935051879839</c:v>
                  </c:pt>
                </c:numCache>
              </c:numRef>
            </c:minus>
            <c:spPr>
              <a:noFill/>
              <a:ln w="9525" cap="flat" cmpd="sng" algn="ctr">
                <a:solidFill>
                  <a:sysClr val="windowText" lastClr="000000"/>
                </a:solidFill>
                <a:round/>
              </a:ln>
              <a:effectLst/>
            </c:spPr>
          </c:errBars>
          <c:cat>
            <c:strRef>
              <c:f>'WTP Main'!$A$256:$A$257</c:f>
              <c:strCache>
                <c:ptCount val="2"/>
                <c:pt idx="0">
                  <c:v>Protecting wildlife habitats</c:v>
                </c:pt>
                <c:pt idx="1">
                  <c:v>Managing impacts on rivers &amp; streams</c:v>
                </c:pt>
              </c:strCache>
            </c:strRef>
          </c:cat>
          <c:val>
            <c:numRef>
              <c:f>'WTP Main'!$D$256:$D$257</c:f>
              <c:numCache>
                <c:formatCode>"£"#,##0</c:formatCode>
                <c:ptCount val="2"/>
                <c:pt idx="0">
                  <c:v>5684.7330277583233</c:v>
                </c:pt>
                <c:pt idx="1">
                  <c:v>3335.7616640093811</c:v>
                </c:pt>
              </c:numCache>
            </c:numRef>
          </c:val>
          <c:extLst>
            <c:ext xmlns:c16="http://schemas.microsoft.com/office/drawing/2014/chart" uri="{C3380CC4-5D6E-409C-BE32-E72D297353CC}">
              <c16:uniqueId val="{00000000-0CEB-456D-8138-42A00BF466CF}"/>
            </c:ext>
          </c:extLst>
        </c:ser>
        <c:ser>
          <c:idx val="1"/>
          <c:order val="1"/>
          <c:tx>
            <c:strRef>
              <c:f>'WTP Main'!$E$255</c:f>
              <c:strCache>
                <c:ptCount val="1"/>
                <c:pt idx="0">
                  <c:v>WTPCore_DCE</c:v>
                </c:pt>
              </c:strCache>
            </c:strRef>
          </c:tx>
          <c:spPr>
            <a:solidFill>
              <a:schemeClr val="accent4"/>
            </a:solidFill>
            <a:ln>
              <a:noFill/>
            </a:ln>
            <a:effectLst/>
          </c:spPr>
          <c:invertIfNegative val="0"/>
          <c:cat>
            <c:strRef>
              <c:f>'WTP Main'!$A$256:$A$257</c:f>
              <c:strCache>
                <c:ptCount val="2"/>
                <c:pt idx="0">
                  <c:v>Protecting wildlife habitats</c:v>
                </c:pt>
                <c:pt idx="1">
                  <c:v>Managing impacts on rivers &amp; streams</c:v>
                </c:pt>
              </c:strCache>
            </c:strRef>
          </c:cat>
          <c:val>
            <c:numRef>
              <c:f>'WTP Main'!$E$256:$E$257</c:f>
              <c:numCache>
                <c:formatCode>"£"#,##0</c:formatCode>
                <c:ptCount val="2"/>
                <c:pt idx="0">
                  <c:v>10249.302999999998</c:v>
                </c:pt>
                <c:pt idx="1">
                  <c:v>1402.5362</c:v>
                </c:pt>
              </c:numCache>
            </c:numRef>
          </c:val>
          <c:extLst>
            <c:ext xmlns:c16="http://schemas.microsoft.com/office/drawing/2014/chart" uri="{C3380CC4-5D6E-409C-BE32-E72D297353CC}">
              <c16:uniqueId val="{00000009-EDF6-4394-A30A-A91AB214BA05}"/>
            </c:ext>
          </c:extLst>
        </c:ser>
        <c:ser>
          <c:idx val="2"/>
          <c:order val="2"/>
          <c:tx>
            <c:strRef>
              <c:f>'WTP Main'!$F$255</c:f>
              <c:strCache>
                <c:ptCount val="1"/>
                <c:pt idx="0">
                  <c:v>WTPCore_DCE2</c:v>
                </c:pt>
              </c:strCache>
            </c:strRef>
          </c:tx>
          <c:spPr>
            <a:solidFill>
              <a:schemeClr val="accent6"/>
            </a:solidFill>
            <a:ln>
              <a:noFill/>
            </a:ln>
            <a:effectLst/>
          </c:spPr>
          <c:invertIfNegative val="0"/>
          <c:cat>
            <c:strRef>
              <c:f>'WTP Main'!$A$256:$A$257</c:f>
              <c:strCache>
                <c:ptCount val="2"/>
                <c:pt idx="0">
                  <c:v>Protecting wildlife habitats</c:v>
                </c:pt>
                <c:pt idx="1">
                  <c:v>Managing impacts on rivers &amp; streams</c:v>
                </c:pt>
              </c:strCache>
            </c:strRef>
          </c:cat>
          <c:val>
            <c:numRef>
              <c:f>'WTP Main'!$F$256:$F$257</c:f>
              <c:numCache>
                <c:formatCode>"£"#,##0</c:formatCode>
                <c:ptCount val="2"/>
                <c:pt idx="0">
                  <c:v>4792.0052108349018</c:v>
                </c:pt>
                <c:pt idx="1">
                  <c:v>7059.6638912984936</c:v>
                </c:pt>
              </c:numCache>
            </c:numRef>
          </c:val>
          <c:extLst>
            <c:ext xmlns:c16="http://schemas.microsoft.com/office/drawing/2014/chart" uri="{C3380CC4-5D6E-409C-BE32-E72D297353CC}">
              <c16:uniqueId val="{0000000A-EDF6-4394-A30A-A91AB214BA05}"/>
            </c:ext>
          </c:extLst>
        </c:ser>
        <c:ser>
          <c:idx val="3"/>
          <c:order val="3"/>
          <c:tx>
            <c:strRef>
              <c:f>'WTP Main'!$G$255</c:f>
              <c:strCache>
                <c:ptCount val="1"/>
                <c:pt idx="0">
                  <c:v>WTP core_DCE_Private</c:v>
                </c:pt>
              </c:strCache>
            </c:strRef>
          </c:tx>
          <c:spPr>
            <a:solidFill>
              <a:schemeClr val="accent2">
                <a:lumMod val="6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Main'!$G$256:$G$257</c:f>
              <c:numCache>
                <c:formatCode>"£"#,##0</c:formatCode>
                <c:ptCount val="2"/>
                <c:pt idx="0">
                  <c:v>10968.552333333333</c:v>
                </c:pt>
                <c:pt idx="1">
                  <c:v>1402.5362</c:v>
                </c:pt>
              </c:numCache>
            </c:numRef>
          </c:val>
          <c:extLst>
            <c:ext xmlns:c16="http://schemas.microsoft.com/office/drawing/2014/chart" uri="{C3380CC4-5D6E-409C-BE32-E72D297353CC}">
              <c16:uniqueId val="{0000000B-EDF6-4394-A30A-A91AB214BA05}"/>
            </c:ext>
          </c:extLst>
        </c:ser>
        <c:ser>
          <c:idx val="4"/>
          <c:order val="4"/>
          <c:tx>
            <c:strRef>
              <c:f>'WTP Main'!$H$255</c:f>
              <c:strCache>
                <c:ptCount val="1"/>
                <c:pt idx="0">
                  <c:v>WTPCore_DCE2_LowBill</c:v>
                </c:pt>
              </c:strCache>
            </c:strRef>
          </c:tx>
          <c:spPr>
            <a:solidFill>
              <a:schemeClr val="accent4">
                <a:lumMod val="6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Main'!$H$256:$H$257</c:f>
              <c:numCache>
                <c:formatCode>"£"#,##0</c:formatCode>
                <c:ptCount val="2"/>
                <c:pt idx="0">
                  <c:v>3704.3241532489101</c:v>
                </c:pt>
                <c:pt idx="1">
                  <c:v>4209.9800659098528</c:v>
                </c:pt>
              </c:numCache>
            </c:numRef>
          </c:val>
          <c:extLst>
            <c:ext xmlns:c16="http://schemas.microsoft.com/office/drawing/2014/chart" uri="{C3380CC4-5D6E-409C-BE32-E72D297353CC}">
              <c16:uniqueId val="{0000000C-EDF6-4394-A30A-A91AB214BA05}"/>
            </c:ext>
          </c:extLst>
        </c:ser>
        <c:ser>
          <c:idx val="5"/>
          <c:order val="5"/>
          <c:tx>
            <c:strRef>
              <c:f>'WTP Main'!$K$255</c:f>
              <c:strCache>
                <c:ptCount val="1"/>
                <c:pt idx="0">
                  <c:v>ExternalWTP19</c:v>
                </c:pt>
              </c:strCache>
            </c:strRef>
          </c:tx>
          <c:spPr>
            <a:solidFill>
              <a:schemeClr val="accent6">
                <a:lumMod val="6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Main'!$K$256:$K$257</c:f>
              <c:numCache>
                <c:formatCode>"£"#,##0</c:formatCode>
                <c:ptCount val="2"/>
                <c:pt idx="0">
                  <c:v>13321.485909785073</c:v>
                </c:pt>
              </c:numCache>
            </c:numRef>
          </c:val>
          <c:extLst>
            <c:ext xmlns:c16="http://schemas.microsoft.com/office/drawing/2014/chart" uri="{C3380CC4-5D6E-409C-BE32-E72D297353CC}">
              <c16:uniqueId val="{00000000-D8BE-4A42-AE7E-5E34A823F89C}"/>
            </c:ext>
          </c:extLst>
        </c:ser>
        <c:ser>
          <c:idx val="6"/>
          <c:order val="6"/>
          <c:tx>
            <c:strRef>
              <c:f>'WTP Main'!$L$255</c:f>
              <c:strCache>
                <c:ptCount val="1"/>
                <c:pt idx="0">
                  <c:v>WTPCore_MaxDiff</c:v>
                </c:pt>
              </c:strCache>
            </c:strRef>
          </c:tx>
          <c:spPr>
            <a:solidFill>
              <a:schemeClr val="accent2">
                <a:lumMod val="80000"/>
                <a:lumOff val="2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Main'!$L$256:$L$257</c:f>
              <c:numCache>
                <c:formatCode>"£"#,##0</c:formatCode>
                <c:ptCount val="2"/>
                <c:pt idx="0">
                  <c:v>23078.283602964795</c:v>
                </c:pt>
                <c:pt idx="1">
                  <c:v>5868.452836244428</c:v>
                </c:pt>
              </c:numCache>
            </c:numRef>
          </c:val>
          <c:extLst>
            <c:ext xmlns:c16="http://schemas.microsoft.com/office/drawing/2014/chart" uri="{C3380CC4-5D6E-409C-BE32-E72D297353CC}">
              <c16:uniqueId val="{00000001-D8BE-4A42-AE7E-5E34A823F89C}"/>
            </c:ext>
          </c:extLst>
        </c:ser>
        <c:ser>
          <c:idx val="7"/>
          <c:order val="7"/>
          <c:tx>
            <c:strRef>
              <c:f>'WTP Main'!$M$255</c:f>
              <c:strCache>
                <c:ptCount val="1"/>
                <c:pt idx="0">
                  <c:v>PC Slider</c:v>
                </c:pt>
              </c:strCache>
            </c:strRef>
          </c:tx>
          <c:spPr>
            <a:solidFill>
              <a:srgbClr val="92D050"/>
            </a:solidFill>
            <a:ln>
              <a:noFill/>
            </a:ln>
            <a:effectLst/>
          </c:spPr>
          <c:invertIfNegative val="0"/>
          <c:cat>
            <c:strRef>
              <c:f>'WTP Main'!$A$256:$A$257</c:f>
              <c:strCache>
                <c:ptCount val="2"/>
                <c:pt idx="0">
                  <c:v>Protecting wildlife habitats</c:v>
                </c:pt>
                <c:pt idx="1">
                  <c:v>Managing impacts on rivers &amp; streams</c:v>
                </c:pt>
              </c:strCache>
            </c:strRef>
          </c:cat>
          <c:val>
            <c:numRef>
              <c:f>'WTP Main'!$M$256:$M$257</c:f>
              <c:numCache>
                <c:formatCode>"£"#,##0</c:formatCode>
                <c:ptCount val="2"/>
                <c:pt idx="0">
                  <c:v>1392.3903047581116</c:v>
                </c:pt>
              </c:numCache>
            </c:numRef>
          </c:val>
          <c:extLst>
            <c:ext xmlns:c16="http://schemas.microsoft.com/office/drawing/2014/chart" uri="{C3380CC4-5D6E-409C-BE32-E72D297353CC}">
              <c16:uniqueId val="{00000002-D8BE-4A42-AE7E-5E34A823F89C}"/>
            </c:ext>
          </c:extLst>
        </c:ser>
        <c:ser>
          <c:idx val="8"/>
          <c:order val="8"/>
          <c:tx>
            <c:strRef>
              <c:f>'WTP Main'!$N$255</c:f>
              <c:strCache>
                <c:ptCount val="1"/>
                <c:pt idx="0">
                  <c:v>Priorities</c:v>
                </c:pt>
              </c:strCache>
            </c:strRef>
          </c:tx>
          <c:spPr>
            <a:solidFill>
              <a:schemeClr val="accent6">
                <a:lumMod val="80000"/>
                <a:lumOff val="2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Main'!$N$256:$N$257</c:f>
              <c:numCache>
                <c:formatCode>"£"#,##0</c:formatCode>
                <c:ptCount val="2"/>
                <c:pt idx="0">
                  <c:v>6510.2231860489319</c:v>
                </c:pt>
                <c:pt idx="1">
                  <c:v>0</c:v>
                </c:pt>
              </c:numCache>
            </c:numRef>
          </c:val>
          <c:extLst>
            <c:ext xmlns:c16="http://schemas.microsoft.com/office/drawing/2014/chart" uri="{C3380CC4-5D6E-409C-BE32-E72D297353CC}">
              <c16:uniqueId val="{00000003-D8BE-4A42-AE7E-5E34A823F89C}"/>
            </c:ext>
          </c:extLst>
        </c:ser>
        <c:ser>
          <c:idx val="9"/>
          <c:order val="9"/>
          <c:tx>
            <c:strRef>
              <c:f>'WTP Main'!$Q$255</c:f>
              <c:strCache>
                <c:ptCount val="1"/>
                <c:pt idx="0">
                  <c:v>WRMP MCDA</c:v>
                </c:pt>
              </c:strCache>
            </c:strRef>
          </c:tx>
          <c:spPr>
            <a:solidFill>
              <a:schemeClr val="accent2">
                <a:lumMod val="8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Main'!$Q$256:$Q$257</c:f>
              <c:numCache>
                <c:formatCode>"£"#,##0</c:formatCode>
                <c:ptCount val="2"/>
                <c:pt idx="0">
                  <c:v>13017.302123552123</c:v>
                </c:pt>
                <c:pt idx="1">
                  <c:v>0</c:v>
                </c:pt>
              </c:numCache>
            </c:numRef>
          </c:val>
          <c:extLst>
            <c:ext xmlns:c16="http://schemas.microsoft.com/office/drawing/2014/chart" uri="{C3380CC4-5D6E-409C-BE32-E72D297353CC}">
              <c16:uniqueId val="{00000000-5ECF-4D51-88F0-3BB51210DAEA}"/>
            </c:ext>
          </c:extLst>
        </c:ser>
        <c:ser>
          <c:idx val="10"/>
          <c:order val="10"/>
          <c:tx>
            <c:strRef>
              <c:f>'WTP Main'!$R$255</c:f>
              <c:strCache>
                <c:ptCount val="1"/>
                <c:pt idx="0">
                  <c:v>SRO</c:v>
                </c:pt>
              </c:strCache>
            </c:strRef>
          </c:tx>
          <c:spPr>
            <a:solidFill>
              <a:schemeClr val="accent4">
                <a:lumMod val="8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Main'!$R$256:$R$257</c:f>
              <c:numCache>
                <c:formatCode>"£"#,##0</c:formatCode>
                <c:ptCount val="2"/>
                <c:pt idx="0">
                  <c:v>4030.1567374517372</c:v>
                </c:pt>
                <c:pt idx="1">
                  <c:v>0</c:v>
                </c:pt>
              </c:numCache>
            </c:numRef>
          </c:val>
          <c:extLst>
            <c:ext xmlns:c16="http://schemas.microsoft.com/office/drawing/2014/chart" uri="{C3380CC4-5D6E-409C-BE32-E72D297353CC}">
              <c16:uniqueId val="{00000001-5ECF-4D51-88F0-3BB51210DAEA}"/>
            </c:ext>
          </c:extLst>
        </c:ser>
        <c:ser>
          <c:idx val="11"/>
          <c:order val="11"/>
          <c:tx>
            <c:strRef>
              <c:f>'WTP Main'!$S$255</c:f>
              <c:strCache>
                <c:ptCount val="1"/>
                <c:pt idx="0">
                  <c:v>WTP PR24</c:v>
                </c:pt>
              </c:strCache>
            </c:strRef>
          </c:tx>
          <c:spPr>
            <a:solidFill>
              <a:schemeClr val="accent6">
                <a:lumMod val="8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Main'!$S$256:$S$257</c:f>
              <c:numCache>
                <c:formatCode>"£"#,##0</c:formatCode>
                <c:ptCount val="2"/>
                <c:pt idx="0" formatCode="&quot;£&quot;#,##0.00">
                  <c:v>1383.1925071747357</c:v>
                </c:pt>
                <c:pt idx="1">
                  <c:v>0</c:v>
                </c:pt>
              </c:numCache>
            </c:numRef>
          </c:val>
          <c:extLst>
            <c:ext xmlns:c16="http://schemas.microsoft.com/office/drawing/2014/chart" uri="{C3380CC4-5D6E-409C-BE32-E72D297353CC}">
              <c16:uniqueId val="{00000002-5ECF-4D51-88F0-3BB51210DAEA}"/>
            </c:ext>
          </c:extLst>
        </c:ser>
        <c:ser>
          <c:idx val="12"/>
          <c:order val="12"/>
          <c:tx>
            <c:strRef>
              <c:f>'WTP Main'!$T$255</c:f>
              <c:strCache>
                <c:ptCount val="1"/>
                <c:pt idx="0">
                  <c:v>WTA ODI</c:v>
                </c:pt>
              </c:strCache>
            </c:strRef>
          </c:tx>
          <c:spPr>
            <a:solidFill>
              <a:schemeClr val="accent2">
                <a:lumMod val="60000"/>
                <a:lumOff val="40000"/>
              </a:schemeClr>
            </a:solidFill>
            <a:ln>
              <a:noFill/>
            </a:ln>
            <a:effectLst/>
          </c:spPr>
          <c:invertIfNegative val="0"/>
          <c:cat>
            <c:strRef>
              <c:f>'WTP Main'!$A$256:$A$257</c:f>
              <c:strCache>
                <c:ptCount val="2"/>
                <c:pt idx="0">
                  <c:v>Protecting wildlife habitats</c:v>
                </c:pt>
                <c:pt idx="1">
                  <c:v>Managing impacts on rivers &amp; streams</c:v>
                </c:pt>
              </c:strCache>
            </c:strRef>
          </c:cat>
          <c:val>
            <c:numRef>
              <c:f>'WTP Main'!$T$256:$T$257</c:f>
              <c:numCache>
                <c:formatCode>"£"#,##0</c:formatCode>
                <c:ptCount val="2"/>
                <c:pt idx="0">
                  <c:v>2266.9200217538446</c:v>
                </c:pt>
                <c:pt idx="1">
                  <c:v>1433.9100780421329</c:v>
                </c:pt>
              </c:numCache>
            </c:numRef>
          </c:val>
          <c:extLst>
            <c:ext xmlns:c16="http://schemas.microsoft.com/office/drawing/2014/chart" uri="{C3380CC4-5D6E-409C-BE32-E72D297353CC}">
              <c16:uniqueId val="{00000003-5ECF-4D51-88F0-3BB51210DAEA}"/>
            </c:ext>
          </c:extLst>
        </c:ser>
        <c:dLbls>
          <c:showLegendKey val="0"/>
          <c:showVal val="0"/>
          <c:showCatName val="0"/>
          <c:showSerName val="0"/>
          <c:showPercent val="0"/>
          <c:showBubbleSize val="0"/>
        </c:dLbls>
        <c:gapWidth val="219"/>
        <c:overlap val="-27"/>
        <c:axId val="-1464000288"/>
        <c:axId val="-1463995392"/>
        <c:extLst/>
      </c:barChart>
      <c:catAx>
        <c:axId val="-1464000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463995392"/>
        <c:crosses val="autoZero"/>
        <c:auto val="1"/>
        <c:lblAlgn val="ctr"/>
        <c:lblOffset val="100"/>
        <c:noMultiLvlLbl val="0"/>
      </c:catAx>
      <c:valAx>
        <c:axId val="-1463995392"/>
        <c:scaling>
          <c:orientation val="minMax"/>
          <c:max val="400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464000288"/>
        <c:crosses val="autoZero"/>
        <c:crossBetween val="between"/>
      </c:valAx>
      <c:spPr>
        <a:noFill/>
        <a:ln>
          <a:noFill/>
        </a:ln>
        <a:effectLst/>
      </c:spPr>
    </c:plotArea>
    <c:legend>
      <c:legendPos val="b"/>
      <c:layout>
        <c:manualLayout>
          <c:xMode val="edge"/>
          <c:yMode val="edge"/>
          <c:x val="3.374270473216609E-2"/>
          <c:y val="0.88358460559796437"/>
          <c:w val="0.77662893281074508"/>
          <c:h val="0.1164153430600151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SSW HH WTP Unit Values and Range</a:t>
            </a:r>
            <a:r>
              <a:rPr lang="en-US" b="1" baseline="0"/>
              <a:t> - Traffic Disruption (£/Roadworks/yr)</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Main'!$D$284</c:f>
              <c:strCache>
                <c:ptCount val="1"/>
                <c:pt idx="0">
                  <c:v>COMBINED</c:v>
                </c:pt>
              </c:strCache>
            </c:strRef>
          </c:tx>
          <c:spPr>
            <a:solidFill>
              <a:schemeClr val="accent2"/>
            </a:solidFill>
            <a:ln>
              <a:noFill/>
            </a:ln>
            <a:effectLst/>
          </c:spPr>
          <c:invertIfNegative val="0"/>
          <c:errBars>
            <c:errBarType val="both"/>
            <c:errValType val="cust"/>
            <c:noEndCap val="0"/>
            <c:plus>
              <c:numRef>
                <c:f>'WTP Main'!$U$285</c:f>
                <c:numCache>
                  <c:formatCode>General</c:formatCode>
                  <c:ptCount val="1"/>
                  <c:pt idx="0">
                    <c:v>77.127864010491976</c:v>
                  </c:pt>
                </c:numCache>
              </c:numRef>
            </c:plus>
            <c:minus>
              <c:numRef>
                <c:f>'WTP Main'!$T$285</c:f>
                <c:numCache>
                  <c:formatCode>General</c:formatCode>
                  <c:ptCount val="1"/>
                  <c:pt idx="0">
                    <c:v>265.60306887821594</c:v>
                  </c:pt>
                </c:numCache>
              </c:numRef>
            </c:minus>
            <c:spPr>
              <a:noFill/>
              <a:ln w="9525" cap="flat" cmpd="sng" algn="ctr">
                <a:solidFill>
                  <a:sysClr val="windowText" lastClr="000000"/>
                </a:solidFill>
                <a:round/>
              </a:ln>
              <a:effectLst/>
            </c:spPr>
          </c:errBars>
          <c:cat>
            <c:strRef>
              <c:f>'WTP Main'!$A$285</c:f>
              <c:strCache>
                <c:ptCount val="1"/>
                <c:pt idx="0">
                  <c:v>Traffic disruption</c:v>
                </c:pt>
              </c:strCache>
            </c:strRef>
          </c:cat>
          <c:val>
            <c:numRef>
              <c:f>'WTP Main'!$D$285</c:f>
              <c:numCache>
                <c:formatCode>"£"#,##0</c:formatCode>
                <c:ptCount val="1"/>
                <c:pt idx="0">
                  <c:v>672.10315628825492</c:v>
                </c:pt>
              </c:numCache>
            </c:numRef>
          </c:val>
          <c:extLst>
            <c:ext xmlns:c16="http://schemas.microsoft.com/office/drawing/2014/chart" uri="{C3380CC4-5D6E-409C-BE32-E72D297353CC}">
              <c16:uniqueId val="{00000000-1E3B-4F5E-B2FB-375B6DA0FE49}"/>
            </c:ext>
          </c:extLst>
        </c:ser>
        <c:ser>
          <c:idx val="1"/>
          <c:order val="1"/>
          <c:tx>
            <c:strRef>
              <c:f>'WTP Main'!$E$284</c:f>
              <c:strCache>
                <c:ptCount val="1"/>
                <c:pt idx="0">
                  <c:v>WTPCore_DCE</c:v>
                </c:pt>
              </c:strCache>
            </c:strRef>
          </c:tx>
          <c:spPr>
            <a:solidFill>
              <a:schemeClr val="accent4"/>
            </a:solidFill>
            <a:ln>
              <a:noFill/>
            </a:ln>
            <a:effectLst/>
          </c:spPr>
          <c:invertIfNegative val="0"/>
          <c:cat>
            <c:strRef>
              <c:f>'WTP Main'!$A$285</c:f>
              <c:strCache>
                <c:ptCount val="1"/>
                <c:pt idx="0">
                  <c:v>Traffic disruption</c:v>
                </c:pt>
              </c:strCache>
            </c:strRef>
          </c:cat>
          <c:val>
            <c:numRef>
              <c:f>'WTP Main'!$E$285</c:f>
              <c:numCache>
                <c:formatCode>"£"#,##0</c:formatCode>
                <c:ptCount val="1"/>
                <c:pt idx="0">
                  <c:v>768.51298630136989</c:v>
                </c:pt>
              </c:numCache>
            </c:numRef>
          </c:val>
          <c:extLst>
            <c:ext xmlns:c16="http://schemas.microsoft.com/office/drawing/2014/chart" uri="{C3380CC4-5D6E-409C-BE32-E72D297353CC}">
              <c16:uniqueId val="{00000000-D237-4ED6-8239-4D546B370F50}"/>
            </c:ext>
          </c:extLst>
        </c:ser>
        <c:ser>
          <c:idx val="2"/>
          <c:order val="2"/>
          <c:tx>
            <c:strRef>
              <c:f>'WTP Main'!$K$284</c:f>
              <c:strCache>
                <c:ptCount val="1"/>
                <c:pt idx="0">
                  <c:v>ExternalWTP19</c:v>
                </c:pt>
              </c:strCache>
            </c:strRef>
          </c:tx>
          <c:spPr>
            <a:solidFill>
              <a:schemeClr val="accent6"/>
            </a:solidFill>
            <a:ln>
              <a:noFill/>
            </a:ln>
            <a:effectLst/>
          </c:spPr>
          <c:invertIfNegative val="0"/>
          <c:cat>
            <c:strRef>
              <c:f>'WTP Main'!$A$285</c:f>
              <c:strCache>
                <c:ptCount val="1"/>
                <c:pt idx="0">
                  <c:v>Traffic disruption</c:v>
                </c:pt>
              </c:strCache>
            </c:strRef>
          </c:cat>
          <c:val>
            <c:numRef>
              <c:f>'WTP Main'!$K$285</c:f>
              <c:numCache>
                <c:formatCode>"£"#,##0</c:formatCode>
                <c:ptCount val="1"/>
                <c:pt idx="0">
                  <c:v>340.099320190485</c:v>
                </c:pt>
              </c:numCache>
            </c:numRef>
          </c:val>
          <c:extLst>
            <c:ext xmlns:c16="http://schemas.microsoft.com/office/drawing/2014/chart" uri="{C3380CC4-5D6E-409C-BE32-E72D297353CC}">
              <c16:uniqueId val="{00000000-92F3-4E29-A8A8-6042EA86DB8D}"/>
            </c:ext>
          </c:extLst>
        </c:ser>
        <c:ser>
          <c:idx val="3"/>
          <c:order val="3"/>
          <c:tx>
            <c:strRef>
              <c:f>'WTP Main'!$L$284</c:f>
              <c:strCache>
                <c:ptCount val="1"/>
                <c:pt idx="0">
                  <c:v>WTPCore_MaxDiff</c:v>
                </c:pt>
              </c:strCache>
            </c:strRef>
          </c:tx>
          <c:spPr>
            <a:solidFill>
              <a:schemeClr val="accent2">
                <a:lumMod val="60000"/>
              </a:schemeClr>
            </a:solidFill>
            <a:ln>
              <a:noFill/>
            </a:ln>
            <a:effectLst/>
          </c:spPr>
          <c:invertIfNegative val="0"/>
          <c:cat>
            <c:strRef>
              <c:f>'WTP Main'!$A$285</c:f>
              <c:strCache>
                <c:ptCount val="1"/>
                <c:pt idx="0">
                  <c:v>Traffic disruption</c:v>
                </c:pt>
              </c:strCache>
            </c:strRef>
          </c:cat>
          <c:val>
            <c:numRef>
              <c:f>'WTP Main'!$L$285</c:f>
              <c:numCache>
                <c:formatCode>"£"#,##0</c:formatCode>
                <c:ptCount val="1"/>
                <c:pt idx="0">
                  <c:v>618.46767233356525</c:v>
                </c:pt>
              </c:numCache>
            </c:numRef>
          </c:val>
          <c:extLst>
            <c:ext xmlns:c16="http://schemas.microsoft.com/office/drawing/2014/chart" uri="{C3380CC4-5D6E-409C-BE32-E72D297353CC}">
              <c16:uniqueId val="{00000001-92F3-4E29-A8A8-6042EA86DB8D}"/>
            </c:ext>
          </c:extLst>
        </c:ser>
        <c:ser>
          <c:idx val="4"/>
          <c:order val="4"/>
          <c:tx>
            <c:strRef>
              <c:f>'WTP Main'!$M$284</c:f>
              <c:strCache>
                <c:ptCount val="1"/>
                <c:pt idx="0">
                  <c:v>Priorities</c:v>
                </c:pt>
              </c:strCache>
            </c:strRef>
          </c:tx>
          <c:spPr>
            <a:solidFill>
              <a:schemeClr val="accent4">
                <a:lumMod val="60000"/>
              </a:schemeClr>
            </a:solidFill>
            <a:ln>
              <a:noFill/>
            </a:ln>
            <a:effectLst/>
          </c:spPr>
          <c:invertIfNegative val="0"/>
          <c:cat>
            <c:strRef>
              <c:f>'WTP Main'!$A$285</c:f>
              <c:strCache>
                <c:ptCount val="1"/>
                <c:pt idx="0">
                  <c:v>Traffic disruption</c:v>
                </c:pt>
              </c:strCache>
            </c:strRef>
          </c:cat>
          <c:val>
            <c:numRef>
              <c:f>'WTP Main'!$M$285</c:f>
              <c:numCache>
                <c:formatCode>"£"#,##0</c:formatCode>
                <c:ptCount val="1"/>
                <c:pt idx="0">
                  <c:v>0</c:v>
                </c:pt>
              </c:numCache>
            </c:numRef>
          </c:val>
          <c:extLst>
            <c:ext xmlns:c16="http://schemas.microsoft.com/office/drawing/2014/chart" uri="{C3380CC4-5D6E-409C-BE32-E72D297353CC}">
              <c16:uniqueId val="{00000002-92F3-4E29-A8A8-6042EA86DB8D}"/>
            </c:ext>
          </c:extLst>
        </c:ser>
        <c:dLbls>
          <c:showLegendKey val="0"/>
          <c:showVal val="0"/>
          <c:showCatName val="0"/>
          <c:showSerName val="0"/>
          <c:showPercent val="0"/>
          <c:showBubbleSize val="0"/>
        </c:dLbls>
        <c:gapWidth val="219"/>
        <c:overlap val="-27"/>
        <c:axId val="-1463998112"/>
        <c:axId val="-1463996480"/>
        <c:extLst/>
      </c:barChart>
      <c:catAx>
        <c:axId val="-1463998112"/>
        <c:scaling>
          <c:orientation val="minMax"/>
        </c:scaling>
        <c:delete val="1"/>
        <c:axPos val="b"/>
        <c:numFmt formatCode="General" sourceLinked="1"/>
        <c:majorTickMark val="out"/>
        <c:minorTickMark val="none"/>
        <c:tickLblPos val="nextTo"/>
        <c:crossAx val="-1463996480"/>
        <c:crosses val="autoZero"/>
        <c:auto val="1"/>
        <c:lblAlgn val="ctr"/>
        <c:lblOffset val="100"/>
        <c:noMultiLvlLbl val="0"/>
      </c:catAx>
      <c:valAx>
        <c:axId val="-146399648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463998112"/>
        <c:crosses val="autoZero"/>
        <c:crossBetween val="between"/>
      </c:valAx>
      <c:spPr>
        <a:noFill/>
        <a:ln>
          <a:noFill/>
        </a:ln>
        <a:effectLst/>
      </c:spPr>
    </c:plotArea>
    <c:legend>
      <c:legendPos val="b"/>
      <c:layout>
        <c:manualLayout>
          <c:xMode val="edge"/>
          <c:yMode val="edge"/>
          <c:x val="0.1732956587751143"/>
          <c:y val="0.93109570510652684"/>
          <c:w val="0.56890355436185425"/>
          <c:h val="5.5215224766751482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CAM WTP Unit Values and Range</a:t>
            </a:r>
            <a:r>
              <a:rPr lang="en-US" b="1" baseline="0"/>
              <a:t> - Services at Property (HH and NHH)</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Main'!$BY$104</c:f>
              <c:strCache>
                <c:ptCount val="1"/>
                <c:pt idx="0">
                  <c:v>COMBINED</c:v>
                </c:pt>
              </c:strCache>
            </c:strRef>
          </c:tx>
          <c:spPr>
            <a:solidFill>
              <a:schemeClr val="accent2"/>
            </a:solidFill>
            <a:ln>
              <a:noFill/>
            </a:ln>
            <a:effectLst/>
          </c:spPr>
          <c:invertIfNegative val="0"/>
          <c:errBars>
            <c:errBarType val="both"/>
            <c:errValType val="cust"/>
            <c:noEndCap val="0"/>
            <c:plus>
              <c:numRef>
                <c:f>'WTP Main'!$CA$105:$CA$112</c:f>
                <c:numCache>
                  <c:formatCode>General</c:formatCode>
                  <c:ptCount val="8"/>
                  <c:pt idx="0">
                    <c:v>90757.077747132396</c:v>
                  </c:pt>
                  <c:pt idx="1">
                    <c:v>88487.223758405074</c:v>
                  </c:pt>
                  <c:pt idx="2">
                    <c:v>10341.922982466311</c:v>
                  </c:pt>
                  <c:pt idx="3">
                    <c:v>3867.3177189674843</c:v>
                  </c:pt>
                  <c:pt idx="4">
                    <c:v>4722.6083103885267</c:v>
                  </c:pt>
                  <c:pt idx="5">
                    <c:v>2718.5907231604056</c:v>
                  </c:pt>
                  <c:pt idx="6">
                    <c:v>2646.2446357650797</c:v>
                  </c:pt>
                  <c:pt idx="7">
                    <c:v>94.71438178743503</c:v>
                  </c:pt>
                </c:numCache>
              </c:numRef>
            </c:plus>
            <c:minus>
              <c:numRef>
                <c:f>'WTP Main'!$BZ$105:$BZ$112</c:f>
                <c:numCache>
                  <c:formatCode>General</c:formatCode>
                  <c:ptCount val="8"/>
                  <c:pt idx="0">
                    <c:v>25851.974146905035</c:v>
                  </c:pt>
                  <c:pt idx="1">
                    <c:v>27495.544145800141</c:v>
                  </c:pt>
                  <c:pt idx="2">
                    <c:v>3141.7078033218449</c:v>
                  </c:pt>
                  <c:pt idx="3">
                    <c:v>865.52116126874762</c:v>
                  </c:pt>
                  <c:pt idx="4">
                    <c:v>2120.7344831672858</c:v>
                  </c:pt>
                  <c:pt idx="5">
                    <c:v>2203.9915861749987</c:v>
                  </c:pt>
                  <c:pt idx="6">
                    <c:v>1137.6260054970921</c:v>
                  </c:pt>
                  <c:pt idx="7">
                    <c:v>27.382482703381545</c:v>
                  </c:pt>
                </c:numCache>
              </c:numRef>
            </c:minus>
            <c:spPr>
              <a:noFill/>
              <a:ln w="9525" cap="flat" cmpd="sng" algn="ctr">
                <a:solidFill>
                  <a:sysClr val="windowText" lastClr="000000"/>
                </a:solidFill>
                <a:round/>
              </a:ln>
              <a:effectLst/>
            </c:spPr>
          </c:errBars>
          <c:cat>
            <c:strRef>
              <c:f>'WTP Main'!$A$105:$A$112</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Main'!$BY$105:$BY$112</c:f>
              <c:numCache>
                <c:formatCode>"£"#,##0</c:formatCode>
                <c:ptCount val="8"/>
                <c:pt idx="0">
                  <c:v>32453.935907829946</c:v>
                </c:pt>
                <c:pt idx="1">
                  <c:v>34522.766690312841</c:v>
                </c:pt>
                <c:pt idx="2">
                  <c:v>3927.134754152306</c:v>
                </c:pt>
                <c:pt idx="3">
                  <c:v>1087.5916525909597</c:v>
                </c:pt>
                <c:pt idx="4">
                  <c:v>2650.9181039591072</c:v>
                </c:pt>
                <c:pt idx="5">
                  <c:v>2754.9894827187486</c:v>
                </c:pt>
                <c:pt idx="6">
                  <c:v>1422.0325068713653</c:v>
                </c:pt>
                <c:pt idx="7">
                  <c:v>34.22810337922693</c:v>
                </c:pt>
              </c:numCache>
            </c:numRef>
          </c:val>
          <c:extLst>
            <c:ext xmlns:c16="http://schemas.microsoft.com/office/drawing/2014/chart" uri="{C3380CC4-5D6E-409C-BE32-E72D297353CC}">
              <c16:uniqueId val="{00000000-E1DC-4A85-89E6-D69E8484ECF4}"/>
            </c:ext>
          </c:extLst>
        </c:ser>
        <c:dLbls>
          <c:showLegendKey val="0"/>
          <c:showVal val="0"/>
          <c:showCatName val="0"/>
          <c:showSerName val="0"/>
          <c:showPercent val="0"/>
          <c:showBubbleSize val="0"/>
        </c:dLbls>
        <c:gapWidth val="219"/>
        <c:overlap val="-27"/>
        <c:axId val="-1463994304"/>
        <c:axId val="-1463999744"/>
      </c:barChart>
      <c:catAx>
        <c:axId val="-146399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463999744"/>
        <c:crosses val="autoZero"/>
        <c:auto val="1"/>
        <c:lblAlgn val="ctr"/>
        <c:lblOffset val="100"/>
        <c:noMultiLvlLbl val="0"/>
      </c:catAx>
      <c:valAx>
        <c:axId val="-1463999744"/>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46399430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CAM HH WTP Unit Values and Range</a:t>
            </a:r>
            <a:r>
              <a:rPr lang="en-US" b="1" baseline="0"/>
              <a:t> - Services at Property</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'WTP Main'!$CC$128</c:f>
              <c:strCache>
                <c:ptCount val="1"/>
                <c:pt idx="0">
                  <c:v>COMBINED</c:v>
                </c:pt>
              </c:strCache>
            </c:strRef>
          </c:tx>
          <c:spPr>
            <a:solidFill>
              <a:schemeClr val="accent2"/>
            </a:solidFill>
            <a:ln>
              <a:noFill/>
            </a:ln>
            <a:effectLst/>
          </c:spPr>
          <c:invertIfNegative val="0"/>
          <c:errBars>
            <c:errBarType val="both"/>
            <c:errValType val="cust"/>
            <c:noEndCap val="0"/>
            <c:plus>
              <c:numRef>
                <c:f>'WTP Main'!$CW$129:$CW$136</c:f>
                <c:numCache>
                  <c:formatCode>General</c:formatCode>
                  <c:ptCount val="8"/>
                  <c:pt idx="0">
                    <c:v>84599.632320230521</c:v>
                  </c:pt>
                  <c:pt idx="1">
                    <c:v>86613.975731352359</c:v>
                  </c:pt>
                  <c:pt idx="2">
                    <c:v>410.94433110562761</c:v>
                  </c:pt>
                  <c:pt idx="3">
                    <c:v>2446.4187059731503</c:v>
                  </c:pt>
                  <c:pt idx="4">
                    <c:v>532.0060440753773</c:v>
                  </c:pt>
                  <c:pt idx="5">
                    <c:v>267.24959145737301</c:v>
                  </c:pt>
                  <c:pt idx="6">
                    <c:v>53.000805357270238</c:v>
                  </c:pt>
                  <c:pt idx="7">
                    <c:v>16.455326263011273</c:v>
                  </c:pt>
                </c:numCache>
              </c:numRef>
            </c:plus>
            <c:minus>
              <c:numRef>
                <c:f>'WTP Main'!$CV$129:$CV$136</c:f>
                <c:numCache>
                  <c:formatCode>General</c:formatCode>
                  <c:ptCount val="8"/>
                  <c:pt idx="0">
                    <c:v>20372.207568794554</c:v>
                  </c:pt>
                  <c:pt idx="1">
                    <c:v>24955.980348233843</c:v>
                  </c:pt>
                  <c:pt idx="2">
                    <c:v>99.427777736095763</c:v>
                  </c:pt>
                  <c:pt idx="3">
                    <c:v>738.07066773369104</c:v>
                  </c:pt>
                  <c:pt idx="4">
                    <c:v>106.2820619804354</c:v>
                  </c:pt>
                  <c:pt idx="5">
                    <c:v>223.26553037803109</c:v>
                  </c:pt>
                  <c:pt idx="6">
                    <c:v>41.110957618492492</c:v>
                  </c:pt>
                  <c:pt idx="7">
                    <c:v>7.1033173741017794</c:v>
                  </c:pt>
                </c:numCache>
              </c:numRef>
            </c:minus>
            <c:spPr>
              <a:noFill/>
              <a:ln w="9525" cap="flat" cmpd="sng" algn="ctr">
                <a:solidFill>
                  <a:srgbClr val="000000"/>
                </a:solidFill>
                <a:round/>
              </a:ln>
              <a:effectLst/>
            </c:spPr>
          </c:errBars>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Main'!$CC$129:$CC$136</c:f>
              <c:numCache>
                <c:formatCode>"£"#,##0</c:formatCode>
                <c:ptCount val="8"/>
                <c:pt idx="0">
                  <c:v>25481.516128957282</c:v>
                </c:pt>
                <c:pt idx="1">
                  <c:v>31302.052369317589</c:v>
                </c:pt>
                <c:pt idx="2">
                  <c:v>124.28472217011971</c:v>
                </c:pt>
                <c:pt idx="3">
                  <c:v>928.2785356721389</c:v>
                </c:pt>
                <c:pt idx="4">
                  <c:v>132.85257747554425</c:v>
                </c:pt>
                <c:pt idx="5">
                  <c:v>279.08191297253887</c:v>
                </c:pt>
                <c:pt idx="6">
                  <c:v>51.388697023115611</c:v>
                </c:pt>
                <c:pt idx="7">
                  <c:v>8.8791467176272239</c:v>
                </c:pt>
              </c:numCache>
            </c:numRef>
          </c:val>
          <c:extLst>
            <c:ext xmlns:c16="http://schemas.microsoft.com/office/drawing/2014/chart" uri="{C3380CC4-5D6E-409C-BE32-E72D297353CC}">
              <c16:uniqueId val="{00000000-8F73-462E-AA6C-4AEF16AFB5FE}"/>
            </c:ext>
          </c:extLst>
        </c:ser>
        <c:ser>
          <c:idx val="1"/>
          <c:order val="1"/>
          <c:tx>
            <c:strRef>
              <c:f>'WTP Main'!$CD$128</c:f>
              <c:strCache>
                <c:ptCount val="1"/>
                <c:pt idx="0">
                  <c:v>WTPCore_DCE</c:v>
                </c:pt>
              </c:strCache>
            </c:strRef>
          </c:tx>
          <c:spPr>
            <a:solidFill>
              <a:schemeClr val="accent4"/>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Main'!$CD$129:$CD$136</c:f>
              <c:numCache>
                <c:formatCode>"£"#,##0</c:formatCode>
                <c:ptCount val="8"/>
                <c:pt idx="0">
                  <c:v>501.11390007890685</c:v>
                </c:pt>
                <c:pt idx="1">
                  <c:v>620.7492005481954</c:v>
                </c:pt>
                <c:pt idx="2">
                  <c:v>28.26566546881222</c:v>
                </c:pt>
                <c:pt idx="3">
                  <c:v>5.6902010050251253</c:v>
                </c:pt>
                <c:pt idx="4">
                  <c:v>207.69569571588755</c:v>
                </c:pt>
                <c:pt idx="5">
                  <c:v>308.90334405201918</c:v>
                </c:pt>
                <c:pt idx="6">
                  <c:v>18.582387891224172</c:v>
                </c:pt>
                <c:pt idx="7">
                  <c:v>25.25320611321068</c:v>
                </c:pt>
              </c:numCache>
            </c:numRef>
          </c:val>
          <c:extLst>
            <c:ext xmlns:c16="http://schemas.microsoft.com/office/drawing/2014/chart" uri="{C3380CC4-5D6E-409C-BE32-E72D297353CC}">
              <c16:uniqueId val="{00000001-8F73-462E-AA6C-4AEF16AFB5FE}"/>
            </c:ext>
          </c:extLst>
        </c:ser>
        <c:ser>
          <c:idx val="2"/>
          <c:order val="2"/>
          <c:tx>
            <c:strRef>
              <c:f>'WTP Main'!$CE$128</c:f>
              <c:strCache>
                <c:ptCount val="1"/>
                <c:pt idx="0">
                  <c:v>WTPCore_DCE2</c:v>
                </c:pt>
              </c:strCache>
            </c:strRef>
          </c:tx>
          <c:spPr>
            <a:solidFill>
              <a:schemeClr val="accent6"/>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Main'!$CE$129:$CE$136</c:f>
              <c:numCache>
                <c:formatCode>"£"#,##0</c:formatCode>
                <c:ptCount val="8"/>
                <c:pt idx="0">
                  <c:v>555.0592049203259</c:v>
                </c:pt>
                <c:pt idx="1">
                  <c:v>413.48326629553054</c:v>
                </c:pt>
                <c:pt idx="2">
                  <c:v>43.79865138952065</c:v>
                </c:pt>
                <c:pt idx="3">
                  <c:v>316.89094596470369</c:v>
                </c:pt>
                <c:pt idx="4">
                  <c:v>37.069382180075451</c:v>
                </c:pt>
                <c:pt idx="5">
                  <c:v>613.1439022942551</c:v>
                </c:pt>
                <c:pt idx="6">
                  <c:v>115.70560129846363</c:v>
                </c:pt>
                <c:pt idx="7">
                  <c:v>4.5305000347829747</c:v>
                </c:pt>
              </c:numCache>
            </c:numRef>
          </c:val>
          <c:extLst>
            <c:ext xmlns:c16="http://schemas.microsoft.com/office/drawing/2014/chart" uri="{C3380CC4-5D6E-409C-BE32-E72D297353CC}">
              <c16:uniqueId val="{00000002-8F73-462E-AA6C-4AEF16AFB5FE}"/>
            </c:ext>
          </c:extLst>
        </c:ser>
        <c:ser>
          <c:idx val="3"/>
          <c:order val="3"/>
          <c:tx>
            <c:strRef>
              <c:f>'WTP Main'!$CF$128</c:f>
              <c:strCache>
                <c:ptCount val="1"/>
                <c:pt idx="0">
                  <c:v>WTP core_DCE_Private</c:v>
                </c:pt>
              </c:strCache>
            </c:strRef>
          </c:tx>
          <c:spPr>
            <a:solidFill>
              <a:schemeClr val="accent2">
                <a:lumMod val="6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Main'!$CF$129:$CF$136</c:f>
              <c:numCache>
                <c:formatCode>"£"#,##0</c:formatCode>
                <c:ptCount val="8"/>
                <c:pt idx="0">
                  <c:v>1609.4333817849576</c:v>
                </c:pt>
                <c:pt idx="1">
                  <c:v>837.44710328501992</c:v>
                </c:pt>
                <c:pt idx="2">
                  <c:v>28.215872752190698</c:v>
                </c:pt>
                <c:pt idx="3">
                  <c:v>8.73751526226172</c:v>
                </c:pt>
                <c:pt idx="4">
                  <c:v>443.30271190664075</c:v>
                </c:pt>
                <c:pt idx="5">
                  <c:v>459.42494808754515</c:v>
                </c:pt>
                <c:pt idx="6">
                  <c:v>24.054031521242571</c:v>
                </c:pt>
                <c:pt idx="7">
                  <c:v>42.069866273516347</c:v>
                </c:pt>
              </c:numCache>
            </c:numRef>
          </c:val>
          <c:extLst>
            <c:ext xmlns:c16="http://schemas.microsoft.com/office/drawing/2014/chart" uri="{C3380CC4-5D6E-409C-BE32-E72D297353CC}">
              <c16:uniqueId val="{00000003-8F73-462E-AA6C-4AEF16AFB5FE}"/>
            </c:ext>
          </c:extLst>
        </c:ser>
        <c:ser>
          <c:idx val="4"/>
          <c:order val="4"/>
          <c:tx>
            <c:strRef>
              <c:f>'WTP Main'!$CG$128</c:f>
              <c:strCache>
                <c:ptCount val="1"/>
                <c:pt idx="0">
                  <c:v>WTPCore_DCE2_LowBill</c:v>
                </c:pt>
              </c:strCache>
            </c:strRef>
          </c:tx>
          <c:spPr>
            <a:solidFill>
              <a:schemeClr val="accent4">
                <a:lumMod val="6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Main'!$CG$129:$CG$136</c:f>
              <c:numCache>
                <c:formatCode>"£"#,##0</c:formatCode>
                <c:ptCount val="8"/>
                <c:pt idx="0">
                  <c:v>395.93761105859028</c:v>
                </c:pt>
                <c:pt idx="1">
                  <c:v>460.61613919501059</c:v>
                </c:pt>
                <c:pt idx="2">
                  <c:v>77.435159250689779</c:v>
                </c:pt>
                <c:pt idx="3">
                  <c:v>372.28127761501526</c:v>
                </c:pt>
                <c:pt idx="4">
                  <c:v>69.637689024400004</c:v>
                </c:pt>
                <c:pt idx="5">
                  <c:v>651.26740939939975</c:v>
                </c:pt>
                <c:pt idx="6">
                  <c:v>108.59257765377191</c:v>
                </c:pt>
                <c:pt idx="7">
                  <c:v>5.3580427823917383</c:v>
                </c:pt>
              </c:numCache>
            </c:numRef>
          </c:val>
          <c:extLst>
            <c:ext xmlns:c16="http://schemas.microsoft.com/office/drawing/2014/chart" uri="{C3380CC4-5D6E-409C-BE32-E72D297353CC}">
              <c16:uniqueId val="{00000004-8F73-462E-AA6C-4AEF16AFB5FE}"/>
            </c:ext>
          </c:extLst>
        </c:ser>
        <c:ser>
          <c:idx val="5"/>
          <c:order val="5"/>
          <c:tx>
            <c:strRef>
              <c:f>'WTP Main'!$CI$128</c:f>
              <c:strCache>
                <c:ptCount val="1"/>
                <c:pt idx="0">
                  <c:v>ExternalWTP14</c:v>
                </c:pt>
              </c:strCache>
            </c:strRef>
          </c:tx>
          <c:spPr>
            <a:solidFill>
              <a:schemeClr val="accent6">
                <a:lumMod val="6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Main'!$CI$129:$CI$136</c:f>
              <c:numCache>
                <c:formatCode>"£"#,##0</c:formatCode>
                <c:ptCount val="8"/>
                <c:pt idx="2">
                  <c:v>256.72130966931957</c:v>
                </c:pt>
                <c:pt idx="3">
                  <c:v>6.3045526114831416</c:v>
                </c:pt>
                <c:pt idx="4">
                  <c:v>438.15897087428044</c:v>
                </c:pt>
                <c:pt idx="5">
                  <c:v>362.61871622796258</c:v>
                </c:pt>
                <c:pt idx="6">
                  <c:v>71.547937090870136</c:v>
                </c:pt>
              </c:numCache>
            </c:numRef>
          </c:val>
          <c:extLst>
            <c:ext xmlns:c16="http://schemas.microsoft.com/office/drawing/2014/chart" uri="{C3380CC4-5D6E-409C-BE32-E72D297353CC}">
              <c16:uniqueId val="{00000000-C44E-4334-ACED-369C2A9B760B}"/>
            </c:ext>
          </c:extLst>
        </c:ser>
        <c:ser>
          <c:idx val="6"/>
          <c:order val="6"/>
          <c:tx>
            <c:strRef>
              <c:f>'WTP Main'!$CJ$128</c:f>
              <c:strCache>
                <c:ptCount val="1"/>
                <c:pt idx="0">
                  <c:v>ExternalWTP19</c:v>
                </c:pt>
              </c:strCache>
            </c:strRef>
          </c:tx>
          <c:spPr>
            <a:solidFill>
              <a:schemeClr val="accent2">
                <a:lumMod val="80000"/>
                <a:lumOff val="2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Main'!$CJ$129:$CJ$136</c:f>
              <c:numCache>
                <c:formatCode>"£"#,##0</c:formatCode>
                <c:ptCount val="8"/>
                <c:pt idx="0">
                  <c:v>435.962346573557</c:v>
                </c:pt>
                <c:pt idx="2">
                  <c:v>213.52123007914284</c:v>
                </c:pt>
                <c:pt idx="4">
                  <c:v>490.15934526119372</c:v>
                </c:pt>
                <c:pt idx="5">
                  <c:v>137.07713597641791</c:v>
                </c:pt>
                <c:pt idx="6">
                  <c:v>68.58344357474887</c:v>
                </c:pt>
              </c:numCache>
            </c:numRef>
          </c:val>
          <c:extLst>
            <c:ext xmlns:c16="http://schemas.microsoft.com/office/drawing/2014/chart" uri="{C3380CC4-5D6E-409C-BE32-E72D297353CC}">
              <c16:uniqueId val="{00000001-C44E-4334-ACED-369C2A9B760B}"/>
            </c:ext>
          </c:extLst>
        </c:ser>
        <c:ser>
          <c:idx val="7"/>
          <c:order val="7"/>
          <c:tx>
            <c:strRef>
              <c:f>'WTP Main'!$CK$128</c:f>
              <c:strCache>
                <c:ptCount val="1"/>
                <c:pt idx="0">
                  <c:v>WTPCore_MaxDiff</c:v>
                </c:pt>
              </c:strCache>
            </c:strRef>
          </c:tx>
          <c:spPr>
            <a:solidFill>
              <a:srgbClr val="FF0000"/>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Main'!$CK$129:$CK$136</c:f>
              <c:numCache>
                <c:formatCode>"£"#,##0</c:formatCode>
                <c:ptCount val="8"/>
                <c:pt idx="0">
                  <c:v>3533.626736654584</c:v>
                </c:pt>
                <c:pt idx="1">
                  <c:v>422.6457148483376</c:v>
                </c:pt>
                <c:pt idx="2">
                  <c:v>341.6568958775859</c:v>
                </c:pt>
                <c:pt idx="3" formatCode="&quot;£&quot;#,##0.000">
                  <c:v>154.19825100128321</c:v>
                </c:pt>
                <c:pt idx="4">
                  <c:v>797.86013256976582</c:v>
                </c:pt>
                <c:pt idx="5">
                  <c:v>283.19382704811835</c:v>
                </c:pt>
                <c:pt idx="6">
                  <c:v>27.217369706899699</c:v>
                </c:pt>
                <c:pt idx="7">
                  <c:v>29.448304546391309</c:v>
                </c:pt>
              </c:numCache>
            </c:numRef>
          </c:val>
          <c:extLst>
            <c:ext xmlns:c16="http://schemas.microsoft.com/office/drawing/2014/chart" uri="{C3380CC4-5D6E-409C-BE32-E72D297353CC}">
              <c16:uniqueId val="{00000002-C44E-4334-ACED-369C2A9B760B}"/>
            </c:ext>
          </c:extLst>
        </c:ser>
        <c:ser>
          <c:idx val="8"/>
          <c:order val="8"/>
          <c:tx>
            <c:strRef>
              <c:f>'WTP Main'!$CL$128</c:f>
              <c:strCache>
                <c:ptCount val="1"/>
                <c:pt idx="0">
                  <c:v>Priorities</c:v>
                </c:pt>
              </c:strCache>
            </c:strRef>
          </c:tx>
          <c:spPr>
            <a:solidFill>
              <a:srgbClr val="92D050"/>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Main'!$CL$129:$CL$136</c:f>
              <c:numCache>
                <c:formatCode>"£"#,##0</c:formatCode>
                <c:ptCount val="8"/>
                <c:pt idx="0">
                  <c:v>949.96614947078956</c:v>
                </c:pt>
                <c:pt idx="1">
                  <c:v>0</c:v>
                </c:pt>
                <c:pt idx="2">
                  <c:v>210.41011657330804</c:v>
                </c:pt>
                <c:pt idx="3">
                  <c:v>73.475332356768448</c:v>
                </c:pt>
                <c:pt idx="4">
                  <c:v>147.69753126235273</c:v>
                </c:pt>
                <c:pt idx="5">
                  <c:v>0</c:v>
                </c:pt>
                <c:pt idx="6">
                  <c:v>25.262160982821641</c:v>
                </c:pt>
                <c:pt idx="7">
                  <c:v>2.8209408075897282</c:v>
                </c:pt>
              </c:numCache>
            </c:numRef>
          </c:val>
          <c:extLst>
            <c:ext xmlns:c16="http://schemas.microsoft.com/office/drawing/2014/chart" uri="{C3380CC4-5D6E-409C-BE32-E72D297353CC}">
              <c16:uniqueId val="{00000003-C44E-4334-ACED-369C2A9B760B}"/>
            </c:ext>
          </c:extLst>
        </c:ser>
        <c:ser>
          <c:idx val="9"/>
          <c:order val="9"/>
          <c:tx>
            <c:strRef>
              <c:f>'WTP Main'!$CM$128</c:f>
              <c:strCache>
                <c:ptCount val="1"/>
                <c:pt idx="0">
                  <c:v>Contacts</c:v>
                </c:pt>
              </c:strCache>
            </c:strRef>
          </c:tx>
          <c:spPr>
            <a:solidFill>
              <a:schemeClr val="accent2">
                <a:lumMod val="80000"/>
              </a:schemeClr>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Main'!$CM$129:$CM$136</c:f>
              <c:numCache>
                <c:formatCode>"£"#,##0</c:formatCode>
                <c:ptCount val="8"/>
                <c:pt idx="0">
                  <c:v>16.256667964087679</c:v>
                </c:pt>
                <c:pt idx="1">
                  <c:v>0</c:v>
                </c:pt>
                <c:pt idx="2">
                  <c:v>637.96513605215421</c:v>
                </c:pt>
                <c:pt idx="3">
                  <c:v>0</c:v>
                </c:pt>
                <c:pt idx="4">
                  <c:v>48.89441716749841</c:v>
                </c:pt>
                <c:pt idx="5">
                  <c:v>96.430656080344079</c:v>
                </c:pt>
                <c:pt idx="6">
                  <c:v>64.02585883736721</c:v>
                </c:pt>
                <c:pt idx="7">
                  <c:v>0</c:v>
                </c:pt>
              </c:numCache>
            </c:numRef>
          </c:val>
          <c:extLst>
            <c:ext xmlns:c16="http://schemas.microsoft.com/office/drawing/2014/chart" uri="{C3380CC4-5D6E-409C-BE32-E72D297353CC}">
              <c16:uniqueId val="{00000004-C44E-4334-ACED-369C2A9B760B}"/>
            </c:ext>
          </c:extLst>
        </c:ser>
        <c:ser>
          <c:idx val="10"/>
          <c:order val="10"/>
          <c:tx>
            <c:strRef>
              <c:f>'WTP Main'!$CN$128</c:f>
              <c:strCache>
                <c:ptCount val="1"/>
                <c:pt idx="0">
                  <c:v>Satisfaction</c:v>
                </c:pt>
              </c:strCache>
            </c:strRef>
          </c:tx>
          <c:spPr>
            <a:solidFill>
              <a:srgbClr val="FFFF00"/>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Main'!$CN$129:$CN$136</c:f>
              <c:numCache>
                <c:formatCode>"£"#,##0</c:formatCode>
                <c:ptCount val="8"/>
                <c:pt idx="0">
                  <c:v>0</c:v>
                </c:pt>
                <c:pt idx="1">
                  <c:v>0</c:v>
                </c:pt>
                <c:pt idx="2">
                  <c:v>144.37600001963597</c:v>
                </c:pt>
                <c:pt idx="3">
                  <c:v>0</c:v>
                </c:pt>
                <c:pt idx="4">
                  <c:v>37.430814819905635</c:v>
                </c:pt>
                <c:pt idx="5">
                  <c:v>203.19585187948766</c:v>
                </c:pt>
                <c:pt idx="6">
                  <c:v>117.63970371970341</c:v>
                </c:pt>
                <c:pt idx="7">
                  <c:v>0</c:v>
                </c:pt>
              </c:numCache>
            </c:numRef>
          </c:val>
          <c:extLst>
            <c:ext xmlns:c16="http://schemas.microsoft.com/office/drawing/2014/chart" uri="{C3380CC4-5D6E-409C-BE32-E72D297353CC}">
              <c16:uniqueId val="{00000005-C44E-4334-ACED-369C2A9B760B}"/>
            </c:ext>
          </c:extLst>
        </c:ser>
        <c:ser>
          <c:idx val="11"/>
          <c:order val="11"/>
          <c:tx>
            <c:strRef>
              <c:f>'WTP Main'!$CO$128</c:f>
              <c:strCache>
                <c:ptCount val="1"/>
                <c:pt idx="0">
                  <c:v>PC Slider</c:v>
                </c:pt>
              </c:strCache>
            </c:strRef>
          </c:tx>
          <c:spPr>
            <a:solidFill>
              <a:srgbClr val="FFC000"/>
            </a:solidFill>
            <a:ln>
              <a:noFill/>
            </a:ln>
            <a:effectLst/>
          </c:spPr>
          <c:invertIfNegative val="0"/>
          <c:cat>
            <c:strRef>
              <c:f>'WTP Main'!$A$129:$A$136</c:f>
              <c:strCache>
                <c:ptCount val="8"/>
                <c:pt idx="0">
                  <c:v>Water not safe to drink</c:v>
                </c:pt>
                <c:pt idx="1">
                  <c:v>Flooding from a burst pipe</c:v>
                </c:pt>
                <c:pt idx="2">
                  <c:v>Unexpected temporary loss of water supply</c:v>
                </c:pt>
                <c:pt idx="3">
                  <c:v>Water hardness</c:v>
                </c:pt>
                <c:pt idx="4">
                  <c:v>Taste and smell of water</c:v>
                </c:pt>
                <c:pt idx="5">
                  <c:v>Discoloured water</c:v>
                </c:pt>
                <c:pt idx="6">
                  <c:v>Low water pressure</c:v>
                </c:pt>
                <c:pt idx="7">
                  <c:v>Lead pipes</c:v>
                </c:pt>
              </c:strCache>
            </c:strRef>
          </c:cat>
          <c:val>
            <c:numRef>
              <c:f>'WTP Main'!$CO$129:$CO$136</c:f>
              <c:numCache>
                <c:formatCode>"£"#,##0</c:formatCode>
                <c:ptCount val="8"/>
                <c:pt idx="2">
                  <c:v>338.22959198528753</c:v>
                </c:pt>
              </c:numCache>
            </c:numRef>
          </c:val>
          <c:extLst>
            <c:ext xmlns:c16="http://schemas.microsoft.com/office/drawing/2014/chart" uri="{C3380CC4-5D6E-409C-BE32-E72D297353CC}">
              <c16:uniqueId val="{00000006-C44E-4334-ACED-369C2A9B760B}"/>
            </c:ext>
          </c:extLst>
        </c:ser>
        <c:dLbls>
          <c:showLegendKey val="0"/>
          <c:showVal val="0"/>
          <c:showCatName val="0"/>
          <c:showSerName val="0"/>
          <c:showPercent val="0"/>
          <c:showBubbleSize val="0"/>
        </c:dLbls>
        <c:gapWidth val="219"/>
        <c:overlap val="-27"/>
        <c:axId val="-1464001376"/>
        <c:axId val="-1464000832"/>
      </c:barChart>
      <c:catAx>
        <c:axId val="-146400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464000832"/>
        <c:crosses val="autoZero"/>
        <c:auto val="1"/>
        <c:lblAlgn val="ctr"/>
        <c:lblOffset val="100"/>
        <c:noMultiLvlLbl val="0"/>
      </c:catAx>
      <c:valAx>
        <c:axId val="-1464000832"/>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464001376"/>
        <c:crosses val="autoZero"/>
        <c:crossBetween val="between"/>
      </c:valAx>
      <c:spPr>
        <a:noFill/>
        <a:ln>
          <a:noFill/>
        </a:ln>
        <a:effectLst/>
      </c:spPr>
    </c:plotArea>
    <c:legend>
      <c:legendPos val="b"/>
      <c:layout>
        <c:manualLayout>
          <c:xMode val="edge"/>
          <c:yMode val="edge"/>
          <c:x val="8.5513019423595779E-2"/>
          <c:y val="0.88385412433506949"/>
          <c:w val="0.82317879558485452"/>
          <c:h val="0.1037293456620668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Style="combo" dx="22" fmlaLink="'General Inputs'!$F$17" fmlaRange="'General Inputs'!$F$18:$F$20" noThreeD="1" sel="1" val="0"/>
</file>

<file path=xl/ctrlProps/ctrlProp2.xml><?xml version="1.0" encoding="utf-8"?>
<formControlPr xmlns="http://schemas.microsoft.com/office/spreadsheetml/2009/9/main" objectType="CheckBox" checked="Checked" fmlaLink="$I$3" lockText="1" noThreeD="1"/>
</file>

<file path=xl/ctrlProps/ctrlProp3.xml><?xml version="1.0" encoding="utf-8"?>
<formControlPr xmlns="http://schemas.microsoft.com/office/spreadsheetml/2009/9/main" objectType="Drop" dropStyle="combo" dx="22" fmlaLink="$B$1" fmlaRange="$A$35:$A$39" noThreeD="1" sel="1" val="0"/>
</file>

<file path=xl/ctrlProps/ctrlProp4.xml><?xml version="1.0" encoding="utf-8"?>
<formControlPr xmlns="http://schemas.microsoft.com/office/spreadsheetml/2009/9/main" objectType="Drop" dropStyle="combo" dx="22" fmlaLink="$C$3" fmlaRange="$A$35:$A$38"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image" Target="cid:image002.png@01D941F4.7FDA2A10" TargetMode="External"/><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972390</xdr:colOff>
      <xdr:row>27</xdr:row>
      <xdr:rowOff>313652</xdr:rowOff>
    </xdr:from>
    <xdr:to>
      <xdr:col>3</xdr:col>
      <xdr:colOff>217050</xdr:colOff>
      <xdr:row>28</xdr:row>
      <xdr:rowOff>222460</xdr:rowOff>
    </xdr:to>
    <xdr:pic>
      <xdr:nvPicPr>
        <xdr:cNvPr id="2" name="Picture 1" descr="PJM logo FINAL CMYK Low RES.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567703" y="5778621"/>
          <a:ext cx="1697347" cy="575558"/>
        </a:xfrm>
        <a:prstGeom prst="rect">
          <a:avLst/>
        </a:prstGeom>
      </xdr:spPr>
    </xdr:pic>
    <xdr:clientData/>
  </xdr:twoCellAnchor>
  <xdr:twoCellAnchor editAs="oneCell">
    <xdr:from>
      <xdr:col>1</xdr:col>
      <xdr:colOff>71438</xdr:colOff>
      <xdr:row>27</xdr:row>
      <xdr:rowOff>419104</xdr:rowOff>
    </xdr:from>
    <xdr:to>
      <xdr:col>1</xdr:col>
      <xdr:colOff>804863</xdr:colOff>
      <xdr:row>28</xdr:row>
      <xdr:rowOff>76204</xdr:rowOff>
    </xdr:to>
    <xdr:pic>
      <xdr:nvPicPr>
        <xdr:cNvPr id="3" name="Picture 2" descr="ACCENT">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666751" y="5884073"/>
          <a:ext cx="733425" cy="323850"/>
        </a:xfrm>
        <a:prstGeom prst="rect">
          <a:avLst/>
        </a:prstGeom>
        <a:noFill/>
        <a:ln w="9525">
          <a:noFill/>
          <a:miter lim="800000"/>
          <a:headEnd/>
          <a:tailEnd/>
        </a:ln>
      </xdr:spPr>
    </xdr:pic>
    <xdr:clientData/>
  </xdr:twoCellAnchor>
  <xdr:twoCellAnchor editAs="oneCell">
    <xdr:from>
      <xdr:col>0</xdr:col>
      <xdr:colOff>547688</xdr:colOff>
      <xdr:row>13</xdr:row>
      <xdr:rowOff>130969</xdr:rowOff>
    </xdr:from>
    <xdr:to>
      <xdr:col>1</xdr:col>
      <xdr:colOff>968923</xdr:colOff>
      <xdr:row>18</xdr:row>
      <xdr:rowOff>59531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7688" y="2940844"/>
          <a:ext cx="1016548" cy="881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190500</xdr:colOff>
      <xdr:row>126</xdr:row>
      <xdr:rowOff>133803</xdr:rowOff>
    </xdr:from>
    <xdr:to>
      <xdr:col>42</xdr:col>
      <xdr:colOff>468275</xdr:colOff>
      <xdr:row>149</xdr:row>
      <xdr:rowOff>184503</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95248</xdr:colOff>
      <xdr:row>126</xdr:row>
      <xdr:rowOff>170089</xdr:rowOff>
    </xdr:from>
    <xdr:to>
      <xdr:col>54</xdr:col>
      <xdr:colOff>325398</xdr:colOff>
      <xdr:row>150</xdr:row>
      <xdr:rowOff>102289</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117473</xdr:colOff>
      <xdr:row>151</xdr:row>
      <xdr:rowOff>154214</xdr:rowOff>
    </xdr:from>
    <xdr:to>
      <xdr:col>54</xdr:col>
      <xdr:colOff>293623</xdr:colOff>
      <xdr:row>174</xdr:row>
      <xdr:rowOff>44214</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361154</xdr:colOff>
      <xdr:row>176</xdr:row>
      <xdr:rowOff>118496</xdr:rowOff>
    </xdr:from>
    <xdr:to>
      <xdr:col>54</xdr:col>
      <xdr:colOff>904</xdr:colOff>
      <xdr:row>200</xdr:row>
      <xdr:rowOff>8496</xdr:rowOff>
    </xdr:to>
    <xdr:graphicFrame macro="">
      <xdr:nvGraphicFramePr>
        <xdr:cNvPr id="12" name="Chart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341311</xdr:colOff>
      <xdr:row>203</xdr:row>
      <xdr:rowOff>0</xdr:rowOff>
    </xdr:from>
    <xdr:to>
      <xdr:col>54</xdr:col>
      <xdr:colOff>9861</xdr:colOff>
      <xdr:row>225</xdr:row>
      <xdr:rowOff>80500</xdr:rowOff>
    </xdr:to>
    <xdr:graphicFrame macro="">
      <xdr:nvGraphicFramePr>
        <xdr:cNvPr id="16" name="Chart 15">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198437</xdr:colOff>
      <xdr:row>237</xdr:row>
      <xdr:rowOff>182562</xdr:rowOff>
    </xdr:from>
    <xdr:to>
      <xdr:col>54</xdr:col>
      <xdr:colOff>68587</xdr:colOff>
      <xdr:row>260</xdr:row>
      <xdr:rowOff>72562</xdr:rowOff>
    </xdr:to>
    <xdr:graphicFrame macro="">
      <xdr:nvGraphicFramePr>
        <xdr:cNvPr id="18" name="Chart 17">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240391</xdr:colOff>
      <xdr:row>266</xdr:row>
      <xdr:rowOff>0</xdr:rowOff>
    </xdr:from>
    <xdr:to>
      <xdr:col>54</xdr:col>
      <xdr:colOff>101016</xdr:colOff>
      <xdr:row>288</xdr:row>
      <xdr:rowOff>80500</xdr:rowOff>
    </xdr:to>
    <xdr:graphicFrame macro="">
      <xdr:nvGraphicFramePr>
        <xdr:cNvPr id="20" name="Chart 19">
          <a:extLst>
            <a:ext uri="{FF2B5EF4-FFF2-40B4-BE49-F238E27FC236}">
              <a16:creationId xmlns:a16="http://schemas.microsoft.com/office/drawing/2014/main" id="{00000000-0008-0000-0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103</xdr:col>
      <xdr:colOff>394610</xdr:colOff>
      <xdr:row>126</xdr:row>
      <xdr:rowOff>176894</xdr:rowOff>
    </xdr:from>
    <xdr:to>
      <xdr:col>116</xdr:col>
      <xdr:colOff>340177</xdr:colOff>
      <xdr:row>150</xdr:row>
      <xdr:rowOff>40822</xdr:rowOff>
    </xdr:to>
    <xdr:graphicFrame macro="">
      <xdr:nvGraphicFramePr>
        <xdr:cNvPr id="19" name="Chart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117</xdr:col>
      <xdr:colOff>20410</xdr:colOff>
      <xdr:row>126</xdr:row>
      <xdr:rowOff>163285</xdr:rowOff>
    </xdr:from>
    <xdr:to>
      <xdr:col>130</xdr:col>
      <xdr:colOff>564696</xdr:colOff>
      <xdr:row>150</xdr:row>
      <xdr:rowOff>95249</xdr:rowOff>
    </xdr:to>
    <xdr:graphicFrame macro="">
      <xdr:nvGraphicFramePr>
        <xdr:cNvPr id="21" name="Chart 20">
          <a:extLst>
            <a:ext uri="{FF2B5EF4-FFF2-40B4-BE49-F238E27FC236}">
              <a16:creationId xmlns:a16="http://schemas.microsoft.com/office/drawing/2014/main" id="{00000000-0008-0000-0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102</xdr:col>
      <xdr:colOff>31750</xdr:colOff>
      <xdr:row>155</xdr:row>
      <xdr:rowOff>131536</xdr:rowOff>
    </xdr:from>
    <xdr:to>
      <xdr:col>115</xdr:col>
      <xdr:colOff>632879</xdr:colOff>
      <xdr:row>178</xdr:row>
      <xdr:rowOff>85036</xdr:rowOff>
    </xdr:to>
    <xdr:graphicFrame macro="">
      <xdr:nvGraphicFramePr>
        <xdr:cNvPr id="22" name="Chart 21">
          <a:extLst>
            <a:ext uri="{FF2B5EF4-FFF2-40B4-BE49-F238E27FC236}">
              <a16:creationId xmlns:a16="http://schemas.microsoft.com/office/drawing/2014/main" id="{00000000-0008-0000-03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116</xdr:col>
      <xdr:colOff>244925</xdr:colOff>
      <xdr:row>179</xdr:row>
      <xdr:rowOff>183491</xdr:rowOff>
    </xdr:from>
    <xdr:to>
      <xdr:col>129</xdr:col>
      <xdr:colOff>172725</xdr:colOff>
      <xdr:row>203</xdr:row>
      <xdr:rowOff>73491</xdr:rowOff>
    </xdr:to>
    <xdr:graphicFrame macro="">
      <xdr:nvGraphicFramePr>
        <xdr:cNvPr id="23" name="Chart 22">
          <a:extLst>
            <a:ext uri="{FF2B5EF4-FFF2-40B4-BE49-F238E27FC236}">
              <a16:creationId xmlns:a16="http://schemas.microsoft.com/office/drawing/2014/main" id="{00000000-0008-0000-03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113</xdr:col>
      <xdr:colOff>4534</xdr:colOff>
      <xdr:row>237</xdr:row>
      <xdr:rowOff>179161</xdr:rowOff>
    </xdr:from>
    <xdr:to>
      <xdr:col>126</xdr:col>
      <xdr:colOff>550506</xdr:colOff>
      <xdr:row>260</xdr:row>
      <xdr:rowOff>69161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112</xdr:col>
      <xdr:colOff>826635</xdr:colOff>
      <xdr:row>264</xdr:row>
      <xdr:rowOff>15875</xdr:rowOff>
    </xdr:from>
    <xdr:to>
      <xdr:col>126</xdr:col>
      <xdr:colOff>434110</xdr:colOff>
      <xdr:row>287</xdr:row>
      <xdr:rowOff>286875</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112</xdr:col>
      <xdr:colOff>898073</xdr:colOff>
      <xdr:row>208</xdr:row>
      <xdr:rowOff>4534</xdr:rowOff>
    </xdr:from>
    <xdr:to>
      <xdr:col>126</xdr:col>
      <xdr:colOff>806187</xdr:colOff>
      <xdr:row>233</xdr:row>
      <xdr:rowOff>15377</xdr:rowOff>
    </xdr:to>
    <xdr:graphicFrame macro="">
      <xdr:nvGraphicFramePr>
        <xdr:cNvPr id="26" name="Chart 25">
          <a:extLst>
            <a:ext uri="{FF2B5EF4-FFF2-40B4-BE49-F238E27FC236}">
              <a16:creationId xmlns:a16="http://schemas.microsoft.com/office/drawing/2014/main" id="{00000000-0008-0000-03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153</xdr:col>
      <xdr:colOff>23812</xdr:colOff>
      <xdr:row>113</xdr:row>
      <xdr:rowOff>184149</xdr:rowOff>
    </xdr:from>
    <xdr:to>
      <xdr:col>162</xdr:col>
      <xdr:colOff>713612</xdr:colOff>
      <xdr:row>136</xdr:row>
      <xdr:rowOff>116049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153</xdr:col>
      <xdr:colOff>7936</xdr:colOff>
      <xdr:row>159</xdr:row>
      <xdr:rowOff>549274</xdr:rowOff>
    </xdr:from>
    <xdr:to>
      <xdr:col>161</xdr:col>
      <xdr:colOff>365124</xdr:colOff>
      <xdr:row>182</xdr:row>
      <xdr:rowOff>47625</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152</xdr:col>
      <xdr:colOff>777873</xdr:colOff>
      <xdr:row>223</xdr:row>
      <xdr:rowOff>25400</xdr:rowOff>
    </xdr:from>
    <xdr:to>
      <xdr:col>162</xdr:col>
      <xdr:colOff>704848</xdr:colOff>
      <xdr:row>247</xdr:row>
      <xdr:rowOff>147800</xdr:rowOff>
    </xdr:to>
    <xdr:graphicFrame macro="">
      <xdr:nvGraphicFramePr>
        <xdr:cNvPr id="7" name="Chart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152</xdr:col>
      <xdr:colOff>777873</xdr:colOff>
      <xdr:row>254</xdr:row>
      <xdr:rowOff>279399</xdr:rowOff>
    </xdr:from>
    <xdr:to>
      <xdr:col>162</xdr:col>
      <xdr:colOff>769648</xdr:colOff>
      <xdr:row>278</xdr:row>
      <xdr:rowOff>42399</xdr:rowOff>
    </xdr:to>
    <xdr:graphicFrame macro="">
      <xdr:nvGraphicFramePr>
        <xdr:cNvPr id="9" name="Chart 8">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153</xdr:col>
      <xdr:colOff>7937</xdr:colOff>
      <xdr:row>190</xdr:row>
      <xdr:rowOff>549274</xdr:rowOff>
    </xdr:from>
    <xdr:to>
      <xdr:col>161</xdr:col>
      <xdr:colOff>444500</xdr:colOff>
      <xdr:row>215</xdr:row>
      <xdr:rowOff>127000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152</xdr:col>
      <xdr:colOff>809621</xdr:colOff>
      <xdr:row>283</xdr:row>
      <xdr:rowOff>215898</xdr:rowOff>
    </xdr:from>
    <xdr:to>
      <xdr:col>163</xdr:col>
      <xdr:colOff>245284</xdr:colOff>
      <xdr:row>308</xdr:row>
      <xdr:rowOff>37398</xdr:rowOff>
    </xdr:to>
    <xdr:graphicFrame macro="">
      <xdr:nvGraphicFramePr>
        <xdr:cNvPr id="13" name="Chart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19</xdr:col>
      <xdr:colOff>460375</xdr:colOff>
      <xdr:row>152</xdr:row>
      <xdr:rowOff>9525</xdr:rowOff>
    </xdr:from>
    <xdr:to>
      <xdr:col>39</xdr:col>
      <xdr:colOff>730950</xdr:colOff>
      <xdr:row>175</xdr:row>
      <xdr:rowOff>68725</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22</xdr:col>
      <xdr:colOff>278947</xdr:colOff>
      <xdr:row>176</xdr:row>
      <xdr:rowOff>170543</xdr:rowOff>
    </xdr:from>
    <xdr:to>
      <xdr:col>40</xdr:col>
      <xdr:colOff>40821</xdr:colOff>
      <xdr:row>199</xdr:row>
      <xdr:rowOff>8668</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19</xdr:col>
      <xdr:colOff>476250</xdr:colOff>
      <xdr:row>203</xdr:row>
      <xdr:rowOff>25400</xdr:rowOff>
    </xdr:from>
    <xdr:to>
      <xdr:col>39</xdr:col>
      <xdr:colOff>754025</xdr:colOff>
      <xdr:row>225</xdr:row>
      <xdr:rowOff>54025</xdr:rowOff>
    </xdr:to>
    <xdr:graphicFrame macro="">
      <xdr:nvGraphicFramePr>
        <xdr:cNvPr id="15" name="Chart 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22</xdr:col>
      <xdr:colOff>476250</xdr:colOff>
      <xdr:row>237</xdr:row>
      <xdr:rowOff>184150</xdr:rowOff>
    </xdr:from>
    <xdr:to>
      <xdr:col>40</xdr:col>
      <xdr:colOff>23775</xdr:colOff>
      <xdr:row>260</xdr:row>
      <xdr:rowOff>22275</xdr:rowOff>
    </xdr:to>
    <xdr:graphicFrame macro="">
      <xdr:nvGraphicFramePr>
        <xdr:cNvPr id="17" name="Chart 16">
          <a:extLst>
            <a:ext uri="{FF2B5EF4-FFF2-40B4-BE49-F238E27FC236}">
              <a16:creationId xmlns:a16="http://schemas.microsoft.com/office/drawing/2014/main" id="{00000000-0008-0000-03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22</xdr:col>
      <xdr:colOff>353785</xdr:colOff>
      <xdr:row>266</xdr:row>
      <xdr:rowOff>9525</xdr:rowOff>
    </xdr:from>
    <xdr:to>
      <xdr:col>40</xdr:col>
      <xdr:colOff>7899</xdr:colOff>
      <xdr:row>288</xdr:row>
      <xdr:rowOff>54025</xdr:rowOff>
    </xdr:to>
    <xdr:graphicFrame macro="">
      <xdr:nvGraphicFramePr>
        <xdr:cNvPr id="27" name="Chart 26">
          <a:extLst>
            <a:ext uri="{FF2B5EF4-FFF2-40B4-BE49-F238E27FC236}">
              <a16:creationId xmlns:a16="http://schemas.microsoft.com/office/drawing/2014/main" id="{00000000-0008-0000-03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54</xdr:col>
      <xdr:colOff>730249</xdr:colOff>
      <xdr:row>127</xdr:row>
      <xdr:rowOff>9525</xdr:rowOff>
    </xdr:from>
    <xdr:to>
      <xdr:col>67</xdr:col>
      <xdr:colOff>55524</xdr:colOff>
      <xdr:row>150</xdr:row>
      <xdr:rowOff>132825</xdr:rowOff>
    </xdr:to>
    <xdr:graphicFrame macro="">
      <xdr:nvGraphicFramePr>
        <xdr:cNvPr id="29" name="Chart 28">
          <a:extLst>
            <a:ext uri="{FF2B5EF4-FFF2-40B4-BE49-F238E27FC236}">
              <a16:creationId xmlns:a16="http://schemas.microsoft.com/office/drawing/2014/main" id="{00000000-0008-0000-03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54</xdr:col>
      <xdr:colOff>762000</xdr:colOff>
      <xdr:row>151</xdr:row>
      <xdr:rowOff>184150</xdr:rowOff>
    </xdr:from>
    <xdr:to>
      <xdr:col>67</xdr:col>
      <xdr:colOff>87275</xdr:colOff>
      <xdr:row>174</xdr:row>
      <xdr:rowOff>176850</xdr:rowOff>
    </xdr:to>
    <xdr:graphicFrame macro="">
      <xdr:nvGraphicFramePr>
        <xdr:cNvPr id="30" name="Chart 29">
          <a:extLst>
            <a:ext uri="{FF2B5EF4-FFF2-40B4-BE49-F238E27FC236}">
              <a16:creationId xmlns:a16="http://schemas.microsoft.com/office/drawing/2014/main" id="{00000000-0008-0000-03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55</xdr:col>
      <xdr:colOff>15875</xdr:colOff>
      <xdr:row>177</xdr:row>
      <xdr:rowOff>9525</xdr:rowOff>
    </xdr:from>
    <xdr:to>
      <xdr:col>67</xdr:col>
      <xdr:colOff>119025</xdr:colOff>
      <xdr:row>200</xdr:row>
      <xdr:rowOff>49850</xdr:rowOff>
    </xdr:to>
    <xdr:graphicFrame macro="">
      <xdr:nvGraphicFramePr>
        <xdr:cNvPr id="31" name="Chart 30">
          <a:extLst>
            <a:ext uri="{FF2B5EF4-FFF2-40B4-BE49-F238E27FC236}">
              <a16:creationId xmlns:a16="http://schemas.microsoft.com/office/drawing/2014/main" id="{00000000-0008-0000-0300-00001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54</xdr:col>
      <xdr:colOff>730250</xdr:colOff>
      <xdr:row>237</xdr:row>
      <xdr:rowOff>184150</xdr:rowOff>
    </xdr:from>
    <xdr:to>
      <xdr:col>67</xdr:col>
      <xdr:colOff>55525</xdr:colOff>
      <xdr:row>261</xdr:row>
      <xdr:rowOff>33975</xdr:rowOff>
    </xdr:to>
    <xdr:graphicFrame macro="">
      <xdr:nvGraphicFramePr>
        <xdr:cNvPr id="32" name="Chart 31">
          <a:extLst>
            <a:ext uri="{FF2B5EF4-FFF2-40B4-BE49-F238E27FC236}">
              <a16:creationId xmlns:a16="http://schemas.microsoft.com/office/drawing/2014/main" id="{00000000-0008-0000-0300-00002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55</xdr:col>
      <xdr:colOff>15875</xdr:colOff>
      <xdr:row>265</xdr:row>
      <xdr:rowOff>168275</xdr:rowOff>
    </xdr:from>
    <xdr:to>
      <xdr:col>67</xdr:col>
      <xdr:colOff>119025</xdr:colOff>
      <xdr:row>289</xdr:row>
      <xdr:rowOff>33975</xdr:rowOff>
    </xdr:to>
    <xdr:graphicFrame macro="">
      <xdr:nvGraphicFramePr>
        <xdr:cNvPr id="33" name="Chart 32">
          <a:extLst>
            <a:ext uri="{FF2B5EF4-FFF2-40B4-BE49-F238E27FC236}">
              <a16:creationId xmlns:a16="http://schemas.microsoft.com/office/drawing/2014/main" id="{00000000-0008-0000-03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130</xdr:col>
      <xdr:colOff>673555</xdr:colOff>
      <xdr:row>126</xdr:row>
      <xdr:rowOff>166009</xdr:rowOff>
    </xdr:from>
    <xdr:to>
      <xdr:col>142</xdr:col>
      <xdr:colOff>853812</xdr:colOff>
      <xdr:row>150</xdr:row>
      <xdr:rowOff>95209</xdr:rowOff>
    </xdr:to>
    <xdr:graphicFrame macro="">
      <xdr:nvGraphicFramePr>
        <xdr:cNvPr id="34" name="Chart 33">
          <a:extLst>
            <a:ext uri="{FF2B5EF4-FFF2-40B4-BE49-F238E27FC236}">
              <a16:creationId xmlns:a16="http://schemas.microsoft.com/office/drawing/2014/main" id="{00000000-0008-0000-03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116</xdr:col>
      <xdr:colOff>319767</xdr:colOff>
      <xdr:row>155</xdr:row>
      <xdr:rowOff>111579</xdr:rowOff>
    </xdr:from>
    <xdr:to>
      <xdr:col>129</xdr:col>
      <xdr:colOff>826595</xdr:colOff>
      <xdr:row>178</xdr:row>
      <xdr:rowOff>176851</xdr:rowOff>
    </xdr:to>
    <xdr:graphicFrame macro="">
      <xdr:nvGraphicFramePr>
        <xdr:cNvPr id="10" name="Chart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130</xdr:col>
      <xdr:colOff>88447</xdr:colOff>
      <xdr:row>155</xdr:row>
      <xdr:rowOff>138794</xdr:rowOff>
    </xdr:from>
    <xdr:to>
      <xdr:col>142</xdr:col>
      <xdr:colOff>268703</xdr:colOff>
      <xdr:row>179</xdr:row>
      <xdr:rowOff>13566</xdr:rowOff>
    </xdr:to>
    <xdr:graphicFrame macro="">
      <xdr:nvGraphicFramePr>
        <xdr:cNvPr id="28" name="Chart 27">
          <a:extLst>
            <a:ext uri="{FF2B5EF4-FFF2-40B4-BE49-F238E27FC236}">
              <a16:creationId xmlns:a16="http://schemas.microsoft.com/office/drawing/2014/main" id="{00000000-0008-0000-03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101</xdr:col>
      <xdr:colOff>591910</xdr:colOff>
      <xdr:row>179</xdr:row>
      <xdr:rowOff>179614</xdr:rowOff>
    </xdr:from>
    <xdr:to>
      <xdr:col>115</xdr:col>
      <xdr:colOff>608881</xdr:colOff>
      <xdr:row>203</xdr:row>
      <xdr:rowOff>54385</xdr:rowOff>
    </xdr:to>
    <xdr:graphicFrame macro="">
      <xdr:nvGraphicFramePr>
        <xdr:cNvPr id="35" name="Chart 34">
          <a:extLst>
            <a:ext uri="{FF2B5EF4-FFF2-40B4-BE49-F238E27FC236}">
              <a16:creationId xmlns:a16="http://schemas.microsoft.com/office/drawing/2014/main" id="{00000000-0008-0000-03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129</xdr:col>
      <xdr:colOff>292555</xdr:colOff>
      <xdr:row>180</xdr:row>
      <xdr:rowOff>2722</xdr:rowOff>
    </xdr:from>
    <xdr:to>
      <xdr:col>141</xdr:col>
      <xdr:colOff>472811</xdr:colOff>
      <xdr:row>203</xdr:row>
      <xdr:rowOff>67993</xdr:rowOff>
    </xdr:to>
    <xdr:graphicFrame macro="">
      <xdr:nvGraphicFramePr>
        <xdr:cNvPr id="36" name="Chart 35">
          <a:extLst>
            <a:ext uri="{FF2B5EF4-FFF2-40B4-BE49-F238E27FC236}">
              <a16:creationId xmlns:a16="http://schemas.microsoft.com/office/drawing/2014/main" id="{00000000-0008-0000-03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97</xdr:col>
      <xdr:colOff>727982</xdr:colOff>
      <xdr:row>208</xdr:row>
      <xdr:rowOff>16329</xdr:rowOff>
    </xdr:from>
    <xdr:to>
      <xdr:col>112</xdr:col>
      <xdr:colOff>404775</xdr:colOff>
      <xdr:row>233</xdr:row>
      <xdr:rowOff>27172</xdr:rowOff>
    </xdr:to>
    <xdr:graphicFrame macro="">
      <xdr:nvGraphicFramePr>
        <xdr:cNvPr id="37" name="Chart 36">
          <a:extLst>
            <a:ext uri="{FF2B5EF4-FFF2-40B4-BE49-F238E27FC236}">
              <a16:creationId xmlns:a16="http://schemas.microsoft.com/office/drawing/2014/main" id="{00000000-0008-0000-03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98</xdr:col>
      <xdr:colOff>483049</xdr:colOff>
      <xdr:row>237</xdr:row>
      <xdr:rowOff>179615</xdr:rowOff>
    </xdr:from>
    <xdr:to>
      <xdr:col>112</xdr:col>
      <xdr:colOff>894628</xdr:colOff>
      <xdr:row>261</xdr:row>
      <xdr:rowOff>54386</xdr:rowOff>
    </xdr:to>
    <xdr:graphicFrame macro="">
      <xdr:nvGraphicFramePr>
        <xdr:cNvPr id="38" name="Chart 37">
          <a:extLst>
            <a:ext uri="{FF2B5EF4-FFF2-40B4-BE49-F238E27FC236}">
              <a16:creationId xmlns:a16="http://schemas.microsoft.com/office/drawing/2014/main" id="{00000000-0008-0000-03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127</xdr:col>
      <xdr:colOff>306161</xdr:colOff>
      <xdr:row>237</xdr:row>
      <xdr:rowOff>166008</xdr:rowOff>
    </xdr:from>
    <xdr:to>
      <xdr:col>139</xdr:col>
      <xdr:colOff>486418</xdr:colOff>
      <xdr:row>261</xdr:row>
      <xdr:rowOff>40779</xdr:rowOff>
    </xdr:to>
    <xdr:graphicFrame macro="">
      <xdr:nvGraphicFramePr>
        <xdr:cNvPr id="39" name="Chart 38">
          <a:extLst>
            <a:ext uri="{FF2B5EF4-FFF2-40B4-BE49-F238E27FC236}">
              <a16:creationId xmlns:a16="http://schemas.microsoft.com/office/drawing/2014/main" id="{00000000-0008-0000-0300-00002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98</xdr:col>
      <xdr:colOff>29764</xdr:colOff>
      <xdr:row>263</xdr:row>
      <xdr:rowOff>170258</xdr:rowOff>
    </xdr:from>
    <xdr:to>
      <xdr:col>112</xdr:col>
      <xdr:colOff>410726</xdr:colOff>
      <xdr:row>287</xdr:row>
      <xdr:rowOff>420927</xdr:rowOff>
    </xdr:to>
    <xdr:graphicFrame macro="">
      <xdr:nvGraphicFramePr>
        <xdr:cNvPr id="40" name="Chart 39">
          <a:extLst>
            <a:ext uri="{FF2B5EF4-FFF2-40B4-BE49-F238E27FC236}">
              <a16:creationId xmlns:a16="http://schemas.microsoft.com/office/drawing/2014/main" id="{00000000-0008-0000-0300-00002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127</xdr:col>
      <xdr:colOff>244077</xdr:colOff>
      <xdr:row>264</xdr:row>
      <xdr:rowOff>3571</xdr:rowOff>
    </xdr:from>
    <xdr:to>
      <xdr:col>139</xdr:col>
      <xdr:colOff>363102</xdr:colOff>
      <xdr:row>287</xdr:row>
      <xdr:rowOff>444740</xdr:rowOff>
    </xdr:to>
    <xdr:graphicFrame macro="">
      <xdr:nvGraphicFramePr>
        <xdr:cNvPr id="41" name="Chart 40">
          <a:extLst>
            <a:ext uri="{FF2B5EF4-FFF2-40B4-BE49-F238E27FC236}">
              <a16:creationId xmlns:a16="http://schemas.microsoft.com/office/drawing/2014/main" id="{00000000-0008-0000-03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69850</xdr:colOff>
          <xdr:row>2</xdr:row>
          <xdr:rowOff>38100</xdr:rowOff>
        </xdr:from>
        <xdr:to>
          <xdr:col>7</xdr:col>
          <xdr:colOff>819150</xdr:colOff>
          <xdr:row>2</xdr:row>
          <xdr:rowOff>247650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xdr:row>
          <xdr:rowOff>31750</xdr:rowOff>
        </xdr:from>
        <xdr:to>
          <xdr:col>10</xdr:col>
          <xdr:colOff>19050</xdr:colOff>
          <xdr:row>2</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Weight ODI by PR19</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0</xdr:row>
          <xdr:rowOff>31750</xdr:rowOff>
        </xdr:from>
        <xdr:to>
          <xdr:col>2</xdr:col>
          <xdr:colOff>2571750</xdr:colOff>
          <xdr:row>1</xdr:row>
          <xdr:rowOff>38100</xdr:rowOff>
        </xdr:to>
        <xdr:sp macro="" textlink="">
          <xdr:nvSpPr>
            <xdr:cNvPr id="96257" name="Drop Down 1" hidden="1">
              <a:extLst>
                <a:ext uri="{63B3BB69-23CF-44E3-9099-C40C66FF867C}">
                  <a14:compatExt spid="_x0000_s96257"/>
                </a:ext>
                <a:ext uri="{FF2B5EF4-FFF2-40B4-BE49-F238E27FC236}">
                  <a16:creationId xmlns:a16="http://schemas.microsoft.com/office/drawing/2014/main" id="{00000000-0008-0000-0600-000001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xdr:row>
          <xdr:rowOff>0</xdr:rowOff>
        </xdr:from>
        <xdr:to>
          <xdr:col>3</xdr:col>
          <xdr:colOff>2070100</xdr:colOff>
          <xdr:row>2</xdr:row>
          <xdr:rowOff>0</xdr:rowOff>
        </xdr:to>
        <xdr:sp macro="" textlink="">
          <xdr:nvSpPr>
            <xdr:cNvPr id="101377" name="Drop Down 1" hidden="1">
              <a:extLst>
                <a:ext uri="{63B3BB69-23CF-44E3-9099-C40C66FF867C}">
                  <a14:compatExt spid="_x0000_s101377"/>
                </a:ext>
                <a:ext uri="{FF2B5EF4-FFF2-40B4-BE49-F238E27FC236}">
                  <a16:creationId xmlns:a16="http://schemas.microsoft.com/office/drawing/2014/main" id="{00000000-0008-0000-0900-0000018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2</xdr:row>
      <xdr:rowOff>0</xdr:rowOff>
    </xdr:from>
    <xdr:to>
      <xdr:col>13</xdr:col>
      <xdr:colOff>409575</xdr:colOff>
      <xdr:row>34</xdr:row>
      <xdr:rowOff>180975</xdr:rowOff>
    </xdr:to>
    <xdr:pic>
      <xdr:nvPicPr>
        <xdr:cNvPr id="2" name="Picture 3">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1000"/>
          <a:ext cx="7115175" cy="6276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37</xdr:row>
      <xdr:rowOff>0</xdr:rowOff>
    </xdr:from>
    <xdr:to>
      <xdr:col>9</xdr:col>
      <xdr:colOff>361950</xdr:colOff>
      <xdr:row>62</xdr:row>
      <xdr:rowOff>38100</xdr:rowOff>
    </xdr:to>
    <xdr:pic>
      <xdr:nvPicPr>
        <xdr:cNvPr id="3" name="Picture 4">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219200" y="7048500"/>
          <a:ext cx="4629150" cy="480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63</xdr:row>
      <xdr:rowOff>0</xdr:rowOff>
    </xdr:from>
    <xdr:to>
      <xdr:col>9</xdr:col>
      <xdr:colOff>361950</xdr:colOff>
      <xdr:row>79</xdr:row>
      <xdr:rowOff>9525</xdr:rowOff>
    </xdr:to>
    <xdr:pic>
      <xdr:nvPicPr>
        <xdr:cNvPr id="5" name="Picture 5">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9200" y="12001500"/>
          <a:ext cx="4629150" cy="305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avid Pearmain" id="{98B6DCEE-D1AB-4115-96DB-5978DF2B35EE}" userId="S::david.pearmain@impactmr.com::fb2ced98-7440-4572-a994-f562b6c5f965" providerId="AD"/>
</personList>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JM1">
  <a:themeElements>
    <a:clrScheme name="Accentpresentation">
      <a:dk1>
        <a:srgbClr val="00769E"/>
      </a:dk1>
      <a:lt1>
        <a:srgbClr val="FFFFFF"/>
      </a:lt1>
      <a:dk2>
        <a:srgbClr val="022B3A"/>
      </a:dk2>
      <a:lt2>
        <a:srgbClr val="EFEAFF"/>
      </a:lt2>
      <a:accent1>
        <a:srgbClr val="022B3A"/>
      </a:accent1>
      <a:accent2>
        <a:srgbClr val="00769E"/>
      </a:accent2>
      <a:accent3>
        <a:srgbClr val="0CA6C9"/>
      </a:accent3>
      <a:accent4>
        <a:srgbClr val="CFCFEA"/>
      </a:accent4>
      <a:accent5>
        <a:srgbClr val="EFEAFF"/>
      </a:accent5>
      <a:accent6>
        <a:srgbClr val="C00000"/>
      </a:accent6>
      <a:hlink>
        <a:srgbClr val="00769E"/>
      </a:hlink>
      <a:folHlink>
        <a:srgbClr val="0CA6C9"/>
      </a:folHlink>
    </a:clrScheme>
    <a:fontScheme name="AccentX">
      <a:majorFont>
        <a:latin typeface="Calibri Light"/>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gradFill rotWithShape="1">
          <a:gsLst>
            <a:gs pos="0">
              <a:schemeClr val="phClr">
                <a:shade val="45000"/>
                <a:satMod val="150000"/>
              </a:schemeClr>
            </a:gs>
            <a:gs pos="35000">
              <a:schemeClr val="phClr">
                <a:shade val="60000"/>
                <a:satMod val="150000"/>
              </a:schemeClr>
            </a:gs>
            <a:gs pos="100000">
              <a:schemeClr val="phClr">
                <a:tint val="97000"/>
                <a:satMod val="200000"/>
              </a:schemeClr>
            </a:gs>
          </a:gsLst>
          <a:lin ang="16200000" scaled="1"/>
        </a:gra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
        </a:blipFill>
      </a:bgFillStyleLst>
    </a:fmtScheme>
  </a:themeElements>
  <a:objectDefaults>
    <a:spDef>
      <a:spPr>
        <a:solidFill>
          <a:srgbClr val="CFCFEA"/>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101600">
          <a:solidFill>
            <a:srgbClr val="0CA6CA"/>
          </a:solidFill>
          <a:tailEnd type="triangle"/>
        </a:ln>
      </a:spPr>
      <a:bodyPr/>
      <a:lstStyle/>
      <a:style>
        <a:lnRef idx="1">
          <a:schemeClr val="accent1"/>
        </a:lnRef>
        <a:fillRef idx="0">
          <a:schemeClr val="accent1"/>
        </a:fillRef>
        <a:effectRef idx="0">
          <a:schemeClr val="accent1"/>
        </a:effectRef>
        <a:fontRef idx="minor">
          <a:schemeClr val="tx1"/>
        </a:fontRef>
      </a:style>
    </a:lnDef>
    <a:txDef>
      <a:spPr>
        <a:solidFill>
          <a:srgbClr val="CFCFEA"/>
        </a:solidFill>
      </a:spPr>
      <a:bodyPr wrap="square" rtlCol="0">
        <a:spAutoFit/>
      </a:bodyPr>
      <a:lstStyle>
        <a:defPPr>
          <a:defRPr sz="1600" dirty="0" smtClean="0">
            <a:solidFill>
              <a:schemeClr val="bg1"/>
            </a:solidFill>
            <a:latin typeface="Calibri" pitchFamily="34" charset="0"/>
          </a:defRPr>
        </a:defPPr>
      </a:lstStyle>
    </a:txDef>
  </a:objectDefaults>
  <a:extraClrSchemeLst/>
  <a:extLst>
    <a:ext uri="{05A4C25C-085E-4340-85A3-A5531E510DB2}">
      <thm15:themeFamily xmlns:thm15="http://schemas.microsoft.com/office/thememl/2012/main" name="PJM1" id="{EAA9BA25-5CE6-44A5-9CAD-81103402F1B5}" vid="{EA932209-4198-4B87-B65D-B0A6378CBFFA}"/>
    </a:ext>
  </a:extLst>
</a:theme>
</file>

<file path=xl/threadedComments/threadedComment1.xml><?xml version="1.0" encoding="utf-8"?>
<ThreadedComments xmlns="http://schemas.microsoft.com/office/spreadsheetml/2018/threadedcomments" xmlns:x="http://schemas.openxmlformats.org/spreadsheetml/2006/main">
  <threadedComment ref="B58" dT="2023-02-21T14:39:19.90" personId="{98B6DCEE-D1AB-4115-96DB-5978DF2B35EE}" id="{3B9E0E27-92D1-4845-B26B-1F0EB0BE9F45}">
    <text>https://www.itv.com/news/2022-08-09/which-water-companies-are-leaking-the-most-as-areas-are-hit-by-hosepipe-bans</text>
    <extLst>
      <x:ext xmlns:xltc2="http://schemas.microsoft.com/office/spreadsheetml/2020/threadedcomments2" uri="{F7C98A9C-CBB3-438F-8F68-D28B6AF4A901}">
        <xltc2:checksum>559506960</xltc2:checksum>
        <xltc2:hyperlink startIndex="0" length="112" url="https://www.itv.com/news/2022-08-09/which-water-companies-are-leaking-the-most-as-areas-are-hit-by-hosepipe-bans"/>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3-01-16T17:13:07.51" personId="{98B6DCEE-D1AB-4115-96DB-5978DF2B35EE}" id="{A9B58DBE-4F85-436C-BB55-9614EF929A09}">
    <text>Adapted from the original workings - all additions or updates marked in red with white text</text>
  </threadedComment>
</ThreadedComments>
</file>

<file path=xl/threadedComments/threadedComment3.xml><?xml version="1.0" encoding="utf-8"?>
<ThreadedComments xmlns="http://schemas.microsoft.com/office/spreadsheetml/2018/threadedcomments" xmlns:x="http://schemas.openxmlformats.org/spreadsheetml/2006/main">
  <threadedComment ref="J48" dT="2022-11-22T14:10:49.62" personId="{98B6DCEE-D1AB-4115-96DB-5978DF2B35EE}" id="{2ED305E7-17AB-487E-978E-71C89D25813B}">
    <text>Past priorities weighted against Safety value</text>
  </threadedComment>
  <threadedComment ref="X48" dT="2022-11-22T14:10:49.62" personId="{98B6DCEE-D1AB-4115-96DB-5978DF2B35EE}" id="{4F62E993-B3B8-4425-B79C-C96C8467CEC3}">
    <text>Past priorities weighted against Safety value</text>
  </threadedComment>
  <threadedComment ref="J49" dT="2022-11-22T16:09:11.19" personId="{98B6DCEE-D1AB-4115-96DB-5978DF2B35EE}" id="{1978EEFA-EC2F-4C58-86A9-04FA89F939EB}">
    <text>Year 1 priorities weighted against Safety value</text>
  </threadedComment>
  <threadedComment ref="X49" dT="2022-11-22T16:09:11.19" personId="{98B6DCEE-D1AB-4115-96DB-5978DF2B35EE}" id="{89E08950-5693-4A76-A317-5B0D845CCD09}">
    <text>Year 1 priorities weighted against Safety value</text>
  </threadedComment>
  <threadedComment ref="J53" dT="2022-11-22T14:10:49.62" personId="{98B6DCEE-D1AB-4115-96DB-5978DF2B35EE}" id="{D431C054-0933-48D2-9DAE-6FB8660745D4}">
    <text>Past priorities weighted against Safety value</text>
  </threadedComment>
  <threadedComment ref="X53" dT="2022-11-22T14:10:49.62" personId="{98B6DCEE-D1AB-4115-96DB-5978DF2B35EE}" id="{380D5478-C82C-4FD3-A5FD-A2731AE8641F}">
    <text>Past priorities weighted against Safety value</text>
  </threadedComment>
</ThreadedComments>
</file>

<file path=xl/threadedComments/threadedComment4.xml><?xml version="1.0" encoding="utf-8"?>
<ThreadedComments xmlns="http://schemas.microsoft.com/office/spreadsheetml/2018/threadedcomments" xmlns:x="http://schemas.openxmlformats.org/spreadsheetml/2006/main">
  <threadedComment ref="S1" dT="2023-01-16T17:22:02.21" personId="{98B6DCEE-D1AB-4115-96DB-5978DF2B35EE}" id="{950AE9F8-CBC5-441C-95CF-923140C99E75}">
    <text>Updates not available for CAM</text>
  </threadedComment>
</ThreadedComments>
</file>

<file path=xl/threadedComments/threadedComment5.xml><?xml version="1.0" encoding="utf-8"?>
<ThreadedComments xmlns="http://schemas.microsoft.com/office/spreadsheetml/2018/threadedcomments" xmlns:x="http://schemas.openxmlformats.org/spreadsheetml/2006/main">
  <threadedComment ref="T1" dT="2023-01-16T17:22:02.21" personId="{98B6DCEE-D1AB-4115-96DB-5978DF2B35EE}" id="{D88A701B-2918-459B-ACF2-95F741F553A9}">
    <text>Updates not available for CAM</text>
  </threadedComment>
  <threadedComment ref="D4" dT="2022-11-22T17:13:31.94" personId="{98B6DCEE-D1AB-4115-96DB-5978DF2B35EE}" id="{7661C860-AAFB-450D-8BFC-6090501CC42B}">
    <text>Option to also use Effort score, but this captures the driver relationship best</text>
  </threadedComment>
  <threadedComment ref="K6" dT="2022-11-15T10:02:00.79" personId="{98B6DCEE-D1AB-4115-96DB-5978DF2B35EE}" id="{8FCD3F26-3040-435C-BC7F-924198301F1B}">
    <text>=MAX(-D6,0)</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paul@pjmeconomics.co.uk" TargetMode="External"/><Relationship Id="rId2" Type="http://schemas.openxmlformats.org/officeDocument/2006/relationships/hyperlink" Target="http://www.pjmeconomics.co.uk/" TargetMode="External"/><Relationship Id="rId1" Type="http://schemas.openxmlformats.org/officeDocument/2006/relationships/hyperlink" Target="mailto:paul@pjmeconomics.co.u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pjmeconomics.co.uk/" TargetMode="Externa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6.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3.xml"/></Relationships>
</file>

<file path=xl/worksheets/_rels/sheet22.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6.xml"/><Relationship Id="rId1" Type="http://schemas.openxmlformats.org/officeDocument/2006/relationships/vmlDrawing" Target="../drawings/vmlDrawing8.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11.bin"/><Relationship Id="rId4" Type="http://schemas.microsoft.com/office/2017/10/relationships/threadedComment" Target="../threadedComments/threadedComment5.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0.v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86"/>
  <sheetViews>
    <sheetView tabSelected="1" zoomScale="80" zoomScaleNormal="80" workbookViewId="0">
      <selection activeCell="I26" sqref="I26"/>
    </sheetView>
  </sheetViews>
  <sheetFormatPr defaultColWidth="0" defaultRowHeight="14.5" zeroHeight="1" x14ac:dyDescent="0.35"/>
  <cols>
    <col min="1" max="1" width="8.81640625" customWidth="1"/>
    <col min="2" max="2" width="25.7265625" customWidth="1"/>
    <col min="3" max="18" width="11" customWidth="1"/>
    <col min="19" max="19" width="20" customWidth="1"/>
    <col min="20" max="16384" width="8.81640625" hidden="1"/>
  </cols>
  <sheetData>
    <row r="1" spans="1:19" x14ac:dyDescent="0.35">
      <c r="A1" s="238"/>
      <c r="B1" s="238"/>
      <c r="C1" s="238"/>
      <c r="D1" s="238"/>
      <c r="E1" s="238"/>
      <c r="F1" s="238"/>
      <c r="G1" s="238"/>
      <c r="H1" s="238"/>
      <c r="I1" s="238"/>
      <c r="J1" s="238"/>
      <c r="K1" s="238"/>
      <c r="L1" s="238"/>
      <c r="M1" s="238"/>
      <c r="N1" s="238"/>
      <c r="O1" s="238"/>
      <c r="P1" s="238"/>
      <c r="Q1" s="238"/>
      <c r="R1" s="238"/>
      <c r="S1" s="238"/>
    </row>
    <row r="2" spans="1:19" x14ac:dyDescent="0.35">
      <c r="A2" s="238"/>
      <c r="B2" s="238"/>
      <c r="C2" s="238"/>
      <c r="D2" s="238"/>
      <c r="E2" s="238"/>
      <c r="F2" s="238"/>
      <c r="G2" s="238"/>
      <c r="H2" s="238"/>
      <c r="I2" s="238"/>
      <c r="J2" s="238"/>
      <c r="K2" s="238"/>
      <c r="L2" s="238"/>
      <c r="M2" s="238"/>
      <c r="N2" s="238"/>
      <c r="O2" s="238"/>
      <c r="P2" s="238"/>
      <c r="Q2" s="238"/>
      <c r="R2" s="238"/>
      <c r="S2" s="238"/>
    </row>
    <row r="3" spans="1:19" x14ac:dyDescent="0.35">
      <c r="A3" s="238"/>
      <c r="B3" s="238"/>
      <c r="C3" s="238"/>
      <c r="D3" s="238"/>
      <c r="E3" s="238"/>
      <c r="F3" s="238"/>
      <c r="G3" s="238"/>
      <c r="H3" s="238"/>
      <c r="I3" s="238"/>
      <c r="J3" s="238"/>
      <c r="K3" s="238"/>
      <c r="L3" s="238"/>
      <c r="M3" s="238"/>
      <c r="N3" s="238"/>
      <c r="O3" s="238"/>
      <c r="P3" s="238"/>
      <c r="Q3" s="238"/>
      <c r="R3" s="238"/>
      <c r="S3" s="238"/>
    </row>
    <row r="4" spans="1:19" x14ac:dyDescent="0.35">
      <c r="A4" s="238"/>
      <c r="B4" s="238"/>
      <c r="C4" s="238"/>
      <c r="D4" s="238"/>
      <c r="E4" s="238"/>
      <c r="F4" s="238"/>
      <c r="G4" s="238"/>
      <c r="H4" s="238"/>
      <c r="I4" s="238"/>
      <c r="J4" s="238"/>
      <c r="K4" s="238"/>
      <c r="L4" s="238"/>
      <c r="M4" s="238"/>
      <c r="N4" s="238"/>
      <c r="O4" s="238"/>
      <c r="P4" s="238"/>
      <c r="Q4" s="238"/>
      <c r="R4" s="238"/>
      <c r="S4" s="238"/>
    </row>
    <row r="5" spans="1:19" ht="28.5" x14ac:dyDescent="0.65">
      <c r="A5" s="238"/>
      <c r="B5" s="239" t="s">
        <v>1252</v>
      </c>
      <c r="C5" s="238"/>
      <c r="D5" s="238"/>
      <c r="E5" s="238"/>
      <c r="F5" s="238"/>
      <c r="G5" s="238"/>
      <c r="H5" s="238"/>
      <c r="I5" s="238"/>
      <c r="J5" s="238"/>
      <c r="K5" s="238"/>
      <c r="L5" s="238"/>
      <c r="M5" s="238"/>
      <c r="N5" s="238"/>
      <c r="O5" s="238"/>
      <c r="P5" s="238"/>
      <c r="Q5" s="238"/>
      <c r="R5" s="238"/>
      <c r="S5" s="238"/>
    </row>
    <row r="6" spans="1:19" ht="28.5" x14ac:dyDescent="0.65">
      <c r="A6" s="238"/>
      <c r="B6" s="240" t="s">
        <v>1241</v>
      </c>
      <c r="C6" s="238"/>
      <c r="D6" s="238"/>
      <c r="E6" s="238"/>
      <c r="F6" s="238"/>
      <c r="G6" s="238"/>
      <c r="H6" s="238"/>
      <c r="I6" s="238"/>
      <c r="J6" s="238"/>
      <c r="K6" s="238"/>
      <c r="L6" s="238"/>
      <c r="M6" s="238"/>
      <c r="N6" s="238"/>
      <c r="O6" s="238"/>
      <c r="P6" s="238"/>
      <c r="Q6" s="238"/>
      <c r="R6" s="238"/>
      <c r="S6" s="238"/>
    </row>
    <row r="7" spans="1:19" x14ac:dyDescent="0.35">
      <c r="A7" s="238"/>
      <c r="B7" s="238"/>
      <c r="C7" s="238"/>
      <c r="D7" s="238"/>
      <c r="E7" s="238"/>
      <c r="F7" s="238"/>
      <c r="G7" s="238"/>
      <c r="H7" s="238"/>
      <c r="I7" s="238"/>
      <c r="J7" s="238"/>
      <c r="K7" s="238"/>
      <c r="L7" s="238"/>
      <c r="M7" s="238"/>
      <c r="N7" s="238"/>
      <c r="O7" s="238"/>
      <c r="P7" s="238"/>
      <c r="Q7" s="238"/>
      <c r="R7" s="238"/>
      <c r="S7" s="238"/>
    </row>
    <row r="8" spans="1:19" x14ac:dyDescent="0.35">
      <c r="A8" s="238"/>
      <c r="B8" s="238"/>
      <c r="C8" s="238"/>
      <c r="D8" s="238"/>
      <c r="E8" s="238"/>
      <c r="F8" s="238"/>
      <c r="G8" s="238"/>
      <c r="H8" s="238"/>
      <c r="I8" s="238"/>
      <c r="J8" s="238"/>
      <c r="K8" s="238"/>
      <c r="L8" s="238"/>
      <c r="M8" s="238"/>
      <c r="N8" s="238"/>
      <c r="O8" s="238"/>
      <c r="P8" s="238"/>
      <c r="Q8" s="238"/>
      <c r="R8" s="238"/>
      <c r="S8" s="238"/>
    </row>
    <row r="9" spans="1:19" x14ac:dyDescent="0.35">
      <c r="A9" s="238"/>
      <c r="B9" s="238"/>
      <c r="C9" s="238"/>
      <c r="D9" s="238"/>
      <c r="E9" s="238"/>
      <c r="F9" s="238"/>
      <c r="G9" s="238"/>
      <c r="H9" s="238"/>
      <c r="I9" s="238"/>
      <c r="J9" s="238"/>
      <c r="K9" s="238"/>
      <c r="L9" s="238"/>
      <c r="M9" s="238"/>
      <c r="N9" s="238"/>
      <c r="O9" s="238"/>
      <c r="P9" s="238"/>
      <c r="Q9" s="238"/>
      <c r="R9" s="238"/>
      <c r="S9" s="238"/>
    </row>
    <row r="10" spans="1:19" x14ac:dyDescent="0.35">
      <c r="A10" s="238"/>
      <c r="B10" s="238"/>
      <c r="C10" s="238"/>
      <c r="D10" s="238"/>
      <c r="E10" s="238"/>
      <c r="F10" s="238"/>
      <c r="G10" s="238"/>
      <c r="H10" s="238"/>
      <c r="I10" s="238"/>
      <c r="J10" s="238"/>
      <c r="K10" s="238"/>
      <c r="L10" s="238"/>
      <c r="M10" s="238"/>
      <c r="N10" s="238"/>
      <c r="O10" s="238"/>
      <c r="P10" s="238"/>
      <c r="Q10" s="238"/>
      <c r="R10" s="238"/>
      <c r="S10" s="238"/>
    </row>
    <row r="11" spans="1:19" x14ac:dyDescent="0.35">
      <c r="A11" s="1"/>
      <c r="B11" s="1"/>
      <c r="C11" s="1"/>
      <c r="D11" s="1"/>
      <c r="E11" s="1"/>
      <c r="F11" s="1"/>
      <c r="G11" s="1"/>
      <c r="H11" s="1"/>
      <c r="I11" s="1"/>
      <c r="J11" s="1"/>
      <c r="K11" s="1"/>
      <c r="L11" s="1"/>
      <c r="M11" s="1"/>
      <c r="N11" s="1"/>
      <c r="O11" s="1"/>
      <c r="P11" s="1"/>
      <c r="Q11" s="1"/>
      <c r="R11" s="1"/>
      <c r="S11" s="1"/>
    </row>
    <row r="12" spans="1:19" x14ac:dyDescent="0.35">
      <c r="A12" s="1"/>
      <c r="B12" s="1"/>
      <c r="C12" s="1"/>
      <c r="D12" s="1"/>
      <c r="E12" s="1"/>
      <c r="F12" s="1"/>
      <c r="G12" s="1"/>
      <c r="H12" s="1"/>
      <c r="I12" s="1"/>
      <c r="J12" s="1"/>
      <c r="K12" s="1"/>
      <c r="L12" s="1"/>
      <c r="M12" s="1"/>
      <c r="N12" s="1"/>
      <c r="O12" s="1"/>
      <c r="P12" s="1"/>
      <c r="Q12" s="1"/>
      <c r="R12" s="1"/>
      <c r="S12" s="1"/>
    </row>
    <row r="13" spans="1:19" ht="18.5" x14ac:dyDescent="0.45">
      <c r="A13" s="1"/>
      <c r="B13" s="953" t="s">
        <v>1251</v>
      </c>
      <c r="C13" s="1"/>
      <c r="D13" s="1"/>
      <c r="E13" s="1"/>
      <c r="F13" s="1"/>
      <c r="G13" s="1"/>
      <c r="H13" s="1"/>
      <c r="I13" s="1"/>
      <c r="J13" s="1"/>
      <c r="K13" s="1"/>
      <c r="L13" s="1"/>
      <c r="M13" s="1"/>
      <c r="N13" s="1"/>
      <c r="O13" s="1"/>
      <c r="P13" s="1"/>
      <c r="Q13" s="1"/>
      <c r="R13" s="1"/>
      <c r="S13" s="1"/>
    </row>
    <row r="14" spans="1:19" x14ac:dyDescent="0.35">
      <c r="A14" s="1"/>
      <c r="B14" s="1"/>
      <c r="C14" s="1"/>
      <c r="D14" s="1"/>
      <c r="E14" s="1"/>
      <c r="F14" s="1"/>
      <c r="G14" s="1"/>
      <c r="H14" s="1"/>
      <c r="I14" s="1"/>
      <c r="J14" s="1"/>
      <c r="K14" s="1"/>
      <c r="L14" s="1"/>
      <c r="M14" s="1"/>
      <c r="N14" s="1"/>
      <c r="O14" s="1"/>
      <c r="P14" s="1"/>
      <c r="Q14" s="1"/>
      <c r="R14" s="1"/>
      <c r="S14" s="1"/>
    </row>
    <row r="15" spans="1:19" x14ac:dyDescent="0.35">
      <c r="A15" s="1"/>
      <c r="B15" s="1"/>
      <c r="C15" s="1"/>
      <c r="D15" s="1"/>
      <c r="E15" s="1"/>
      <c r="F15" s="1"/>
      <c r="G15" s="1"/>
      <c r="H15" s="1"/>
      <c r="I15" s="1"/>
      <c r="J15" s="1"/>
      <c r="K15" s="1"/>
      <c r="L15" s="1"/>
      <c r="M15" s="1"/>
      <c r="N15" s="1"/>
      <c r="O15" s="1"/>
      <c r="P15" s="1"/>
      <c r="Q15" s="1"/>
      <c r="R15" s="1"/>
      <c r="S15" s="1"/>
    </row>
    <row r="16" spans="1:19" x14ac:dyDescent="0.35">
      <c r="A16" s="1"/>
      <c r="B16" s="1"/>
      <c r="C16" s="1"/>
      <c r="D16" s="1"/>
      <c r="E16" s="1"/>
      <c r="F16" s="1"/>
      <c r="G16" s="1"/>
      <c r="H16" s="1"/>
      <c r="I16" s="1"/>
      <c r="J16" s="1"/>
      <c r="K16" s="1"/>
      <c r="L16" s="1"/>
      <c r="M16" s="1"/>
      <c r="N16" s="1"/>
      <c r="O16" s="1"/>
      <c r="P16" s="1"/>
      <c r="Q16" s="1"/>
      <c r="R16" s="1"/>
      <c r="S16" s="1"/>
    </row>
    <row r="17" spans="1:19" x14ac:dyDescent="0.35">
      <c r="A17" s="1"/>
      <c r="B17" s="172" t="s">
        <v>1244</v>
      </c>
      <c r="C17" s="562"/>
      <c r="D17" s="664"/>
      <c r="E17" s="665"/>
      <c r="F17" s="652"/>
      <c r="G17" s="1"/>
      <c r="H17" s="1"/>
      <c r="I17" s="1"/>
      <c r="J17" s="1"/>
      <c r="K17" s="1"/>
      <c r="L17" s="1"/>
      <c r="M17" s="1"/>
      <c r="N17" s="1"/>
      <c r="O17" s="1"/>
      <c r="P17" s="1"/>
      <c r="Q17" s="1"/>
      <c r="R17" s="1"/>
      <c r="S17" s="1"/>
    </row>
    <row r="18" spans="1:19" x14ac:dyDescent="0.35">
      <c r="A18" s="1"/>
      <c r="B18" s="173"/>
      <c r="C18" s="665"/>
      <c r="D18" s="665"/>
      <c r="F18" s="652"/>
      <c r="G18" s="1"/>
      <c r="H18" s="1"/>
      <c r="I18" s="1"/>
      <c r="J18" s="1"/>
      <c r="K18" s="1"/>
      <c r="L18" s="1"/>
      <c r="M18" s="1"/>
      <c r="N18" s="1"/>
      <c r="O18" s="1"/>
      <c r="P18" s="1"/>
      <c r="Q18" s="1"/>
      <c r="R18" s="1"/>
      <c r="S18" s="1"/>
    </row>
    <row r="19" spans="1:19" x14ac:dyDescent="0.35">
      <c r="A19" s="1"/>
      <c r="B19" s="173"/>
      <c r="C19" s="173"/>
      <c r="D19" s="665"/>
      <c r="E19" s="665"/>
      <c r="F19" s="652"/>
      <c r="G19" s="1"/>
      <c r="H19" s="1"/>
      <c r="I19" s="1"/>
      <c r="J19" s="1"/>
      <c r="K19" s="1"/>
      <c r="L19" s="1"/>
      <c r="M19" s="1"/>
      <c r="N19" s="1"/>
      <c r="O19" s="1"/>
      <c r="P19" s="1"/>
      <c r="Q19" s="1"/>
      <c r="R19" s="1"/>
      <c r="S19" s="1"/>
    </row>
    <row r="20" spans="1:19" x14ac:dyDescent="0.35">
      <c r="A20" s="1"/>
      <c r="B20" s="172" t="s">
        <v>1246</v>
      </c>
      <c r="C20" s="952">
        <v>45057</v>
      </c>
      <c r="D20" s="415"/>
      <c r="E20" s="416"/>
      <c r="F20" s="1"/>
      <c r="G20" s="1"/>
      <c r="H20" s="1"/>
      <c r="I20" s="1"/>
      <c r="J20" s="1"/>
      <c r="K20" s="1"/>
      <c r="L20" s="1"/>
      <c r="M20" s="1"/>
      <c r="N20" s="1"/>
      <c r="O20" s="1"/>
      <c r="P20" s="1"/>
      <c r="Q20" s="1"/>
      <c r="R20" s="1"/>
      <c r="S20" s="1"/>
    </row>
    <row r="21" spans="1:19" x14ac:dyDescent="0.35">
      <c r="A21" s="1"/>
      <c r="B21" s="172" t="s">
        <v>3</v>
      </c>
      <c r="C21" s="174" t="s">
        <v>1245</v>
      </c>
      <c r="D21" s="415"/>
      <c r="E21" s="415"/>
      <c r="F21" s="1"/>
      <c r="G21" s="1"/>
      <c r="H21" s="1"/>
      <c r="I21" s="1"/>
      <c r="J21" s="1"/>
      <c r="K21" s="1"/>
      <c r="L21" s="1"/>
      <c r="M21" s="1"/>
      <c r="N21" s="1"/>
      <c r="O21" s="1"/>
      <c r="P21" s="1"/>
      <c r="Q21" s="1"/>
      <c r="R21" s="1"/>
      <c r="S21" s="1"/>
    </row>
    <row r="22" spans="1:19" x14ac:dyDescent="0.35">
      <c r="A22" s="1"/>
      <c r="B22" s="173"/>
      <c r="C22" s="173"/>
      <c r="D22" s="173"/>
      <c r="E22" s="173"/>
      <c r="F22" s="1"/>
      <c r="G22" s="1"/>
      <c r="H22" s="1"/>
      <c r="I22" s="1"/>
      <c r="J22" s="1"/>
      <c r="K22" s="1"/>
      <c r="L22" s="1"/>
      <c r="M22" s="1"/>
      <c r="N22" s="1"/>
      <c r="O22" s="1"/>
      <c r="P22" s="1"/>
      <c r="Q22" s="1"/>
      <c r="R22" s="1"/>
      <c r="S22" s="1"/>
    </row>
    <row r="23" spans="1:19" x14ac:dyDescent="0.35">
      <c r="A23" s="1"/>
      <c r="B23" s="172" t="s">
        <v>5</v>
      </c>
      <c r="C23" s="173" t="s">
        <v>1245</v>
      </c>
      <c r="D23" s="173"/>
      <c r="E23" s="173"/>
      <c r="F23" s="1"/>
      <c r="G23" s="1"/>
      <c r="H23" s="1"/>
      <c r="I23" s="1"/>
      <c r="J23" s="1"/>
      <c r="K23" s="1"/>
      <c r="L23" s="1"/>
      <c r="M23" s="1"/>
      <c r="N23" s="1"/>
      <c r="O23" s="1"/>
      <c r="P23" s="1"/>
      <c r="Q23" s="1"/>
      <c r="R23" s="1"/>
      <c r="S23" s="1"/>
    </row>
    <row r="24" spans="1:19" x14ac:dyDescent="0.35">
      <c r="A24" s="1"/>
      <c r="B24" s="173"/>
      <c r="C24" s="175" t="s">
        <v>1247</v>
      </c>
      <c r="D24" s="173"/>
      <c r="E24" s="173"/>
      <c r="F24" s="1"/>
      <c r="G24" s="1"/>
      <c r="H24" s="1"/>
      <c r="I24" s="1"/>
      <c r="J24" s="1"/>
      <c r="K24" s="1"/>
      <c r="L24" s="1"/>
      <c r="M24" s="1"/>
      <c r="N24" s="1"/>
      <c r="O24" s="1"/>
      <c r="P24" s="1"/>
      <c r="Q24" s="1"/>
      <c r="R24" s="1"/>
      <c r="S24" s="1"/>
    </row>
    <row r="25" spans="1:19" x14ac:dyDescent="0.35">
      <c r="A25" s="1"/>
      <c r="B25" s="173"/>
      <c r="C25" s="173" t="s">
        <v>1248</v>
      </c>
      <c r="D25" s="173"/>
      <c r="E25" s="173"/>
      <c r="F25" s="1"/>
      <c r="G25" s="1"/>
      <c r="H25" s="1"/>
      <c r="I25" s="1"/>
      <c r="J25" s="1"/>
      <c r="K25" s="1"/>
      <c r="L25" s="1"/>
      <c r="M25" s="1"/>
      <c r="N25" s="1"/>
      <c r="O25" s="1"/>
      <c r="P25" s="1"/>
      <c r="Q25" s="1"/>
      <c r="R25" s="1"/>
      <c r="S25" s="1"/>
    </row>
    <row r="26" spans="1:19" ht="14.25" customHeight="1" x14ac:dyDescent="0.35">
      <c r="A26" s="1"/>
      <c r="B26" s="173"/>
      <c r="C26" s="173" t="s">
        <v>1249</v>
      </c>
      <c r="D26" s="173"/>
      <c r="E26" s="173"/>
      <c r="F26" s="1"/>
      <c r="G26" s="1"/>
      <c r="H26" s="1"/>
      <c r="I26" s="1"/>
      <c r="J26" s="1"/>
      <c r="K26" s="1"/>
      <c r="L26" s="1"/>
      <c r="M26" s="1"/>
      <c r="N26" s="1"/>
      <c r="O26" s="1"/>
      <c r="P26" s="1"/>
      <c r="Q26" s="1"/>
      <c r="R26" s="1"/>
      <c r="S26" s="1"/>
    </row>
    <row r="27" spans="1:19" x14ac:dyDescent="0.35">
      <c r="A27" s="1"/>
      <c r="B27" s="173"/>
      <c r="C27" s="176" t="s">
        <v>1250</v>
      </c>
      <c r="D27" s="173"/>
      <c r="E27" s="173"/>
      <c r="F27" s="1"/>
      <c r="G27" s="1"/>
      <c r="H27" s="1"/>
      <c r="I27" s="1"/>
      <c r="J27" s="1"/>
      <c r="K27" s="1"/>
      <c r="L27" s="1"/>
      <c r="M27" s="1"/>
      <c r="N27" s="1"/>
      <c r="O27" s="1"/>
      <c r="P27" s="1"/>
      <c r="Q27" s="1"/>
      <c r="R27" s="1"/>
      <c r="S27" s="1"/>
    </row>
    <row r="28" spans="1:19" ht="52.5" customHeight="1" x14ac:dyDescent="0.45">
      <c r="A28" s="1"/>
      <c r="B28" s="2"/>
      <c r="C28" s="1"/>
      <c r="D28" s="1"/>
      <c r="E28" s="1"/>
      <c r="F28" s="1"/>
      <c r="G28" s="1"/>
      <c r="H28" s="1"/>
      <c r="I28" s="1"/>
      <c r="J28" s="1"/>
      <c r="K28" s="1"/>
      <c r="L28" s="1"/>
      <c r="M28" s="1"/>
      <c r="N28" s="1"/>
      <c r="O28" s="1"/>
      <c r="P28" s="1"/>
      <c r="Q28" s="1"/>
      <c r="R28" s="1"/>
      <c r="S28" s="1"/>
    </row>
    <row r="29" spans="1:19" ht="18.5" x14ac:dyDescent="0.45">
      <c r="A29" s="1"/>
      <c r="B29" s="2"/>
      <c r="C29" s="1"/>
      <c r="D29" s="1"/>
      <c r="E29" s="1"/>
      <c r="F29" s="1"/>
      <c r="G29" s="1"/>
      <c r="H29" s="1"/>
      <c r="I29" s="1"/>
      <c r="J29" s="1"/>
      <c r="K29" s="1"/>
      <c r="L29" s="1"/>
      <c r="M29" s="1"/>
      <c r="N29" s="1"/>
      <c r="O29" s="1"/>
      <c r="P29" s="1"/>
      <c r="Q29" s="1"/>
      <c r="R29" s="1"/>
      <c r="S29" s="1"/>
    </row>
    <row r="30" spans="1:19" x14ac:dyDescent="0.35">
      <c r="A30" s="1"/>
      <c r="B30" s="172" t="s">
        <v>1244</v>
      </c>
      <c r="C30" s="562" t="s">
        <v>0</v>
      </c>
      <c r="D30" s="664" t="s">
        <v>1</v>
      </c>
      <c r="E30" s="665"/>
      <c r="F30" s="652"/>
      <c r="G30" s="652"/>
      <c r="H30" s="1"/>
      <c r="I30" s="1"/>
      <c r="J30" s="1"/>
      <c r="K30" s="1"/>
      <c r="L30" s="1"/>
      <c r="M30" s="1"/>
      <c r="N30" s="1"/>
      <c r="O30" s="1"/>
      <c r="P30" s="1"/>
      <c r="Q30" s="1"/>
      <c r="R30" s="1"/>
      <c r="S30" s="1"/>
    </row>
    <row r="31" spans="1:19" x14ac:dyDescent="0.35">
      <c r="A31" s="1"/>
      <c r="B31" s="173"/>
      <c r="C31" s="665">
        <v>1</v>
      </c>
      <c r="D31" s="665" t="s">
        <v>2</v>
      </c>
      <c r="F31" s="652"/>
      <c r="G31" s="652"/>
      <c r="H31" s="1"/>
      <c r="I31" s="1"/>
      <c r="J31" s="1"/>
      <c r="K31" s="1"/>
      <c r="L31" s="1"/>
      <c r="M31" s="1"/>
      <c r="N31" s="1"/>
      <c r="O31" s="1"/>
      <c r="P31" s="1"/>
      <c r="Q31" s="1"/>
      <c r="R31" s="1"/>
      <c r="S31" s="1"/>
    </row>
    <row r="32" spans="1:19" x14ac:dyDescent="0.35">
      <c r="A32" s="1"/>
      <c r="B32" s="173"/>
      <c r="C32" s="173"/>
      <c r="D32" s="665"/>
      <c r="E32" s="665"/>
      <c r="F32" s="652"/>
      <c r="G32" s="652"/>
      <c r="H32" s="1"/>
      <c r="I32" s="1"/>
      <c r="J32" s="1"/>
      <c r="K32" s="1"/>
      <c r="L32" s="1"/>
      <c r="M32" s="1"/>
      <c r="N32" s="1"/>
      <c r="O32" s="1"/>
      <c r="P32" s="1"/>
      <c r="Q32" s="1"/>
      <c r="R32" s="1"/>
      <c r="S32" s="1"/>
    </row>
    <row r="33" spans="1:19" x14ac:dyDescent="0.35">
      <c r="A33" s="1"/>
      <c r="B33" s="172" t="s">
        <v>1242</v>
      </c>
      <c r="C33" s="952">
        <v>43284</v>
      </c>
      <c r="D33" s="415"/>
      <c r="E33" s="416"/>
      <c r="F33" s="1"/>
      <c r="G33" s="1"/>
      <c r="H33" s="1"/>
      <c r="I33" s="1"/>
      <c r="J33" s="1"/>
      <c r="K33" s="1"/>
      <c r="L33" s="1"/>
      <c r="M33" s="1"/>
      <c r="N33" s="1"/>
      <c r="O33" s="1"/>
      <c r="P33" s="1"/>
      <c r="Q33" s="1"/>
      <c r="R33" s="1"/>
      <c r="S33" s="1"/>
    </row>
    <row r="34" spans="1:19" x14ac:dyDescent="0.35">
      <c r="A34" s="1"/>
      <c r="B34" s="172" t="s">
        <v>1243</v>
      </c>
      <c r="C34" s="174" t="s">
        <v>4</v>
      </c>
      <c r="D34" s="415"/>
      <c r="E34" s="415"/>
      <c r="F34" s="1"/>
      <c r="G34" s="1"/>
      <c r="H34" s="1"/>
      <c r="I34" s="1"/>
      <c r="J34" s="1"/>
      <c r="K34" s="1"/>
      <c r="L34" s="1"/>
      <c r="M34" s="1"/>
      <c r="N34" s="1"/>
      <c r="O34" s="1"/>
      <c r="P34" s="1"/>
      <c r="Q34" s="1"/>
      <c r="R34" s="1"/>
      <c r="S34" s="1"/>
    </row>
    <row r="35" spans="1:19" s="1" customFormat="1" x14ac:dyDescent="0.35">
      <c r="B35" s="173"/>
      <c r="C35" s="173"/>
      <c r="D35" s="173"/>
      <c r="E35" s="173"/>
    </row>
    <row r="36" spans="1:19" x14ac:dyDescent="0.35">
      <c r="A36" s="1"/>
      <c r="B36" s="172" t="s">
        <v>5</v>
      </c>
      <c r="C36" s="173" t="s">
        <v>4</v>
      </c>
      <c r="D36" s="173"/>
      <c r="E36" s="173"/>
      <c r="F36" s="1"/>
      <c r="G36" s="1"/>
      <c r="H36" s="1"/>
      <c r="I36" s="1"/>
      <c r="J36" s="1"/>
      <c r="K36" s="1"/>
      <c r="L36" s="1"/>
      <c r="M36" s="1"/>
      <c r="N36" s="1"/>
      <c r="O36" s="1"/>
      <c r="P36" s="1"/>
      <c r="Q36" s="1"/>
      <c r="R36" s="1"/>
      <c r="S36" s="1"/>
    </row>
    <row r="37" spans="1:19" x14ac:dyDescent="0.35">
      <c r="A37" s="1"/>
      <c r="B37" s="173"/>
      <c r="C37" s="175" t="s">
        <v>6</v>
      </c>
      <c r="D37" s="173"/>
      <c r="E37" s="173"/>
      <c r="F37" s="1"/>
      <c r="G37" s="1"/>
      <c r="H37" s="1"/>
      <c r="I37" s="1"/>
      <c r="J37" s="1"/>
      <c r="K37" s="1"/>
      <c r="L37" s="1"/>
      <c r="M37" s="1"/>
      <c r="N37" s="1"/>
      <c r="O37" s="1"/>
      <c r="P37" s="1"/>
      <c r="Q37" s="1"/>
      <c r="R37" s="1"/>
      <c r="S37" s="1"/>
    </row>
    <row r="38" spans="1:19" x14ac:dyDescent="0.35">
      <c r="A38" s="1"/>
      <c r="B38" s="173"/>
      <c r="C38" s="173" t="s">
        <v>7</v>
      </c>
      <c r="D38" s="173"/>
      <c r="E38" s="173"/>
      <c r="F38" s="1"/>
      <c r="G38" s="1"/>
      <c r="H38" s="1"/>
      <c r="I38" s="1"/>
      <c r="J38" s="1"/>
      <c r="K38" s="1"/>
      <c r="L38" s="1"/>
      <c r="M38" s="1"/>
      <c r="N38" s="1"/>
      <c r="O38" s="1"/>
      <c r="P38" s="1"/>
      <c r="Q38" s="1"/>
      <c r="R38" s="1"/>
      <c r="S38" s="1"/>
    </row>
    <row r="39" spans="1:19" x14ac:dyDescent="0.35">
      <c r="A39" s="1"/>
      <c r="B39" s="173"/>
      <c r="C39" s="173" t="s">
        <v>8</v>
      </c>
      <c r="D39" s="173"/>
      <c r="E39" s="173"/>
      <c r="F39" s="1"/>
      <c r="G39" s="1"/>
      <c r="H39" s="1"/>
      <c r="I39" s="1"/>
      <c r="J39" s="1"/>
      <c r="K39" s="1"/>
      <c r="L39" s="1"/>
      <c r="M39" s="1"/>
      <c r="N39" s="1"/>
      <c r="O39" s="1"/>
      <c r="P39" s="1"/>
      <c r="Q39" s="1"/>
      <c r="R39" s="1"/>
      <c r="S39" s="1"/>
    </row>
    <row r="40" spans="1:19" x14ac:dyDescent="0.35">
      <c r="A40" s="1"/>
      <c r="B40" s="173"/>
      <c r="C40" s="176" t="s">
        <v>9</v>
      </c>
      <c r="D40" s="173"/>
      <c r="E40" s="173"/>
      <c r="F40" s="1"/>
      <c r="G40" s="1"/>
      <c r="H40" s="1"/>
      <c r="I40" s="1"/>
      <c r="J40" s="1"/>
      <c r="K40" s="1"/>
      <c r="L40" s="1"/>
      <c r="M40" s="1"/>
      <c r="N40" s="1"/>
      <c r="O40" s="1"/>
      <c r="P40" s="1"/>
      <c r="Q40" s="1"/>
      <c r="R40" s="1"/>
      <c r="S40" s="1"/>
    </row>
    <row r="41" spans="1:19" x14ac:dyDescent="0.35">
      <c r="A41" s="1"/>
      <c r="B41" s="173"/>
      <c r="C41" s="173"/>
      <c r="D41" s="415"/>
      <c r="E41" s="415"/>
      <c r="F41" s="415"/>
      <c r="G41" s="415"/>
      <c r="H41" s="415"/>
      <c r="I41" s="415"/>
      <c r="J41" s="415"/>
      <c r="K41" s="415"/>
      <c r="L41" s="415"/>
      <c r="M41" s="415"/>
      <c r="N41" s="415"/>
      <c r="O41" s="415"/>
      <c r="P41" s="415"/>
      <c r="Q41" s="415"/>
      <c r="R41" s="415"/>
      <c r="S41" s="415"/>
    </row>
    <row r="42" spans="1:19" x14ac:dyDescent="0.35">
      <c r="A42" s="1"/>
      <c r="B42" s="173"/>
      <c r="C42" s="173"/>
      <c r="D42" s="415"/>
      <c r="E42" s="415"/>
      <c r="F42" s="415"/>
      <c r="G42" s="415"/>
      <c r="H42" s="415"/>
      <c r="I42" s="415"/>
      <c r="J42" s="415"/>
      <c r="K42" s="415"/>
      <c r="L42" s="415"/>
      <c r="M42" s="415"/>
      <c r="N42" s="415"/>
      <c r="O42" s="415"/>
      <c r="P42" s="415"/>
      <c r="Q42" s="415"/>
      <c r="R42" s="415"/>
      <c r="S42" s="415"/>
    </row>
    <row r="43" spans="1:19" x14ac:dyDescent="0.35">
      <c r="A43" s="238"/>
      <c r="B43" s="238"/>
      <c r="C43" s="238"/>
      <c r="D43" s="238"/>
      <c r="E43" s="238"/>
      <c r="F43" s="238"/>
      <c r="G43" s="238"/>
      <c r="H43" s="238"/>
      <c r="I43" s="238"/>
      <c r="J43" s="238"/>
      <c r="K43" s="238"/>
      <c r="L43" s="238"/>
      <c r="M43" s="238"/>
      <c r="N43" s="238"/>
      <c r="O43" s="238"/>
      <c r="P43" s="238"/>
      <c r="Q43" s="238"/>
      <c r="R43" s="238"/>
      <c r="S43" s="238"/>
    </row>
    <row r="44" spans="1:19" x14ac:dyDescent="0.35"/>
    <row r="45" spans="1:19" x14ac:dyDescent="0.35"/>
    <row r="46" spans="1:19" x14ac:dyDescent="0.35"/>
    <row r="47" spans="1:19" x14ac:dyDescent="0.35"/>
    <row r="48" spans="1:19" x14ac:dyDescent="0.35"/>
    <row r="54" x14ac:dyDescent="0.35"/>
    <row r="55" x14ac:dyDescent="0.35"/>
    <row r="56" x14ac:dyDescent="0.35"/>
    <row r="57" x14ac:dyDescent="0.35"/>
    <row r="58" x14ac:dyDescent="0.35"/>
    <row r="59" x14ac:dyDescent="0.35"/>
    <row r="73" x14ac:dyDescent="0.35"/>
    <row r="74" x14ac:dyDescent="0.35"/>
    <row r="75" x14ac:dyDescent="0.35"/>
    <row r="79" x14ac:dyDescent="0.35"/>
    <row r="81" x14ac:dyDescent="0.35"/>
    <row r="82" x14ac:dyDescent="0.35"/>
    <row r="86" x14ac:dyDescent="0.35"/>
  </sheetData>
  <hyperlinks>
    <hyperlink ref="C37" r:id="rId1" xr:uid="{00000000-0004-0000-0000-000000000000}"/>
    <hyperlink ref="C40" r:id="rId2" xr:uid="{00000000-0004-0000-0000-000001000000}"/>
    <hyperlink ref="C24" r:id="rId3" display="paul@pjmeconomics.co.uk" xr:uid="{61451229-3564-4718-802C-15D9C9D2F384}"/>
    <hyperlink ref="C27" r:id="rId4" display="www.pjmeconomics.co.uk" xr:uid="{A413EB51-7A77-41BD-8C00-F7FDEBF324E6}"/>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0C06D-C259-46AC-8F94-CDBF4BA36306}">
  <sheetPr>
    <tabColor rgb="FFC00000"/>
  </sheetPr>
  <dimension ref="A1:AZ50"/>
  <sheetViews>
    <sheetView workbookViewId="0">
      <pane xSplit="3" ySplit="4" topLeftCell="D5" activePane="bottomRight" state="frozen"/>
      <selection pane="topRight" activeCell="D1" sqref="D1"/>
      <selection pane="bottomLeft" activeCell="A5" sqref="A5"/>
      <selection pane="bottomRight" activeCell="Q6" sqref="Q6"/>
    </sheetView>
  </sheetViews>
  <sheetFormatPr defaultRowHeight="14.5" x14ac:dyDescent="0.35"/>
  <cols>
    <col min="1" max="1" width="25.54296875" style="123" bestFit="1" customWidth="1"/>
    <col min="3" max="3" width="43.7265625" bestFit="1" customWidth="1"/>
    <col min="4" max="4" width="54.54296875" customWidth="1"/>
    <col min="9" max="10" width="9.1796875" style="809"/>
    <col min="12" max="13" width="12.26953125" bestFit="1" customWidth="1"/>
    <col min="17" max="18" width="11.1796875" bestFit="1" customWidth="1"/>
    <col min="20" max="20" width="43.7265625" bestFit="1" customWidth="1"/>
    <col min="23" max="23" width="46.7265625" style="739" bestFit="1" customWidth="1"/>
    <col min="24" max="24" width="9.1796875" style="739"/>
    <col min="27" max="27" width="22" customWidth="1"/>
    <col min="28" max="28" width="60.453125" customWidth="1"/>
  </cols>
  <sheetData>
    <row r="1" spans="1:52" x14ac:dyDescent="0.35">
      <c r="B1" t="s">
        <v>251</v>
      </c>
      <c r="C1" t="s">
        <v>252</v>
      </c>
      <c r="E1" s="123" t="s">
        <v>253</v>
      </c>
      <c r="L1" s="123" t="s">
        <v>254</v>
      </c>
    </row>
    <row r="2" spans="1:52" ht="15" thickBot="1" x14ac:dyDescent="0.4">
      <c r="B2" t="s">
        <v>255</v>
      </c>
      <c r="E2" s="991" t="s">
        <v>256</v>
      </c>
      <c r="F2" s="991"/>
      <c r="G2" s="991"/>
      <c r="H2" s="991"/>
      <c r="I2" s="991"/>
      <c r="J2" s="991"/>
      <c r="L2" s="988" t="s">
        <v>257</v>
      </c>
      <c r="M2" s="988"/>
      <c r="Q2" s="988" t="s">
        <v>217</v>
      </c>
      <c r="R2" s="988"/>
      <c r="Z2" s="998"/>
      <c r="AA2" s="998"/>
      <c r="AB2" s="999"/>
      <c r="AC2" s="997" t="s">
        <v>1227</v>
      </c>
      <c r="AD2" s="995"/>
      <c r="AE2" s="995"/>
      <c r="AF2" s="995"/>
      <c r="AG2" s="874"/>
      <c r="AH2" s="878"/>
      <c r="AI2" s="995" t="s">
        <v>1221</v>
      </c>
      <c r="AJ2" s="995"/>
      <c r="AK2" s="995"/>
      <c r="AL2" s="1000"/>
      <c r="AM2" s="874"/>
      <c r="AN2" s="878"/>
      <c r="AO2" s="997" t="s">
        <v>1222</v>
      </c>
      <c r="AP2" s="995"/>
      <c r="AQ2" s="995"/>
      <c r="AR2" s="1000"/>
      <c r="AS2" s="874"/>
      <c r="AT2" s="878"/>
      <c r="AU2" s="997" t="s">
        <v>1223</v>
      </c>
      <c r="AV2" s="995"/>
      <c r="AW2" s="995"/>
      <c r="AX2" s="995"/>
      <c r="AY2" s="874"/>
      <c r="AZ2" s="878"/>
    </row>
    <row r="3" spans="1:52" x14ac:dyDescent="0.35">
      <c r="B3" s="3"/>
      <c r="C3">
        <v>1</v>
      </c>
      <c r="D3" s="784" t="str">
        <f ca="1">OFFSET(A35,C3-1,0) &amp;" Customers"</f>
        <v>All Customers</v>
      </c>
      <c r="E3" s="991" t="s">
        <v>220</v>
      </c>
      <c r="F3" s="992"/>
      <c r="G3" s="991" t="s">
        <v>26</v>
      </c>
      <c r="H3" s="992"/>
      <c r="I3" s="993" t="s">
        <v>258</v>
      </c>
      <c r="J3" s="994"/>
      <c r="L3" s="988"/>
      <c r="M3" s="988"/>
      <c r="Q3" s="988"/>
      <c r="R3" s="988"/>
      <c r="Z3" s="1001"/>
      <c r="AA3" s="1001"/>
      <c r="AB3" s="875"/>
      <c r="AC3" s="873" t="s">
        <v>220</v>
      </c>
      <c r="AD3" s="876"/>
      <c r="AE3" s="877" t="s">
        <v>26</v>
      </c>
      <c r="AF3" s="875"/>
      <c r="AG3" s="993" t="s">
        <v>258</v>
      </c>
      <c r="AH3" s="996"/>
      <c r="AI3" s="873" t="s">
        <v>220</v>
      </c>
      <c r="AJ3" s="876"/>
      <c r="AK3" s="877" t="s">
        <v>26</v>
      </c>
      <c r="AL3" s="875"/>
      <c r="AM3" s="993" t="s">
        <v>258</v>
      </c>
      <c r="AN3" s="996"/>
      <c r="AO3" s="873" t="s">
        <v>220</v>
      </c>
      <c r="AP3" s="876"/>
      <c r="AQ3" s="873" t="s">
        <v>26</v>
      </c>
      <c r="AR3" s="875"/>
      <c r="AS3" s="993" t="s">
        <v>258</v>
      </c>
      <c r="AT3" s="996"/>
      <c r="AU3" s="873" t="s">
        <v>220</v>
      </c>
      <c r="AV3" s="876"/>
      <c r="AW3" s="873" t="s">
        <v>26</v>
      </c>
      <c r="AX3" s="872"/>
      <c r="AY3" s="993" t="s">
        <v>258</v>
      </c>
      <c r="AZ3" s="996"/>
    </row>
    <row r="4" spans="1:52" ht="29.5" thickBot="1" x14ac:dyDescent="0.4">
      <c r="B4" s="990" t="s">
        <v>203</v>
      </c>
      <c r="C4" s="990"/>
      <c r="D4" s="785" t="s">
        <v>124</v>
      </c>
      <c r="E4" s="786" t="s">
        <v>259</v>
      </c>
      <c r="F4" s="787" t="s">
        <v>260</v>
      </c>
      <c r="G4" s="786" t="s">
        <v>259</v>
      </c>
      <c r="H4" s="787" t="s">
        <v>260</v>
      </c>
      <c r="I4" s="810" t="s">
        <v>259</v>
      </c>
      <c r="J4" s="811" t="s">
        <v>260</v>
      </c>
      <c r="L4" t="s">
        <v>220</v>
      </c>
      <c r="M4" t="s">
        <v>26</v>
      </c>
      <c r="Q4" t="s">
        <v>220</v>
      </c>
      <c r="R4" t="s">
        <v>26</v>
      </c>
      <c r="Z4" s="995" t="s">
        <v>203</v>
      </c>
      <c r="AA4" s="995"/>
      <c r="AB4" s="878" t="s">
        <v>124</v>
      </c>
      <c r="AC4" s="874" t="s">
        <v>1224</v>
      </c>
      <c r="AD4" s="879" t="s">
        <v>1225</v>
      </c>
      <c r="AE4" s="880" t="s">
        <v>1224</v>
      </c>
      <c r="AF4" s="878" t="s">
        <v>1225</v>
      </c>
      <c r="AG4" s="941" t="s">
        <v>259</v>
      </c>
      <c r="AH4" s="942" t="s">
        <v>260</v>
      </c>
      <c r="AI4" s="874" t="s">
        <v>1224</v>
      </c>
      <c r="AJ4" s="879" t="s">
        <v>1225</v>
      </c>
      <c r="AK4" s="880" t="s">
        <v>1224</v>
      </c>
      <c r="AL4" s="878" t="s">
        <v>1225</v>
      </c>
      <c r="AM4" s="941" t="s">
        <v>259</v>
      </c>
      <c r="AN4" s="942" t="s">
        <v>260</v>
      </c>
      <c r="AO4" s="874" t="s">
        <v>1224</v>
      </c>
      <c r="AP4" s="879" t="s">
        <v>1225</v>
      </c>
      <c r="AQ4" s="874" t="s">
        <v>1224</v>
      </c>
      <c r="AR4" s="878" t="s">
        <v>1225</v>
      </c>
      <c r="AS4" s="941" t="s">
        <v>259</v>
      </c>
      <c r="AT4" s="942" t="s">
        <v>260</v>
      </c>
      <c r="AU4" s="874" t="s">
        <v>1224</v>
      </c>
      <c r="AV4" s="879" t="s">
        <v>1225</v>
      </c>
      <c r="AW4" s="874" t="s">
        <v>1224</v>
      </c>
      <c r="AX4" s="874" t="s">
        <v>1225</v>
      </c>
      <c r="AY4" s="941" t="s">
        <v>259</v>
      </c>
      <c r="AZ4" s="942" t="s">
        <v>260</v>
      </c>
    </row>
    <row r="5" spans="1:52" ht="29.5" thickBot="1" x14ac:dyDescent="0.4">
      <c r="B5" s="788" t="s">
        <v>89</v>
      </c>
      <c r="C5" s="788" t="s">
        <v>261</v>
      </c>
      <c r="D5" s="789" t="s">
        <v>262</v>
      </c>
      <c r="E5" s="790">
        <f ca="1">OFFSET(AC5,0,($C$3-1)*6)</f>
        <v>-7.243958849402049E-2</v>
      </c>
      <c r="F5" s="791">
        <f t="shared" ref="F5:F16" ca="1" si="0">OFFSET(AD5,0,($C$3-1)*6)</f>
        <v>5.6098212868241071E-5</v>
      </c>
      <c r="G5" s="790">
        <f t="shared" ref="G5:G16" ca="1" si="1">OFFSET(AE5,0,($C$3-1)*6)</f>
        <v>4.7164144320658425E-4</v>
      </c>
      <c r="H5" s="791">
        <f t="shared" ref="H5:H16" ca="1" si="2">OFFSET(AF5,0,($C$3-1)*6)</f>
        <v>0.97041693012447472</v>
      </c>
      <c r="I5" s="812">
        <f t="shared" ref="I5:I16" ca="1" si="3">OFFSET(AG5,0,($C$3-1)*6)</f>
        <v>-3.8262774573072547E-2</v>
      </c>
      <c r="J5" s="813">
        <f t="shared" ref="J5:J16" ca="1" si="4">OFFSET(AH5,0,($C$3-1)*6)</f>
        <v>3.2148443759056436E-5</v>
      </c>
      <c r="L5" s="808"/>
      <c r="M5" s="808"/>
      <c r="Q5" s="10">
        <v>0</v>
      </c>
      <c r="R5" s="10">
        <v>0</v>
      </c>
      <c r="T5" t="str">
        <f>C5</f>
        <v>Customer Service</v>
      </c>
      <c r="U5" s="10">
        <f ca="1">(E5*HHProps_SSW+'WTP PR24 SSC'!G5*HHProps_CAM)/HHProps_All</f>
        <v>-5.7769005041858938E-2</v>
      </c>
      <c r="W5" s="739" t="s">
        <v>263</v>
      </c>
      <c r="X5" s="739">
        <v>0.7846449870741754</v>
      </c>
      <c r="Z5" s="882" t="s">
        <v>89</v>
      </c>
      <c r="AA5" s="882" t="s">
        <v>261</v>
      </c>
      <c r="AB5" s="883" t="s">
        <v>262</v>
      </c>
      <c r="AC5" s="917">
        <v>-7.243958849402049E-2</v>
      </c>
      <c r="AD5" s="918">
        <v>5.6098212868241071E-5</v>
      </c>
      <c r="AE5" s="919">
        <v>4.7164144320658425E-4</v>
      </c>
      <c r="AF5" s="920">
        <v>0.97041693012447472</v>
      </c>
      <c r="AG5" s="816">
        <v>-3.8262774573072547E-2</v>
      </c>
      <c r="AH5" s="939">
        <v>3.2148443759056436E-5</v>
      </c>
      <c r="AI5" s="884">
        <v>-0.13</v>
      </c>
      <c r="AJ5" s="885">
        <v>0.03</v>
      </c>
      <c r="AK5" s="881">
        <v>-0.1</v>
      </c>
      <c r="AL5" s="886">
        <v>0.21</v>
      </c>
      <c r="AM5" s="816">
        <f>(AI5*HHProps_SSW+'WTP PR24 SSC'!AK5*HHProps_CAM)/HHProps_All</f>
        <v>-0.12396365273300469</v>
      </c>
      <c r="AN5" s="939">
        <f>(AJ5*HHProps_SSW+'WTP PR24 SSC'!AL5*HHProps_CAM)/HHProps_All</f>
        <v>6.6218083601971803E-2</v>
      </c>
      <c r="AO5" s="884">
        <v>-0.06</v>
      </c>
      <c r="AP5" s="885">
        <v>0.02</v>
      </c>
      <c r="AQ5" s="881">
        <v>-0.01</v>
      </c>
      <c r="AR5" s="886">
        <v>0.72</v>
      </c>
      <c r="AS5" s="816">
        <f>(AO5*HHProps_SSW+'WTP PR24 SSC'!AQ5*HHProps_CAM)/HHProps_All</f>
        <v>-4.9939421221674496E-2</v>
      </c>
      <c r="AT5" s="939">
        <f>(AP5*HHProps_SSW+'WTP PR24 SSC'!AR5*HHProps_CAM)/HHProps_All</f>
        <v>0.16084810289655704</v>
      </c>
      <c r="AU5" s="884">
        <v>-0.09</v>
      </c>
      <c r="AV5" s="885">
        <v>0</v>
      </c>
      <c r="AW5" s="881">
        <v>-0.02</v>
      </c>
      <c r="AX5" s="884">
        <v>0.46</v>
      </c>
      <c r="AY5" s="816">
        <f>(AU5*HHProps_SSW+'WTP PR24 SSC'!AW5*HHProps_CAM)/HHProps_All</f>
        <v>-7.5915189710344305E-2</v>
      </c>
      <c r="AZ5" s="939">
        <f>(AV5*HHProps_SSW+'WTP PR24 SSC'!AX5*HHProps_CAM)/HHProps_All</f>
        <v>9.2557324760594625E-2</v>
      </c>
    </row>
    <row r="6" spans="1:52" ht="29" x14ac:dyDescent="0.35">
      <c r="A6" s="123" t="s">
        <v>125</v>
      </c>
      <c r="B6" s="9" t="s">
        <v>90</v>
      </c>
      <c r="C6" s="9" t="s">
        <v>263</v>
      </c>
      <c r="D6" s="792" t="s">
        <v>264</v>
      </c>
      <c r="E6" s="793">
        <f t="shared" ref="E6:E16" ca="1" si="5">OFFSET(AC6,0,($C$3-1)*6)</f>
        <v>0.73901977709482236</v>
      </c>
      <c r="F6" s="794">
        <f t="shared" ca="1" si="0"/>
        <v>1.5410308057100382E-17</v>
      </c>
      <c r="G6" s="793">
        <f t="shared" ca="1" si="1"/>
        <v>0.96577218858454705</v>
      </c>
      <c r="H6" s="794">
        <f t="shared" ca="1" si="2"/>
        <v>1.7947095844094631E-15</v>
      </c>
      <c r="I6" s="814">
        <f t="shared" ca="1" si="3"/>
        <v>0.8017360579206102</v>
      </c>
      <c r="J6" s="815">
        <f t="shared" ca="1" si="4"/>
        <v>1.6895057907275463E-35</v>
      </c>
      <c r="L6" s="808">
        <v>1</v>
      </c>
      <c r="M6" s="808">
        <v>1</v>
      </c>
      <c r="N6" t="s">
        <v>223</v>
      </c>
      <c r="Q6" s="400">
        <f ca="1">E6*L6*HHProps_SSW</f>
        <v>398654.61149669968</v>
      </c>
      <c r="R6" s="400">
        <f ca="1">G6*M6*HHProps_CAM</f>
        <v>131231.05652924543</v>
      </c>
      <c r="T6" t="str">
        <f t="shared" ref="T6:T16" si="6">C6</f>
        <v>Risk of a temporary "do not drink" notice</v>
      </c>
      <c r="U6" s="10">
        <f ca="1">(E6*HHProps_SSW+'WTP PR24 SSC'!G6*HHProps_CAM)/HHProps_All</f>
        <v>0.7846449870741754</v>
      </c>
      <c r="W6" s="739" t="s">
        <v>265</v>
      </c>
      <c r="X6" s="739">
        <v>0.76476001100611202</v>
      </c>
      <c r="Z6" s="902" t="s">
        <v>90</v>
      </c>
      <c r="AA6" s="903" t="s">
        <v>263</v>
      </c>
      <c r="AB6" s="907" t="s">
        <v>264</v>
      </c>
      <c r="AC6" s="921">
        <v>0.73901977709482236</v>
      </c>
      <c r="AD6" s="922">
        <v>1.5410308057100382E-17</v>
      </c>
      <c r="AE6" s="923">
        <v>0.96577218858454705</v>
      </c>
      <c r="AF6" s="924">
        <v>1.7947095844094631E-15</v>
      </c>
      <c r="AG6" s="814">
        <v>0.8017360579206102</v>
      </c>
      <c r="AH6" s="939">
        <v>1.6895057907275463E-35</v>
      </c>
      <c r="AI6" s="938">
        <v>0.53</v>
      </c>
      <c r="AJ6" s="897">
        <v>0</v>
      </c>
      <c r="AK6" s="895">
        <v>0.8</v>
      </c>
      <c r="AL6" s="889">
        <v>0.13</v>
      </c>
      <c r="AM6" s="814">
        <f>(AI6*HHProps_SSW+'WTP PR24 SSC'!AK6*HHProps_CAM)/HHProps_All</f>
        <v>0.58432712540295761</v>
      </c>
      <c r="AN6" s="939">
        <f>(AJ6*HHProps_SSW+'WTP PR24 SSC'!AL6*HHProps_CAM)/HHProps_All</f>
        <v>2.6157504823646305E-2</v>
      </c>
      <c r="AO6" s="899">
        <v>0.59</v>
      </c>
      <c r="AP6" s="897">
        <v>0</v>
      </c>
      <c r="AQ6" s="895">
        <v>0.89</v>
      </c>
      <c r="AR6" s="889">
        <v>0</v>
      </c>
      <c r="AS6" s="814">
        <f>(AO6*HHProps_SSW+'WTP PR24 SSC'!AQ6*HHProps_CAM)/HHProps_All</f>
        <v>0.65036347266995298</v>
      </c>
      <c r="AT6" s="939">
        <f>(AP6*HHProps_SSW+'WTP PR24 SSC'!AR6*HHProps_CAM)/HHProps_All</f>
        <v>0</v>
      </c>
      <c r="AU6" s="899">
        <v>0.51</v>
      </c>
      <c r="AV6" s="897">
        <v>0</v>
      </c>
      <c r="AW6" s="895">
        <v>0.9</v>
      </c>
      <c r="AX6" s="888">
        <v>0</v>
      </c>
      <c r="AY6" s="814">
        <f>(AU6*HHProps_SSW+'WTP PR24 SSC'!AW6*HHProps_CAM)/HHProps_All</f>
        <v>0.58847251447093885</v>
      </c>
      <c r="AZ6" s="939">
        <f>(AV6*HHProps_SSW+'WTP PR24 SSC'!AX6*HHProps_CAM)/HHProps_All</f>
        <v>0</v>
      </c>
    </row>
    <row r="7" spans="1:52" ht="29.5" thickBot="1" x14ac:dyDescent="0.4">
      <c r="A7" t="s">
        <v>151</v>
      </c>
      <c r="B7" s="9" t="s">
        <v>91</v>
      </c>
      <c r="C7" s="9" t="s">
        <v>266</v>
      </c>
      <c r="D7" s="792" t="s">
        <v>267</v>
      </c>
      <c r="E7" s="795">
        <f t="shared" ca="1" si="5"/>
        <v>-0.20974374162155413</v>
      </c>
      <c r="F7" s="794">
        <f t="shared" ca="1" si="0"/>
        <v>5.3077411692038547E-5</v>
      </c>
      <c r="G7" s="795">
        <f t="shared" ca="1" si="1"/>
        <v>-0.30275122560252704</v>
      </c>
      <c r="H7" s="794">
        <f t="shared" ca="1" si="2"/>
        <v>5.9769859924821396E-3</v>
      </c>
      <c r="I7" s="816">
        <f t="shared" ca="1" si="3"/>
        <v>-0.17208344669388131</v>
      </c>
      <c r="J7" s="815">
        <f t="shared" ca="1" si="4"/>
        <v>6.9531770355044001E-8</v>
      </c>
      <c r="L7" s="808"/>
      <c r="M7" s="808"/>
      <c r="Q7" s="10">
        <v>0</v>
      </c>
      <c r="R7" s="10">
        <v>0</v>
      </c>
      <c r="T7" t="str">
        <f t="shared" si="6"/>
        <v>Installing ‘smart’ water meters</v>
      </c>
      <c r="U7" s="10">
        <f ca="1">(E7*HHProps_SSW+'WTP PR24 SSC'!G7*HHProps_CAM)/HHProps_All</f>
        <v>-0.22845792401284262</v>
      </c>
      <c r="W7" s="739" t="s">
        <v>268</v>
      </c>
      <c r="X7" s="739">
        <v>0.33504226673980592</v>
      </c>
      <c r="Z7" s="904" t="s">
        <v>91</v>
      </c>
      <c r="AA7" s="904" t="s">
        <v>266</v>
      </c>
      <c r="AB7" s="908" t="s">
        <v>267</v>
      </c>
      <c r="AC7" s="925">
        <v>-0.20974374162155413</v>
      </c>
      <c r="AD7" s="926">
        <v>5.3077411692038547E-5</v>
      </c>
      <c r="AE7" s="927">
        <v>-0.30275122560252704</v>
      </c>
      <c r="AF7" s="928">
        <v>5.9769859924821396E-3</v>
      </c>
      <c r="AG7" s="816">
        <v>-0.17208344669388131</v>
      </c>
      <c r="AH7" s="939">
        <v>6.9531770355044001E-8</v>
      </c>
      <c r="AI7" s="913">
        <v>-0.31</v>
      </c>
      <c r="AJ7" s="901">
        <v>0.04</v>
      </c>
      <c r="AK7" s="882">
        <v>-0.92</v>
      </c>
      <c r="AL7" s="883">
        <v>0.15</v>
      </c>
      <c r="AM7" s="816">
        <f>(AI7*HHProps_SSW+'WTP PR24 SSC'!AK7*HHProps_CAM)/HHProps_All</f>
        <v>-0.4327390610955712</v>
      </c>
      <c r="AN7" s="939">
        <f>(AJ7*HHProps_SSW+'WTP PR24 SSC'!AL7*HHProps_CAM)/HHProps_All</f>
        <v>6.2133273312316106E-2</v>
      </c>
      <c r="AO7" s="882">
        <v>-0.2</v>
      </c>
      <c r="AP7" s="901">
        <v>0.01</v>
      </c>
      <c r="AQ7" s="882">
        <v>-0.27</v>
      </c>
      <c r="AR7" s="883">
        <v>0.11</v>
      </c>
      <c r="AS7" s="816">
        <f>(AO7*HHProps_SSW+'WTP PR24 SSC'!AQ7*HHProps_CAM)/HHProps_All</f>
        <v>-0.2140848102896557</v>
      </c>
      <c r="AT7" s="939">
        <f>(AP7*HHProps_SSW+'WTP PR24 SSC'!AR7*HHProps_CAM)/HHProps_All</f>
        <v>3.0121157556651006E-2</v>
      </c>
      <c r="AU7" s="882">
        <v>-0.26</v>
      </c>
      <c r="AV7" s="901">
        <v>0</v>
      </c>
      <c r="AW7" s="882">
        <v>-0.28000000000000003</v>
      </c>
      <c r="AX7" s="882">
        <v>0.08</v>
      </c>
      <c r="AY7" s="816">
        <f>(AU7*HHProps_SSW+'WTP PR24 SSC'!AW7*HHProps_CAM)/HHProps_All</f>
        <v>-0.2640242315113302</v>
      </c>
      <c r="AZ7" s="939">
        <f>(AV7*HHProps_SSW+'WTP PR24 SSC'!AX7*HHProps_CAM)/HHProps_All</f>
        <v>1.6096926045320804E-2</v>
      </c>
    </row>
    <row r="8" spans="1:52" ht="29.5" thickBot="1" x14ac:dyDescent="0.4">
      <c r="A8" s="123" t="s">
        <v>135</v>
      </c>
      <c r="B8" s="9" t="s">
        <v>92</v>
      </c>
      <c r="C8" s="9" t="s">
        <v>269</v>
      </c>
      <c r="D8" s="792" t="s">
        <v>270</v>
      </c>
      <c r="E8" s="795">
        <f t="shared" ca="1" si="5"/>
        <v>-4.4717922780596435E-3</v>
      </c>
      <c r="F8" s="794">
        <f t="shared" ca="1" si="0"/>
        <v>0.19277888969356421</v>
      </c>
      <c r="G8" s="793">
        <f t="shared" ca="1" si="1"/>
        <v>2.9336497241272401E-2</v>
      </c>
      <c r="H8" s="794">
        <f t="shared" ca="1" si="2"/>
        <v>5.9335744071267495E-3</v>
      </c>
      <c r="I8" s="816">
        <f t="shared" ca="1" si="3"/>
        <v>-7.2961963102289912E-4</v>
      </c>
      <c r="J8" s="815">
        <f t="shared" ca="1" si="4"/>
        <v>0.76992504722896138</v>
      </c>
      <c r="L8" s="808"/>
      <c r="M8" s="845">
        <v>1</v>
      </c>
      <c r="N8" t="s">
        <v>223</v>
      </c>
      <c r="Q8" s="10">
        <v>0</v>
      </c>
      <c r="R8" s="400">
        <f ca="1">G8*M8*HHProps_CAM</f>
        <v>3986.3019181385762</v>
      </c>
      <c r="T8" t="str">
        <f t="shared" si="6"/>
        <v>Hard water supply</v>
      </c>
      <c r="U8" s="10">
        <f ca="1">(E8*HHProps_SSW+'WTP PR24 SSC'!G8*HHProps_CAM)/HHProps_All</f>
        <v>2.3308269233338857E-3</v>
      </c>
      <c r="W8" s="739" t="s">
        <v>271</v>
      </c>
      <c r="X8" s="739">
        <v>7.6176230725975749E-2</v>
      </c>
      <c r="Z8" s="904" t="s">
        <v>92</v>
      </c>
      <c r="AA8" s="904" t="s">
        <v>269</v>
      </c>
      <c r="AB8" s="908" t="s">
        <v>270</v>
      </c>
      <c r="AC8" s="929">
        <v>-4.4717922780596435E-3</v>
      </c>
      <c r="AD8" s="918">
        <v>0.19277888969356421</v>
      </c>
      <c r="AE8" s="919">
        <v>2.9336497241272401E-2</v>
      </c>
      <c r="AF8" s="920">
        <v>5.9335744071267495E-3</v>
      </c>
      <c r="AG8" s="816">
        <v>-7.2961963102289912E-4</v>
      </c>
      <c r="AH8" s="939">
        <v>0.76992504722896138</v>
      </c>
      <c r="AI8" s="914">
        <v>-0.01</v>
      </c>
      <c r="AJ8" s="885">
        <v>0.15</v>
      </c>
      <c r="AK8" s="881">
        <v>-0.02</v>
      </c>
      <c r="AL8" s="886">
        <v>0.76</v>
      </c>
      <c r="AM8" s="816">
        <f>(AI8*HHProps_SSW+'WTP PR24 SSC'!AK8*HHProps_CAM)/HHProps_All</f>
        <v>-1.20121157556651E-2</v>
      </c>
      <c r="AN8" s="939">
        <f>(AJ8*HHProps_SSW+'WTP PR24 SSC'!AL8*HHProps_CAM)/HHProps_All</f>
        <v>0.27273906109557111</v>
      </c>
      <c r="AO8" s="881">
        <v>0</v>
      </c>
      <c r="AP8" s="885">
        <v>0.75</v>
      </c>
      <c r="AQ8" s="881">
        <v>0.05</v>
      </c>
      <c r="AR8" s="886">
        <v>0.01</v>
      </c>
      <c r="AS8" s="816">
        <f>(AO8*HHProps_SSW+'WTP PR24 SSC'!AQ8*HHProps_CAM)/HHProps_All</f>
        <v>1.0060578778325504E-2</v>
      </c>
      <c r="AT8" s="939">
        <f>(AP8*HHProps_SSW+'WTP PR24 SSC'!AR8*HHProps_CAM)/HHProps_All</f>
        <v>0.60110343408078259</v>
      </c>
      <c r="AU8" s="884">
        <v>-0.01</v>
      </c>
      <c r="AV8" s="885">
        <v>0.21</v>
      </c>
      <c r="AW8" s="881">
        <v>0.04</v>
      </c>
      <c r="AX8" s="884">
        <v>0.01</v>
      </c>
      <c r="AY8" s="816">
        <f>(AU8*HHProps_SSW+'WTP PR24 SSC'!AW8*HHProps_CAM)/HHProps_All</f>
        <v>6.0578778325502249E-5</v>
      </c>
      <c r="AZ8" s="939">
        <f>(AV8*HHProps_SSW+'WTP PR24 SSC'!AX8*HHProps_CAM)/HHProps_All</f>
        <v>0.16975768488669798</v>
      </c>
    </row>
    <row r="9" spans="1:52" ht="29" x14ac:dyDescent="0.35">
      <c r="A9" t="s">
        <v>133</v>
      </c>
      <c r="B9" s="9" t="s">
        <v>93</v>
      </c>
      <c r="C9" s="9" t="s">
        <v>133</v>
      </c>
      <c r="D9" s="792" t="s">
        <v>272</v>
      </c>
      <c r="E9" s="795">
        <f t="shared" ca="1" si="5"/>
        <v>-0.8572409861005591</v>
      </c>
      <c r="F9" s="794">
        <f t="shared" ca="1" si="0"/>
        <v>7.4874205408073893E-6</v>
      </c>
      <c r="G9" s="795">
        <f t="shared" ca="1" si="1"/>
        <v>-0.13212491194639336</v>
      </c>
      <c r="H9" s="794">
        <f t="shared" ca="1" si="2"/>
        <v>0.37844724009818453</v>
      </c>
      <c r="I9" s="816">
        <f t="shared" ca="1" si="3"/>
        <v>-0.50793351795592756</v>
      </c>
      <c r="J9" s="815">
        <f t="shared" ca="1" si="4"/>
        <v>3.9335463587403434E-7</v>
      </c>
      <c r="L9" s="808"/>
      <c r="M9" s="808"/>
      <c r="Q9" s="10">
        <v>0</v>
      </c>
      <c r="R9" s="10">
        <v>0</v>
      </c>
      <c r="T9" t="str">
        <f t="shared" si="6"/>
        <v>Lead pipes</v>
      </c>
      <c r="U9" s="10">
        <f ca="1">(E9*HHProps_SSW+'WTP PR24 SSC'!G9*HHProps_CAM)/HHProps_All</f>
        <v>-0.71133923835139712</v>
      </c>
      <c r="W9" s="739" t="s">
        <v>269</v>
      </c>
      <c r="X9" s="739">
        <v>2.3308269233338857E-3</v>
      </c>
      <c r="Z9" s="902" t="s">
        <v>93</v>
      </c>
      <c r="AA9" s="902" t="s">
        <v>133</v>
      </c>
      <c r="AB9" s="909" t="s">
        <v>272</v>
      </c>
      <c r="AC9" s="921">
        <v>-0.8572409861005591</v>
      </c>
      <c r="AD9" s="922">
        <v>7.4874205408073893E-6</v>
      </c>
      <c r="AE9" s="923">
        <v>-0.13212491194639336</v>
      </c>
      <c r="AF9" s="924">
        <v>0.37844724009818453</v>
      </c>
      <c r="AG9" s="816">
        <v>-0.50793351795592756</v>
      </c>
      <c r="AH9" s="939">
        <v>3.9335463587403434E-7</v>
      </c>
      <c r="AI9" s="938">
        <v>-1.37</v>
      </c>
      <c r="AJ9" s="897">
        <v>0.02</v>
      </c>
      <c r="AK9" s="895">
        <v>-0.92</v>
      </c>
      <c r="AL9" s="889">
        <v>0.28000000000000003</v>
      </c>
      <c r="AM9" s="816">
        <f>(AI9*HHProps_SSW+'WTP PR24 SSC'!AK9*HHProps_CAM)/HHProps_All</f>
        <v>-1.2794547909950706</v>
      </c>
      <c r="AN9" s="939">
        <f>(AJ9*HHProps_SSW+'WTP PR24 SSC'!AL9*HHProps_CAM)/HHProps_All</f>
        <v>7.2315009647292622E-2</v>
      </c>
      <c r="AO9" s="899">
        <v>-0.79</v>
      </c>
      <c r="AP9" s="897">
        <v>0</v>
      </c>
      <c r="AQ9" s="895">
        <v>-0.25</v>
      </c>
      <c r="AR9" s="889">
        <v>0.34</v>
      </c>
      <c r="AS9" s="816">
        <f>(AO9*HHProps_SSW+'WTP PR24 SSC'!AQ9*HHProps_CAM)/HHProps_All</f>
        <v>-0.68134574919408464</v>
      </c>
      <c r="AT9" s="939">
        <f>(AP9*HHProps_SSW+'WTP PR24 SSC'!AR9*HHProps_CAM)/HHProps_All</f>
        <v>6.8411935692613418E-2</v>
      </c>
      <c r="AU9" s="899">
        <v>-1.05</v>
      </c>
      <c r="AV9" s="897">
        <v>0</v>
      </c>
      <c r="AW9" s="895">
        <v>-0.21</v>
      </c>
      <c r="AX9" s="888">
        <v>0.38</v>
      </c>
      <c r="AY9" s="816">
        <f>(AU9*HHProps_SSW+'WTP PR24 SSC'!AW9*HHProps_CAM)/HHProps_All</f>
        <v>-0.88098227652413152</v>
      </c>
      <c r="AZ9" s="939">
        <f>(AV9*HHProps_SSW+'WTP PR24 SSC'!AX9*HHProps_CAM)/HHProps_All</f>
        <v>7.6460398715273825E-2</v>
      </c>
    </row>
    <row r="10" spans="1:52" ht="25.5" thickBot="1" x14ac:dyDescent="0.4">
      <c r="A10" s="123" t="s">
        <v>40</v>
      </c>
      <c r="B10" s="9" t="s">
        <v>94</v>
      </c>
      <c r="C10" s="9" t="s">
        <v>265</v>
      </c>
      <c r="D10" s="792" t="s">
        <v>273</v>
      </c>
      <c r="E10" s="793">
        <f t="shared" ca="1" si="5"/>
        <v>0.60509995449035059</v>
      </c>
      <c r="F10" s="794">
        <f t="shared" ca="1" si="0"/>
        <v>3.0347941192806228E-11</v>
      </c>
      <c r="G10" s="793">
        <f t="shared" ca="1" si="1"/>
        <v>1.3985933510120936</v>
      </c>
      <c r="H10" s="794">
        <f t="shared" ca="1" si="2"/>
        <v>2.1364360981373732E-13</v>
      </c>
      <c r="I10" s="814">
        <f t="shared" ca="1" si="3"/>
        <v>0.8231886936119347</v>
      </c>
      <c r="J10" s="815">
        <f t="shared" ca="1" si="4"/>
        <v>1.132262068442898E-28</v>
      </c>
      <c r="L10" s="866">
        <f>TotalLeakMLPerDay/100</f>
        <v>0.74960408999999995</v>
      </c>
      <c r="M10" s="866">
        <f>TotalLeakMLPerDay/100</f>
        <v>0.74960408999999995</v>
      </c>
      <c r="N10" s="865" t="s">
        <v>274</v>
      </c>
      <c r="Q10" s="400">
        <f ca="1">E10*L10*HHProps_SSW</f>
        <v>244680.74782156225</v>
      </c>
      <c r="R10" s="400">
        <f ca="1">G10*M10*HHProps_CAM</f>
        <v>142457.5061055565</v>
      </c>
      <c r="T10" t="str">
        <f t="shared" si="6"/>
        <v>Water lost to leakage from pipes</v>
      </c>
      <c r="U10" s="10">
        <f ca="1">(E10*HHProps_SSW+'WTP PR24 SSC'!G10*HHProps_CAM)/HHProps_All</f>
        <v>0.76476001100611202</v>
      </c>
      <c r="W10" s="739" t="s">
        <v>261</v>
      </c>
      <c r="X10" s="739">
        <v>-5.7769005041858938E-2</v>
      </c>
      <c r="Z10" s="905" t="s">
        <v>94</v>
      </c>
      <c r="AA10" s="905" t="s">
        <v>265</v>
      </c>
      <c r="AB10" s="910" t="s">
        <v>273</v>
      </c>
      <c r="AC10" s="930">
        <v>0.60509995449035059</v>
      </c>
      <c r="AD10" s="931">
        <v>3.0347941192806228E-11</v>
      </c>
      <c r="AE10" s="932">
        <v>1.3985933510120936</v>
      </c>
      <c r="AF10" s="933">
        <v>2.1364360981373732E-13</v>
      </c>
      <c r="AG10" s="943">
        <v>0.8231886936119347</v>
      </c>
      <c r="AH10" s="944">
        <v>1.132262068442898E-28</v>
      </c>
      <c r="AI10" s="915">
        <v>-0.03</v>
      </c>
      <c r="AJ10" s="898">
        <v>0.87</v>
      </c>
      <c r="AK10" s="894">
        <v>0.88</v>
      </c>
      <c r="AL10" s="887">
        <v>0.04</v>
      </c>
      <c r="AM10" s="943">
        <f>(AI10*HHProps_SSW+'WTP PR24 SSC'!AK10*HHProps_CAM)/HHProps_All</f>
        <v>0.15310253376552416</v>
      </c>
      <c r="AN10" s="944">
        <f>(AJ10*HHProps_SSW+'WTP PR24 SSC'!AL10*HHProps_CAM)/HHProps_All</f>
        <v>0.70299439227979665</v>
      </c>
      <c r="AO10" s="894">
        <v>0.43</v>
      </c>
      <c r="AP10" s="898">
        <v>0</v>
      </c>
      <c r="AQ10" s="894">
        <v>1.25</v>
      </c>
      <c r="AR10" s="887">
        <v>0</v>
      </c>
      <c r="AS10" s="943">
        <f>(AO10*HHProps_SSW+'WTP PR24 SSC'!AQ10*HHProps_CAM)/HHProps_All</f>
        <v>0.59499349196453832</v>
      </c>
      <c r="AT10" s="944">
        <f>(AP10*HHProps_SSW+'WTP PR24 SSC'!AR10*HHProps_CAM)/HHProps_All</f>
        <v>0</v>
      </c>
      <c r="AU10" s="894">
        <v>0.35</v>
      </c>
      <c r="AV10" s="898">
        <v>0</v>
      </c>
      <c r="AW10" s="894">
        <v>1.1399999999999999</v>
      </c>
      <c r="AX10" s="894">
        <v>0</v>
      </c>
      <c r="AY10" s="943">
        <f>(AU10*HHProps_SSW+'WTP PR24 SSC'!AW10*HHProps_CAM)/HHProps_All</f>
        <v>0.50895714469754283</v>
      </c>
      <c r="AZ10" s="944">
        <f>(AV10*HHProps_SSW+'WTP PR24 SSC'!AX10*HHProps_CAM)/HHProps_All</f>
        <v>0</v>
      </c>
    </row>
    <row r="11" spans="1:52" ht="29.5" thickBot="1" x14ac:dyDescent="0.4">
      <c r="A11" t="s">
        <v>131</v>
      </c>
      <c r="B11" s="9" t="s">
        <v>95</v>
      </c>
      <c r="C11" s="9" t="s">
        <v>275</v>
      </c>
      <c r="D11" s="792" t="s">
        <v>276</v>
      </c>
      <c r="E11" s="795">
        <f t="shared" ca="1" si="5"/>
        <v>-0.17313396293476108</v>
      </c>
      <c r="F11" s="794">
        <f t="shared" ca="1" si="0"/>
        <v>2.3609356801641095E-2</v>
      </c>
      <c r="G11" s="795">
        <f t="shared" ca="1" si="1"/>
        <v>0.10525351164100248</v>
      </c>
      <c r="H11" s="794">
        <f t="shared" ca="1" si="2"/>
        <v>0.36709098208404495</v>
      </c>
      <c r="I11" s="816">
        <f t="shared" ca="1" si="3"/>
        <v>-8.5879805362552381E-2</v>
      </c>
      <c r="J11" s="815">
        <f t="shared" ca="1" si="4"/>
        <v>8.3645694796340819E-2</v>
      </c>
      <c r="L11" s="808"/>
      <c r="M11" s="808"/>
      <c r="Q11" s="10">
        <v>0</v>
      </c>
      <c r="R11" s="10">
        <v>0</v>
      </c>
      <c r="T11" t="str">
        <f t="shared" si="6"/>
        <v xml:space="preserve">Issues with tap water colour, taste, or smell </v>
      </c>
      <c r="U11" s="10">
        <f ca="1">(E11*HHProps_SSW+'WTP PR24 SSC'!G11*HHProps_CAM)/HHProps_All</f>
        <v>-0.11711918055738993</v>
      </c>
      <c r="W11" s="739" t="s">
        <v>275</v>
      </c>
      <c r="X11" s="739">
        <v>-0.11711918055738993</v>
      </c>
      <c r="Z11" s="906" t="s">
        <v>95</v>
      </c>
      <c r="AA11" s="906" t="s">
        <v>1226</v>
      </c>
      <c r="AB11" s="911" t="s">
        <v>276</v>
      </c>
      <c r="AC11" s="934">
        <v>-0.17313396293476108</v>
      </c>
      <c r="AD11" s="935">
        <v>2.3609356801641095E-2</v>
      </c>
      <c r="AE11" s="936">
        <v>0.10525351164100248</v>
      </c>
      <c r="AF11" s="937">
        <v>0.36709098208404495</v>
      </c>
      <c r="AG11" s="816">
        <v>-8.5879805362552381E-2</v>
      </c>
      <c r="AH11" s="939">
        <v>8.3645694796340819E-2</v>
      </c>
      <c r="AI11" s="916">
        <v>-0.56999999999999995</v>
      </c>
      <c r="AJ11" s="891">
        <v>0.04</v>
      </c>
      <c r="AK11" s="892">
        <v>-1.27</v>
      </c>
      <c r="AL11" s="893">
        <v>0.17</v>
      </c>
      <c r="AM11" s="816">
        <f>(AI11*HHProps_SSW+'WTP PR24 SSC'!AK11*HHProps_CAM)/HHProps_All</f>
        <v>-0.71084810289655698</v>
      </c>
      <c r="AN11" s="939">
        <f>(AJ11*HHProps_SSW+'WTP PR24 SSC'!AL11*HHProps_CAM)/HHProps_All</f>
        <v>6.615750482364631E-2</v>
      </c>
      <c r="AO11" s="890">
        <v>-0.25</v>
      </c>
      <c r="AP11" s="891">
        <v>0.05</v>
      </c>
      <c r="AQ11" s="892">
        <v>-0.09</v>
      </c>
      <c r="AR11" s="893">
        <v>0.69</v>
      </c>
      <c r="AS11" s="816">
        <f>(AO11*HHProps_SSW+'WTP PR24 SSC'!AQ11*HHProps_CAM)/HHProps_All</f>
        <v>-0.2178061479093584</v>
      </c>
      <c r="AT11" s="939">
        <f>(AP11*HHProps_SSW+'WTP PR24 SSC'!AR11*HHProps_CAM)/HHProps_All</f>
        <v>0.17877540836256642</v>
      </c>
      <c r="AU11" s="890">
        <v>-0.4</v>
      </c>
      <c r="AV11" s="891">
        <v>0.01</v>
      </c>
      <c r="AW11" s="892">
        <v>-0.14000000000000001</v>
      </c>
      <c r="AX11" s="890">
        <v>0.51</v>
      </c>
      <c r="AY11" s="816">
        <f>(AU11*HHProps_SSW+'WTP PR24 SSC'!AW11*HHProps_CAM)/HHProps_All</f>
        <v>-0.34768499035270745</v>
      </c>
      <c r="AZ11" s="939">
        <f>(AV11*HHProps_SSW+'WTP PR24 SSC'!AX11*HHProps_CAM)/HHProps_All</f>
        <v>0.11060578778325503</v>
      </c>
    </row>
    <row r="12" spans="1:52" ht="25" x14ac:dyDescent="0.35">
      <c r="A12" s="123" t="s">
        <v>141</v>
      </c>
      <c r="B12" s="9" t="s">
        <v>96</v>
      </c>
      <c r="C12" s="9" t="s">
        <v>268</v>
      </c>
      <c r="D12" s="792" t="s">
        <v>277</v>
      </c>
      <c r="E12" s="793">
        <f t="shared" ca="1" si="5"/>
        <v>0.16070622982656169</v>
      </c>
      <c r="F12" s="794">
        <f t="shared" ca="1" si="0"/>
        <v>6.2291769689778523E-5</v>
      </c>
      <c r="G12" s="793">
        <f t="shared" ca="1" si="1"/>
        <v>1.0271376785262802</v>
      </c>
      <c r="H12" s="794">
        <f t="shared" ca="1" si="2"/>
        <v>2.6307074510676674E-7</v>
      </c>
      <c r="I12" s="814">
        <f t="shared" ca="1" si="3"/>
        <v>0.17959677278771963</v>
      </c>
      <c r="J12" s="815">
        <f t="shared" ca="1" si="4"/>
        <v>5.717950610984557E-8</v>
      </c>
      <c r="L12" s="808">
        <v>1</v>
      </c>
      <c r="M12" s="808">
        <v>1</v>
      </c>
      <c r="N12" t="s">
        <v>223</v>
      </c>
      <c r="Q12" s="400">
        <f ca="1">E12*L12*HHProps_SSW</f>
        <v>86690.88649895096</v>
      </c>
      <c r="R12" s="400">
        <f ca="1">G12*M12*HHProps_CAM</f>
        <v>139569.52203350802</v>
      </c>
      <c r="T12" t="str">
        <f t="shared" si="6"/>
        <v>Chance of property flooding from a burst pipe</v>
      </c>
      <c r="U12" s="10">
        <f ca="1">(E12*HHProps_SSW+'WTP PR24 SSC'!G12*HHProps_CAM)/HHProps_All</f>
        <v>0.33504226673980592</v>
      </c>
      <c r="W12" s="739" t="s">
        <v>278</v>
      </c>
      <c r="X12" s="739">
        <v>-0.15206707678735407</v>
      </c>
      <c r="Z12" s="902" t="s">
        <v>96</v>
      </c>
      <c r="AA12" s="903" t="s">
        <v>268</v>
      </c>
      <c r="AB12" s="907" t="s">
        <v>277</v>
      </c>
      <c r="AC12" s="921">
        <v>0.16070622982656169</v>
      </c>
      <c r="AD12" s="922">
        <v>6.2291769689778523E-5</v>
      </c>
      <c r="AE12" s="923">
        <v>1.0271376785262802</v>
      </c>
      <c r="AF12" s="924">
        <v>2.6307074510676674E-7</v>
      </c>
      <c r="AG12" s="814">
        <v>0.17959677278771963</v>
      </c>
      <c r="AH12" s="939">
        <v>5.717950610984557E-8</v>
      </c>
      <c r="AI12" s="938">
        <v>-0.04</v>
      </c>
      <c r="AJ12" s="897">
        <v>0.65</v>
      </c>
      <c r="AK12" s="895">
        <v>-0.12</v>
      </c>
      <c r="AL12" s="889">
        <v>0.88</v>
      </c>
      <c r="AM12" s="814">
        <f>(AI12*HHProps_SSW+'WTP PR24 SSC'!AK12*HHProps_CAM)/HHProps_All</f>
        <v>-5.6096926045320801E-2</v>
      </c>
      <c r="AN12" s="939">
        <f>(AJ12*HHProps_SSW+'WTP PR24 SSC'!AL12*HHProps_CAM)/HHProps_All</f>
        <v>0.69627866238029723</v>
      </c>
      <c r="AO12" s="899">
        <v>0.2</v>
      </c>
      <c r="AP12" s="897">
        <v>0</v>
      </c>
      <c r="AQ12" s="895">
        <v>1.21</v>
      </c>
      <c r="AR12" s="889">
        <v>0</v>
      </c>
      <c r="AS12" s="814">
        <f>(AO12*HHProps_SSW+'WTP PR24 SSC'!AQ12*HHProps_CAM)/HHProps_All</f>
        <v>0.40322369132217517</v>
      </c>
      <c r="AT12" s="939">
        <f>(AP12*HHProps_SSW+'WTP PR24 SSC'!AR12*HHProps_CAM)/HHProps_All</f>
        <v>0</v>
      </c>
      <c r="AU12" s="899">
        <v>0.13</v>
      </c>
      <c r="AV12" s="897">
        <v>0.03</v>
      </c>
      <c r="AW12" s="895">
        <v>1.02</v>
      </c>
      <c r="AX12" s="888">
        <v>0</v>
      </c>
      <c r="AY12" s="814">
        <f>(AU12*HHProps_SSW+'WTP PR24 SSC'!AW12*HHProps_CAM)/HHProps_All</f>
        <v>0.30907830225419397</v>
      </c>
      <c r="AZ12" s="939">
        <f>(AV12*HHProps_SSW+'WTP PR24 SSC'!AX12*HHProps_CAM)/HHProps_All</f>
        <v>2.3963652733004697E-2</v>
      </c>
    </row>
    <row r="13" spans="1:52" ht="29.5" thickBot="1" x14ac:dyDescent="0.4">
      <c r="A13" t="s">
        <v>139</v>
      </c>
      <c r="B13" s="9" t="s">
        <v>97</v>
      </c>
      <c r="C13" s="9" t="s">
        <v>139</v>
      </c>
      <c r="D13" s="792" t="s">
        <v>279</v>
      </c>
      <c r="E13" s="795">
        <f t="shared" ca="1" si="5"/>
        <v>-0.27097294579306097</v>
      </c>
      <c r="F13" s="794">
        <f t="shared" ca="1" si="0"/>
        <v>1.0482520776073685E-6</v>
      </c>
      <c r="G13" s="795">
        <f t="shared" ca="1" si="1"/>
        <v>-0.1159718828681118</v>
      </c>
      <c r="H13" s="794">
        <f t="shared" ca="1" si="2"/>
        <v>8.0312186932022557E-3</v>
      </c>
      <c r="I13" s="816">
        <f t="shared" ca="1" si="3"/>
        <v>-0.18741502629711521</v>
      </c>
      <c r="J13" s="815">
        <f t="shared" ca="1" si="4"/>
        <v>7.4693102014946801E-11</v>
      </c>
      <c r="L13" s="808"/>
      <c r="M13" s="808"/>
      <c r="Q13" s="10">
        <v>0</v>
      </c>
      <c r="R13" s="10">
        <v>0</v>
      </c>
      <c r="T13" t="str">
        <f t="shared" si="6"/>
        <v>Low water pressure</v>
      </c>
      <c r="U13" s="10">
        <f ca="1">(E13*HHProps_SSW+'WTP PR24 SSC'!G13*HHProps_CAM)/HHProps_All</f>
        <v>-0.23978493770744816</v>
      </c>
      <c r="W13" s="739" t="s">
        <v>266</v>
      </c>
      <c r="X13" s="739">
        <v>-0.22845792401284262</v>
      </c>
      <c r="Z13" s="904" t="s">
        <v>97</v>
      </c>
      <c r="AA13" s="904" t="s">
        <v>139</v>
      </c>
      <c r="AB13" s="912" t="s">
        <v>279</v>
      </c>
      <c r="AC13" s="929">
        <v>-0.27097294579306097</v>
      </c>
      <c r="AD13" s="918">
        <v>1.0482520776073685E-6</v>
      </c>
      <c r="AE13" s="919">
        <v>-0.1159718828681118</v>
      </c>
      <c r="AF13" s="920">
        <v>8.0312186932022557E-3</v>
      </c>
      <c r="AG13" s="816">
        <v>-0.18741502629711521</v>
      </c>
      <c r="AH13" s="939">
        <v>7.4693102014946801E-11</v>
      </c>
      <c r="AI13" s="914">
        <v>-0.37</v>
      </c>
      <c r="AJ13" s="885">
        <v>0.02</v>
      </c>
      <c r="AK13" s="881">
        <v>-0.48</v>
      </c>
      <c r="AL13" s="886">
        <v>0.12</v>
      </c>
      <c r="AM13" s="816">
        <f>(AI13*HHProps_SSW+'WTP PR24 SSC'!AK13*HHProps_CAM)/HHProps_All</f>
        <v>-0.39213327331231607</v>
      </c>
      <c r="AN13" s="939">
        <f>(AJ13*HHProps_SSW+'WTP PR24 SSC'!AL13*HHProps_CAM)/HHProps_All</f>
        <v>4.0121157556651008E-2</v>
      </c>
      <c r="AO13" s="884">
        <v>-0.2</v>
      </c>
      <c r="AP13" s="885">
        <v>0.01</v>
      </c>
      <c r="AQ13" s="881">
        <v>-0.09</v>
      </c>
      <c r="AR13" s="886">
        <v>0.19</v>
      </c>
      <c r="AS13" s="816">
        <f>(AO13*HHProps_SSW+'WTP PR24 SSC'!AQ13*HHProps_CAM)/HHProps_All</f>
        <v>-0.17786672668768391</v>
      </c>
      <c r="AT13" s="939">
        <f>(AP13*HHProps_SSW+'WTP PR24 SSC'!AR13*HHProps_CAM)/HHProps_All</f>
        <v>4.6218083601971813E-2</v>
      </c>
      <c r="AU13" s="884">
        <v>-0.3</v>
      </c>
      <c r="AV13" s="885">
        <v>0</v>
      </c>
      <c r="AW13" s="881">
        <v>-0.11</v>
      </c>
      <c r="AX13" s="884">
        <v>0.1</v>
      </c>
      <c r="AY13" s="816">
        <f>(AU13*HHProps_SSW+'WTP PR24 SSC'!AW13*HHProps_CAM)/HHProps_All</f>
        <v>-0.2617698006423631</v>
      </c>
      <c r="AZ13" s="939">
        <f>(AV13*HHProps_SSW+'WTP PR24 SSC'!AX13*HHProps_CAM)/HHProps_All</f>
        <v>2.0121157556651007E-2</v>
      </c>
    </row>
    <row r="14" spans="1:52" ht="25" x14ac:dyDescent="0.35">
      <c r="A14" s="123" t="s">
        <v>153</v>
      </c>
      <c r="B14" s="9" t="s">
        <v>98</v>
      </c>
      <c r="C14" s="9" t="s">
        <v>271</v>
      </c>
      <c r="D14" s="792" t="s">
        <v>280</v>
      </c>
      <c r="E14" s="793">
        <f t="shared" ca="1" si="5"/>
        <v>2.5641409602506608E-2</v>
      </c>
      <c r="F14" s="794">
        <f t="shared" ca="1" si="0"/>
        <v>1.9226735605799709E-11</v>
      </c>
      <c r="G14" s="793">
        <f t="shared" ca="1" si="1"/>
        <v>0.27679406312747723</v>
      </c>
      <c r="H14" s="794">
        <f t="shared" ca="1" si="2"/>
        <v>3.7370839323537163E-12</v>
      </c>
      <c r="I14" s="814">
        <f t="shared" ca="1" si="3"/>
        <v>2.6697933238335466E-2</v>
      </c>
      <c r="J14" s="815">
        <f t="shared" ca="1" si="4"/>
        <v>1.4111483515337685E-18</v>
      </c>
      <c r="L14" s="808">
        <v>0.1</v>
      </c>
      <c r="M14" s="808">
        <v>0.1</v>
      </c>
      <c r="N14" t="s">
        <v>281</v>
      </c>
      <c r="Q14" s="400">
        <f ca="1">E14*L14*HHProps_SSW</f>
        <v>1383.1925071747357</v>
      </c>
      <c r="R14" s="400">
        <f ca="1">G14*M14*HHProps_CAM</f>
        <v>3761.133088588786</v>
      </c>
      <c r="T14" t="str">
        <f t="shared" si="6"/>
        <v>Supporting nature and wildlife</v>
      </c>
      <c r="U14" s="10">
        <f ca="1">(E14*HHProps_SSW+'WTP PR24 SSC'!G14*HHProps_CAM)/HHProps_All</f>
        <v>7.6176230725975749E-2</v>
      </c>
      <c r="W14" s="739" t="s">
        <v>139</v>
      </c>
      <c r="X14" s="739">
        <v>-0.23978493770744816</v>
      </c>
      <c r="Z14" s="902" t="s">
        <v>98</v>
      </c>
      <c r="AA14" s="903" t="s">
        <v>271</v>
      </c>
      <c r="AB14" s="907" t="s">
        <v>280</v>
      </c>
      <c r="AC14" s="921">
        <v>2.5641409602506608E-2</v>
      </c>
      <c r="AD14" s="922">
        <v>1.9226735605799709E-11</v>
      </c>
      <c r="AE14" s="923">
        <v>0.27679406312747723</v>
      </c>
      <c r="AF14" s="924">
        <v>3.7370839323537163E-12</v>
      </c>
      <c r="AG14" s="814">
        <v>2.6697933238335466E-2</v>
      </c>
      <c r="AH14" s="939">
        <v>1.4111483515337685E-18</v>
      </c>
      <c r="AI14" s="938">
        <v>0.02</v>
      </c>
      <c r="AJ14" s="897">
        <v>0.02</v>
      </c>
      <c r="AK14" s="895">
        <v>0.21</v>
      </c>
      <c r="AL14" s="889">
        <v>0.08</v>
      </c>
      <c r="AM14" s="814">
        <f>(AI14*HHProps_SSW+'WTP PR24 SSC'!AK14*HHProps_CAM)/HHProps_All</f>
        <v>5.823019935763691E-2</v>
      </c>
      <c r="AN14" s="939">
        <f>(AJ14*HHProps_SSW+'WTP PR24 SSC'!AL14*HHProps_CAM)/HHProps_All</f>
        <v>3.2072694533990601E-2</v>
      </c>
      <c r="AO14" s="899">
        <v>0.03</v>
      </c>
      <c r="AP14" s="897">
        <v>0</v>
      </c>
      <c r="AQ14" s="895">
        <v>0.28999999999999998</v>
      </c>
      <c r="AR14" s="889">
        <v>0</v>
      </c>
      <c r="AS14" s="814">
        <f>(AO14*HHProps_SSW+'WTP PR24 SSC'!AQ14*HHProps_CAM)/HHProps_All</f>
        <v>8.2315009647292617E-2</v>
      </c>
      <c r="AT14" s="939">
        <f>(AP14*HHProps_SSW+'WTP PR24 SSC'!AR14*HHProps_CAM)/HHProps_All</f>
        <v>0</v>
      </c>
      <c r="AU14" s="899">
        <v>0.02</v>
      </c>
      <c r="AV14" s="897">
        <v>0</v>
      </c>
      <c r="AW14" s="895">
        <v>0.26</v>
      </c>
      <c r="AX14" s="888">
        <v>0</v>
      </c>
      <c r="AY14" s="814">
        <f>(AU14*HHProps_SSW+'WTP PR24 SSC'!AW14*HHProps_CAM)/HHProps_All</f>
        <v>6.8290778135962404E-2</v>
      </c>
      <c r="AZ14" s="939">
        <f>(AV14*HHProps_SSW+'WTP PR24 SSC'!AX14*HHProps_CAM)/HHProps_All</f>
        <v>0</v>
      </c>
    </row>
    <row r="15" spans="1:52" ht="38" thickBot="1" x14ac:dyDescent="0.4">
      <c r="A15" t="s">
        <v>137</v>
      </c>
      <c r="B15" s="9" t="s">
        <v>99</v>
      </c>
      <c r="C15" s="9" t="s">
        <v>278</v>
      </c>
      <c r="D15" s="792" t="s">
        <v>282</v>
      </c>
      <c r="E15" s="795">
        <f t="shared" ca="1" si="5"/>
        <v>-0.18796207321754321</v>
      </c>
      <c r="F15" s="794">
        <f t="shared" ca="1" si="0"/>
        <v>1.4100317879500832E-5</v>
      </c>
      <c r="G15" s="795">
        <f t="shared" ca="1" si="1"/>
        <v>-9.5677818894872278E-3</v>
      </c>
      <c r="H15" s="794">
        <f t="shared" ca="1" si="2"/>
        <v>0.76572961828464614</v>
      </c>
      <c r="I15" s="816">
        <f t="shared" ca="1" si="3"/>
        <v>-0.1039806340018314</v>
      </c>
      <c r="J15" s="815">
        <f t="shared" ca="1" si="4"/>
        <v>2.9624019731770177E-6</v>
      </c>
      <c r="L15" s="808"/>
      <c r="M15" s="808"/>
      <c r="Q15" s="10">
        <v>0</v>
      </c>
      <c r="R15" s="10">
        <v>0</v>
      </c>
      <c r="T15" t="str">
        <f t="shared" si="6"/>
        <v>Unplanned short interruptions to water supply</v>
      </c>
      <c r="U15" s="10">
        <f ca="1">(E15*HHProps_SSW+'WTP PR24 SSC'!G15*HHProps_CAM)/HHProps_All</f>
        <v>-0.15206707678735407</v>
      </c>
      <c r="W15" s="739" t="s">
        <v>133</v>
      </c>
      <c r="X15" s="739">
        <v>-0.71133923835139712</v>
      </c>
      <c r="Z15" s="904" t="s">
        <v>99</v>
      </c>
      <c r="AA15" s="904" t="s">
        <v>278</v>
      </c>
      <c r="AB15" s="912" t="s">
        <v>282</v>
      </c>
      <c r="AC15" s="929">
        <v>-0.18796207321754321</v>
      </c>
      <c r="AD15" s="918">
        <v>1.4100317879500832E-5</v>
      </c>
      <c r="AE15" s="919">
        <v>-9.5677818894872278E-3</v>
      </c>
      <c r="AF15" s="920">
        <v>0.76572961828464614</v>
      </c>
      <c r="AG15" s="816">
        <v>-0.1039806340018314</v>
      </c>
      <c r="AH15" s="939">
        <v>2.9624019731770177E-6</v>
      </c>
      <c r="AI15" s="914">
        <v>-0.28999999999999998</v>
      </c>
      <c r="AJ15" s="885">
        <v>0.02</v>
      </c>
      <c r="AK15" s="881">
        <v>-0.46</v>
      </c>
      <c r="AL15" s="886">
        <v>0.11</v>
      </c>
      <c r="AM15" s="816">
        <f>(AI15*HHProps_SSW+'WTP PR24 SSC'!AK15*HHProps_CAM)/HHProps_All</f>
        <v>-0.32420596784630668</v>
      </c>
      <c r="AN15" s="939">
        <f>(AJ15*HHProps_SSW+'WTP PR24 SSC'!AL15*HHProps_CAM)/HHProps_All</f>
        <v>3.8109041800985906E-2</v>
      </c>
      <c r="AO15" s="884">
        <v>-0.14000000000000001</v>
      </c>
      <c r="AP15" s="885">
        <v>0.02</v>
      </c>
      <c r="AQ15" s="881">
        <v>-0.03</v>
      </c>
      <c r="AR15" s="886">
        <v>0.54</v>
      </c>
      <c r="AS15" s="816">
        <f>(AO15*HHProps_SSW+'WTP PR24 SSC'!AQ15*HHProps_CAM)/HHProps_All</f>
        <v>-0.11786672668768391</v>
      </c>
      <c r="AT15" s="939">
        <f>(AP15*HHProps_SSW+'WTP PR24 SSC'!AR15*HHProps_CAM)/HHProps_All</f>
        <v>0.12463001929458523</v>
      </c>
      <c r="AU15" s="884">
        <v>-0.21</v>
      </c>
      <c r="AV15" s="885">
        <v>0</v>
      </c>
      <c r="AW15" s="881">
        <v>-0.06</v>
      </c>
      <c r="AX15" s="884">
        <v>0.26</v>
      </c>
      <c r="AY15" s="816">
        <f>(AU15*HHProps_SSW+'WTP PR24 SSC'!AW15*HHProps_CAM)/HHProps_All</f>
        <v>-0.17981826366502349</v>
      </c>
      <c r="AZ15" s="939">
        <f>(AV15*HHProps_SSW+'WTP PR24 SSC'!AX15*HHProps_CAM)/HHProps_All</f>
        <v>5.2315009647292611E-2</v>
      </c>
    </row>
    <row r="16" spans="1:52" ht="29" x14ac:dyDescent="0.35">
      <c r="A16" t="s">
        <v>143</v>
      </c>
      <c r="B16" s="796" t="s">
        <v>100</v>
      </c>
      <c r="C16" s="796" t="s">
        <v>283</v>
      </c>
      <c r="D16" s="797" t="s">
        <v>284</v>
      </c>
      <c r="E16" s="798">
        <f t="shared" ca="1" si="5"/>
        <v>-5.9851578635590705</v>
      </c>
      <c r="F16" s="799">
        <f t="shared" ca="1" si="0"/>
        <v>2.9641731489465101E-6</v>
      </c>
      <c r="G16" s="798">
        <f t="shared" ca="1" si="1"/>
        <v>-0.30004148305460404</v>
      </c>
      <c r="H16" s="799">
        <f t="shared" ca="1" si="2"/>
        <v>6.898682620147753E-2</v>
      </c>
      <c r="I16" s="817">
        <f t="shared" ca="1" si="3"/>
        <v>-0.59269353682335502</v>
      </c>
      <c r="J16" s="818">
        <f t="shared" ca="1" si="4"/>
        <v>4.5566337475822465E-5</v>
      </c>
      <c r="L16" s="808"/>
      <c r="M16" s="808"/>
      <c r="Q16" s="10">
        <v>0</v>
      </c>
      <c r="R16" s="10">
        <v>0</v>
      </c>
      <c r="T16" t="str">
        <f t="shared" si="6"/>
        <v>Risk of temporary use ban, including hosepipes</v>
      </c>
      <c r="U16" s="10">
        <f ca="1">(E16*HHProps_SSW+'WTP PR24 SSC'!G16*HHProps_CAM)/HHProps_All</f>
        <v>-4.8412466393587916</v>
      </c>
      <c r="W16" s="739" t="s">
        <v>283</v>
      </c>
      <c r="X16" s="739">
        <v>-4.8412466393587916</v>
      </c>
      <c r="Z16" s="902" t="s">
        <v>100</v>
      </c>
      <c r="AA16" s="903" t="s">
        <v>283</v>
      </c>
      <c r="AB16" s="907" t="s">
        <v>284</v>
      </c>
      <c r="AC16" s="921">
        <v>-5.9851578635590705</v>
      </c>
      <c r="AD16" s="922">
        <v>2.9641731489465101E-6</v>
      </c>
      <c r="AE16" s="923">
        <v>-0.30004148305460404</v>
      </c>
      <c r="AF16" s="924">
        <v>6.898682620147753E-2</v>
      </c>
      <c r="AG16" s="817">
        <v>-0.59269353682335502</v>
      </c>
      <c r="AH16" s="940">
        <v>4.5566337475822465E-5</v>
      </c>
      <c r="AI16" s="938">
        <v>-6.72</v>
      </c>
      <c r="AJ16" s="897">
        <v>0.03</v>
      </c>
      <c r="AK16" s="895">
        <v>-2.38</v>
      </c>
      <c r="AL16" s="889">
        <v>0.09</v>
      </c>
      <c r="AM16" s="817">
        <f>(AI16*HHProps_SSW+'WTP PR24 SSC'!AK16*HHProps_CAM)/HHProps_All</f>
        <v>-5.8467417620413462</v>
      </c>
      <c r="AN16" s="940">
        <f>(AJ16*HHProps_SSW+'WTP PR24 SSC'!AL16*HHProps_CAM)/HHProps_All</f>
        <v>4.2072694533990602E-2</v>
      </c>
      <c r="AO16" s="899">
        <v>-4.8600000000000003</v>
      </c>
      <c r="AP16" s="897">
        <v>0</v>
      </c>
      <c r="AQ16" s="895">
        <v>-0.48</v>
      </c>
      <c r="AR16" s="889">
        <v>0.11</v>
      </c>
      <c r="AS16" s="817">
        <f>(AO16*HHProps_SSW+'WTP PR24 SSC'!AQ16*HHProps_CAM)/HHProps_All</f>
        <v>-3.9786932990186861</v>
      </c>
      <c r="AT16" s="940">
        <f>(AP16*HHProps_SSW+'WTP PR24 SSC'!AR16*HHProps_CAM)/HHProps_All</f>
        <v>2.2133273312316105E-2</v>
      </c>
      <c r="AU16" s="899">
        <v>-6.01</v>
      </c>
      <c r="AV16" s="897">
        <v>0</v>
      </c>
      <c r="AW16" s="895">
        <v>-0.52</v>
      </c>
      <c r="AX16" s="888">
        <v>7.0000000000000007E-2</v>
      </c>
      <c r="AY16" s="817">
        <f>(AU16*HHProps_SSW+'WTP PR24 SSC'!AW16*HHProps_CAM)/HHProps_All</f>
        <v>-4.9053484501398605</v>
      </c>
      <c r="AZ16" s="940">
        <f>(AV16*HHProps_SSW+'WTP PR24 SSC'!AX16*HHProps_CAM)/HHProps_All</f>
        <v>1.4084810289655705E-2</v>
      </c>
    </row>
    <row r="17" spans="1:52" ht="15" thickBot="1" x14ac:dyDescent="0.4">
      <c r="Q17" s="10"/>
      <c r="R17" s="10"/>
      <c r="Z17" s="894"/>
      <c r="AA17" s="894"/>
      <c r="AB17" s="887"/>
      <c r="AC17" s="900"/>
      <c r="AD17" s="898"/>
      <c r="AE17" s="896"/>
      <c r="AF17" s="887"/>
      <c r="AG17" s="894"/>
      <c r="AH17" s="887"/>
      <c r="AI17" s="894"/>
      <c r="AJ17" s="898"/>
      <c r="AK17" s="896"/>
      <c r="AL17" s="887"/>
      <c r="AM17" s="894"/>
      <c r="AN17" s="887"/>
      <c r="AO17" s="900"/>
      <c r="AP17" s="898"/>
      <c r="AQ17" s="896"/>
      <c r="AR17" s="887"/>
      <c r="AS17" s="894"/>
      <c r="AT17" s="887"/>
      <c r="AU17" s="900"/>
      <c r="AV17" s="898"/>
      <c r="AW17" s="896"/>
      <c r="AX17" s="894"/>
      <c r="AY17" s="894"/>
      <c r="AZ17" s="887"/>
    </row>
    <row r="18" spans="1:52" x14ac:dyDescent="0.35">
      <c r="Q18" s="10"/>
      <c r="R18" s="10"/>
    </row>
    <row r="19" spans="1:52" x14ac:dyDescent="0.35">
      <c r="B19" s="9" t="s">
        <v>285</v>
      </c>
      <c r="E19" s="991" t="s">
        <v>286</v>
      </c>
      <c r="F19" s="991"/>
      <c r="G19" s="991"/>
      <c r="H19" s="991"/>
      <c r="I19" s="991"/>
      <c r="J19" s="991"/>
      <c r="Q19" s="10"/>
      <c r="R19" s="10"/>
    </row>
    <row r="20" spans="1:52" x14ac:dyDescent="0.35">
      <c r="B20" s="3"/>
      <c r="C20" s="3"/>
      <c r="D20" s="784"/>
      <c r="E20" s="991" t="s">
        <v>220</v>
      </c>
      <c r="F20" s="992"/>
      <c r="G20" s="991" t="s">
        <v>26</v>
      </c>
      <c r="H20" s="992"/>
      <c r="I20" s="993" t="s">
        <v>258</v>
      </c>
      <c r="J20" s="994"/>
      <c r="L20" t="s">
        <v>287</v>
      </c>
      <c r="Q20" s="10"/>
      <c r="R20" s="10"/>
    </row>
    <row r="21" spans="1:52" ht="29" x14ac:dyDescent="0.35">
      <c r="B21" s="990" t="s">
        <v>203</v>
      </c>
      <c r="C21" s="990"/>
      <c r="D21" s="785" t="s">
        <v>124</v>
      </c>
      <c r="E21" s="804" t="s">
        <v>259</v>
      </c>
      <c r="F21" s="805" t="s">
        <v>260</v>
      </c>
      <c r="G21" s="806" t="s">
        <v>259</v>
      </c>
      <c r="H21" s="805" t="s">
        <v>260</v>
      </c>
      <c r="I21" s="819" t="s">
        <v>259</v>
      </c>
      <c r="J21" s="820" t="s">
        <v>260</v>
      </c>
      <c r="L21" t="s">
        <v>220</v>
      </c>
      <c r="M21" t="s">
        <v>26</v>
      </c>
      <c r="Q21" s="10"/>
      <c r="R21" s="10"/>
    </row>
    <row r="22" spans="1:52" ht="29" x14ac:dyDescent="0.35">
      <c r="A22" s="123" t="s">
        <v>125</v>
      </c>
      <c r="B22" s="788" t="s">
        <v>90</v>
      </c>
      <c r="C22" s="788" t="s">
        <v>263</v>
      </c>
      <c r="D22" s="789" t="s">
        <v>264</v>
      </c>
      <c r="E22" s="800">
        <v>1.3220776153756109E-2</v>
      </c>
      <c r="F22" s="794">
        <v>0.15075703422455738</v>
      </c>
      <c r="G22" s="800">
        <v>1.5423528581546334E-2</v>
      </c>
      <c r="H22" s="794">
        <v>0.13533616197457191</v>
      </c>
      <c r="I22" s="821">
        <v>9.5351395586473486E-3</v>
      </c>
      <c r="J22" s="815">
        <v>6.7432443893416599E-5</v>
      </c>
      <c r="L22" s="807">
        <f>0.01*1*AvgNHHBill_SSW</f>
        <v>44.24</v>
      </c>
      <c r="M22" s="807">
        <f>0.01*1*AvgNHHBill_CAM</f>
        <v>51.2</v>
      </c>
      <c r="N22" t="s">
        <v>223</v>
      </c>
      <c r="Q22" s="400">
        <f>E22*L22*NHHProps_SSW</f>
        <v>17539.595465620605</v>
      </c>
      <c r="R22" s="400">
        <f>G22*M22*NHHProps_CAM</f>
        <v>6784.9706277194809</v>
      </c>
      <c r="T22" t="str">
        <f>C22</f>
        <v>Risk of a temporary "do not drink" notice</v>
      </c>
      <c r="U22" s="10">
        <f>(E22*NHHProps_SSW+'WTP PR24 SSC'!G22*NHHProps_CAM)/NHHProps_All</f>
        <v>1.3711342479820742E-2</v>
      </c>
      <c r="W22" s="739" t="s">
        <v>263</v>
      </c>
      <c r="X22" s="739">
        <v>1.3711342479820742E-2</v>
      </c>
    </row>
    <row r="23" spans="1:52" ht="29" x14ac:dyDescent="0.35">
      <c r="A23" t="s">
        <v>151</v>
      </c>
      <c r="B23" s="9" t="s">
        <v>91</v>
      </c>
      <c r="C23" s="9" t="s">
        <v>266</v>
      </c>
      <c r="D23" s="792" t="s">
        <v>267</v>
      </c>
      <c r="E23" s="801">
        <v>-3.9996602286500134E-3</v>
      </c>
      <c r="F23" s="794">
        <v>0.38570143457924849</v>
      </c>
      <c r="G23" s="801">
        <v>-8.4184387559540462E-3</v>
      </c>
      <c r="H23" s="794">
        <v>0.37889751849795789</v>
      </c>
      <c r="I23" s="822">
        <v>-1.7644454925154955E-3</v>
      </c>
      <c r="J23" s="815">
        <v>4.9421657613995931E-2</v>
      </c>
      <c r="L23" s="807"/>
      <c r="M23" s="807"/>
      <c r="Q23" s="400">
        <v>0</v>
      </c>
      <c r="R23" s="400">
        <v>0</v>
      </c>
      <c r="T23" t="str">
        <f t="shared" ref="T23:T32" si="7">C23</f>
        <v>Installing ‘smart’ water meters</v>
      </c>
      <c r="U23" s="10">
        <f>(E23*NHHProps_SSW+'WTP PR24 SSC'!G23*NHHProps_CAM)/NHHProps_All</f>
        <v>-4.9837490079811756E-3</v>
      </c>
      <c r="W23" s="739" t="s">
        <v>265</v>
      </c>
      <c r="X23" s="739">
        <v>2.6126658128180678E-3</v>
      </c>
    </row>
    <row r="24" spans="1:52" ht="29" x14ac:dyDescent="0.35">
      <c r="A24" t="s">
        <v>135</v>
      </c>
      <c r="B24" s="9" t="s">
        <v>92</v>
      </c>
      <c r="C24" s="9" t="s">
        <v>269</v>
      </c>
      <c r="D24" s="792" t="s">
        <v>270</v>
      </c>
      <c r="E24" s="802">
        <v>-1.6938154361855471E-4</v>
      </c>
      <c r="F24" s="794">
        <v>0.50397195983407439</v>
      </c>
      <c r="G24" s="801">
        <v>-1.2207332259869961E-3</v>
      </c>
      <c r="H24" s="794">
        <v>0.33429442074345744</v>
      </c>
      <c r="I24" s="823">
        <v>-7.4880282816703136E-5</v>
      </c>
      <c r="J24" s="815">
        <v>0.31848485439930163</v>
      </c>
      <c r="L24" s="807"/>
      <c r="M24" s="807"/>
      <c r="Q24" s="400">
        <v>0</v>
      </c>
      <c r="R24" s="400">
        <v>0</v>
      </c>
      <c r="T24" t="str">
        <f t="shared" si="7"/>
        <v>Hard water supply</v>
      </c>
      <c r="U24" s="10">
        <f>(E24*NHHProps_SSW+'WTP PR24 SSC'!G24*NHHProps_CAM)/NHHProps_All</f>
        <v>-4.0352394006515005E-4</v>
      </c>
      <c r="W24" s="739" t="s">
        <v>268</v>
      </c>
      <c r="X24" s="739">
        <v>2.500317500985619E-3</v>
      </c>
    </row>
    <row r="25" spans="1:52" ht="29" x14ac:dyDescent="0.35">
      <c r="A25" t="s">
        <v>133</v>
      </c>
      <c r="B25" s="9" t="s">
        <v>93</v>
      </c>
      <c r="C25" s="9" t="s">
        <v>133</v>
      </c>
      <c r="D25" s="792" t="s">
        <v>272</v>
      </c>
      <c r="E25" s="801">
        <v>-1.6966659208240076E-2</v>
      </c>
      <c r="F25" s="794">
        <v>0.33642169281218348</v>
      </c>
      <c r="G25" s="801">
        <v>-1.7463896841007416E-2</v>
      </c>
      <c r="H25" s="794">
        <v>0.28308672025226173</v>
      </c>
      <c r="I25" s="822">
        <v>-8.8859757641730694E-3</v>
      </c>
      <c r="J25" s="815">
        <v>9.1978024546890136E-3</v>
      </c>
      <c r="L25" s="807"/>
      <c r="M25" s="807"/>
      <c r="Q25" s="400">
        <v>0</v>
      </c>
      <c r="R25" s="400">
        <v>0</v>
      </c>
      <c r="T25" t="str">
        <f t="shared" si="7"/>
        <v>Lead pipes</v>
      </c>
      <c r="U25" s="10">
        <f>(E25*NHHProps_SSW+'WTP PR24 SSC'!G25*NHHProps_CAM)/NHHProps_All</f>
        <v>-1.7077397044962136E-2</v>
      </c>
      <c r="W25" s="739" t="s">
        <v>271</v>
      </c>
      <c r="X25" s="739">
        <v>7.1193660155378122E-4</v>
      </c>
    </row>
    <row r="26" spans="1:52" x14ac:dyDescent="0.35">
      <c r="A26" s="123" t="s">
        <v>40</v>
      </c>
      <c r="B26" s="9" t="s">
        <v>94</v>
      </c>
      <c r="C26" s="9" t="s">
        <v>265</v>
      </c>
      <c r="D26" s="792" t="s">
        <v>273</v>
      </c>
      <c r="E26" s="800">
        <v>5.9716890827970603E-4</v>
      </c>
      <c r="F26" s="794">
        <v>0.87638227269610625</v>
      </c>
      <c r="G26" s="800">
        <v>9.6472004000266801E-3</v>
      </c>
      <c r="H26" s="794">
        <v>0.2048010626273567</v>
      </c>
      <c r="I26" s="821">
        <v>3.1168826922266532E-3</v>
      </c>
      <c r="J26" s="815">
        <v>4.580624686456615E-2</v>
      </c>
      <c r="L26" s="807">
        <f>TotalLeakMLPerDay/100*AvgNHHBill_SSW</f>
        <v>3316.2484941599996</v>
      </c>
      <c r="M26" s="807">
        <f>TotalLeakMLPerDay/100*AvgNHHBill_CAM</f>
        <v>3837.9729407999998</v>
      </c>
      <c r="N26" t="s">
        <v>274</v>
      </c>
      <c r="Q26" s="400">
        <f>E26*L26*NHHProps_SSW</f>
        <v>59387.050459338279</v>
      </c>
      <c r="R26" s="400">
        <f>G26*M26*NHHProps_CAM</f>
        <v>318124.76361936686</v>
      </c>
      <c r="T26" t="str">
        <f t="shared" si="7"/>
        <v>Water lost to leakage from pipes</v>
      </c>
      <c r="U26" s="10">
        <f>(E26*NHHProps_SSW+'WTP PR24 SSC'!G26*NHHProps_CAM)/NHHProps_All</f>
        <v>2.6126658128180678E-3</v>
      </c>
      <c r="W26" s="739" t="s">
        <v>269</v>
      </c>
      <c r="X26" s="739">
        <v>-4.0352394006515005E-4</v>
      </c>
    </row>
    <row r="27" spans="1:52" ht="29" x14ac:dyDescent="0.35">
      <c r="A27" t="s">
        <v>131</v>
      </c>
      <c r="B27" s="9" t="s">
        <v>95</v>
      </c>
      <c r="C27" s="9" t="s">
        <v>275</v>
      </c>
      <c r="D27" s="792" t="s">
        <v>276</v>
      </c>
      <c r="E27" s="801">
        <v>-1.2381578232096228E-3</v>
      </c>
      <c r="F27" s="794">
        <v>0.73327559619918725</v>
      </c>
      <c r="G27" s="801">
        <v>-1.3682647382705169E-2</v>
      </c>
      <c r="H27" s="794">
        <v>0.3501930001737491</v>
      </c>
      <c r="I27" s="822">
        <v>-9.2322697359814609E-4</v>
      </c>
      <c r="J27" s="815">
        <v>0.47848390106241029</v>
      </c>
      <c r="L27" s="807"/>
      <c r="M27" s="807"/>
      <c r="Q27" s="400">
        <v>0</v>
      </c>
      <c r="R27" s="400">
        <v>0</v>
      </c>
      <c r="T27" t="str">
        <f t="shared" si="7"/>
        <v xml:space="preserve">Issues with tap water colour, taste, or smell </v>
      </c>
      <c r="U27" s="10">
        <f>(E27*NHHProps_SSW+'WTP PR24 SSC'!G27*NHHProps_CAM)/NHHProps_All</f>
        <v>-4.0096211279059867E-3</v>
      </c>
      <c r="W27" s="739" t="s">
        <v>278</v>
      </c>
      <c r="X27" s="739">
        <v>-2.2504314128622776E-3</v>
      </c>
    </row>
    <row r="28" spans="1:52" x14ac:dyDescent="0.35">
      <c r="A28" s="123" t="s">
        <v>141</v>
      </c>
      <c r="B28" s="9" t="s">
        <v>96</v>
      </c>
      <c r="C28" s="9" t="s">
        <v>268</v>
      </c>
      <c r="D28" s="792" t="s">
        <v>277</v>
      </c>
      <c r="E28" s="800">
        <v>1.8336564754066079E-3</v>
      </c>
      <c r="F28" s="794">
        <v>0.37949348155034196</v>
      </c>
      <c r="G28" s="800">
        <v>4.8271134547872236E-3</v>
      </c>
      <c r="H28" s="794">
        <v>0.47018866234773016</v>
      </c>
      <c r="I28" s="821">
        <v>1.3250866418388597E-3</v>
      </c>
      <c r="J28" s="815">
        <v>0.15568181044147605</v>
      </c>
      <c r="L28" s="807">
        <f>0.01*1*AvgNHHBill_SSW</f>
        <v>44.24</v>
      </c>
      <c r="M28" s="807">
        <f>0.01*1*AvgNHHBill_CAM</f>
        <v>51.2</v>
      </c>
      <c r="N28" t="s">
        <v>223</v>
      </c>
      <c r="Q28" s="400">
        <f>E28*L28*NHHProps_SSW</f>
        <v>2432.6554226099865</v>
      </c>
      <c r="R28" s="400">
        <f>G28*M28*NHHProps_CAM</f>
        <v>2123.4974107408293</v>
      </c>
      <c r="T28" t="str">
        <f t="shared" si="7"/>
        <v>Chance of property flooding from a burst pipe</v>
      </c>
      <c r="U28" s="10">
        <f>(E28*NHHProps_SSW+'WTP PR24 SSC'!G28*NHHProps_CAM)/NHHProps_All</f>
        <v>2.500317500985619E-3</v>
      </c>
      <c r="W28" s="739" t="s">
        <v>139</v>
      </c>
      <c r="X28" s="739">
        <v>-2.8702120770173574E-3</v>
      </c>
    </row>
    <row r="29" spans="1:52" ht="29" x14ac:dyDescent="0.35">
      <c r="A29" t="s">
        <v>139</v>
      </c>
      <c r="B29" s="9" t="s">
        <v>97</v>
      </c>
      <c r="C29" s="9" t="s">
        <v>139</v>
      </c>
      <c r="D29" s="792" t="s">
        <v>279</v>
      </c>
      <c r="E29" s="801">
        <v>-3.4281741808847529E-3</v>
      </c>
      <c r="F29" s="794">
        <v>0.35596783096060425</v>
      </c>
      <c r="G29" s="801">
        <v>-9.2279965025112538E-4</v>
      </c>
      <c r="H29" s="794">
        <v>0.59300556561142748</v>
      </c>
      <c r="I29" s="822">
        <v>-1.1557880708530431E-3</v>
      </c>
      <c r="J29" s="815">
        <v>7.226369440440325E-2</v>
      </c>
      <c r="L29" s="807"/>
      <c r="M29" s="807"/>
      <c r="Q29" s="400">
        <v>0</v>
      </c>
      <c r="R29" s="400">
        <v>0</v>
      </c>
      <c r="T29" t="str">
        <f t="shared" si="7"/>
        <v>Low water pressure</v>
      </c>
      <c r="U29" s="10">
        <f>(E29*NHHProps_SSW+'WTP PR24 SSC'!G29*NHHProps_CAM)/NHHProps_All</f>
        <v>-2.8702120770173574E-3</v>
      </c>
      <c r="W29" s="739" t="s">
        <v>275</v>
      </c>
      <c r="X29" s="739">
        <v>-4.0096211279059867E-3</v>
      </c>
    </row>
    <row r="30" spans="1:52" x14ac:dyDescent="0.35">
      <c r="A30" s="123" t="s">
        <v>153</v>
      </c>
      <c r="B30" s="9" t="s">
        <v>98</v>
      </c>
      <c r="C30" s="9" t="s">
        <v>271</v>
      </c>
      <c r="D30" s="792" t="s">
        <v>280</v>
      </c>
      <c r="E30" s="800">
        <v>1.7118578643962484E-4</v>
      </c>
      <c r="F30" s="794">
        <v>0.37399808462705014</v>
      </c>
      <c r="G30" s="800">
        <v>2.5992777844731619E-3</v>
      </c>
      <c r="H30" s="794">
        <v>0.21671242917667069</v>
      </c>
      <c r="I30" s="821">
        <v>1.3689248914941322E-4</v>
      </c>
      <c r="J30" s="815">
        <v>8.3763528957970498E-2</v>
      </c>
      <c r="L30" s="807">
        <f>0.01*0.11*AvgNHHBill_SSW</f>
        <v>4.8664000000000005</v>
      </c>
      <c r="M30" s="807">
        <f>0.01*0.11*AvgNHHBill_CAM</f>
        <v>5.6320000000000006</v>
      </c>
      <c r="N30" t="s">
        <v>281</v>
      </c>
      <c r="Q30" s="400">
        <f>E30*L30*NHHProps_SSW</f>
        <v>24.981758631760155</v>
      </c>
      <c r="R30" s="400">
        <f>G30*M30*NHHProps_CAM</f>
        <v>125.77942628665728</v>
      </c>
      <c r="T30" t="str">
        <f t="shared" si="7"/>
        <v>Supporting nature and wildlife</v>
      </c>
      <c r="U30" s="10">
        <f>(E30*NHHProps_SSW+'WTP PR24 SSC'!G30*NHHProps_CAM)/NHHProps_All</f>
        <v>7.1193660155378122E-4</v>
      </c>
      <c r="W30" s="739" t="s">
        <v>266</v>
      </c>
      <c r="X30" s="739">
        <v>-4.9837490079811756E-3</v>
      </c>
    </row>
    <row r="31" spans="1:52" ht="29" x14ac:dyDescent="0.35">
      <c r="A31" t="s">
        <v>137</v>
      </c>
      <c r="B31" s="9" t="s">
        <v>99</v>
      </c>
      <c r="C31" s="9" t="s">
        <v>278</v>
      </c>
      <c r="D31" s="792" t="s">
        <v>282</v>
      </c>
      <c r="E31" s="801">
        <v>-2.3962145069948253E-3</v>
      </c>
      <c r="F31" s="794">
        <v>0.38125600555767458</v>
      </c>
      <c r="G31" s="801">
        <v>-1.7416158371119461E-3</v>
      </c>
      <c r="H31" s="794">
        <v>0.40769951892566858</v>
      </c>
      <c r="I31" s="822">
        <v>-1.0249435410099902E-3</v>
      </c>
      <c r="J31" s="815">
        <v>8.1433034078300687E-2</v>
      </c>
      <c r="L31" s="807"/>
      <c r="M31" s="807"/>
      <c r="Q31" s="10">
        <v>0</v>
      </c>
      <c r="R31" s="10">
        <v>0</v>
      </c>
      <c r="T31" t="str">
        <f t="shared" si="7"/>
        <v>Unplanned short interruptions to water supply</v>
      </c>
      <c r="U31" s="10">
        <f>(E31*NHHProps_SSW+'WTP PR24 SSC'!G31*NHHProps_CAM)/NHHProps_All</f>
        <v>-2.2504314128622776E-3</v>
      </c>
      <c r="W31" s="739" t="s">
        <v>133</v>
      </c>
      <c r="X31" s="739">
        <v>-1.7077397044962136E-2</v>
      </c>
    </row>
    <row r="32" spans="1:52" ht="29" x14ac:dyDescent="0.35">
      <c r="A32" t="s">
        <v>143</v>
      </c>
      <c r="B32" s="796" t="s">
        <v>100</v>
      </c>
      <c r="C32" s="796" t="s">
        <v>288</v>
      </c>
      <c r="D32" s="797" t="s">
        <v>284</v>
      </c>
      <c r="E32" s="803">
        <v>-8.8636015504697477E-2</v>
      </c>
      <c r="F32" s="799">
        <v>0.52897818733666657</v>
      </c>
      <c r="G32" s="803">
        <v>-2.4269893720022473E-2</v>
      </c>
      <c r="H32" s="799">
        <v>0.53711375871462108</v>
      </c>
      <c r="I32" s="824">
        <v>-1.0466581301674539E-2</v>
      </c>
      <c r="J32" s="818">
        <v>0.44497793125869989</v>
      </c>
      <c r="L32" s="807"/>
      <c r="M32" s="807"/>
      <c r="Q32" s="10"/>
      <c r="R32" s="10"/>
      <c r="T32" t="str">
        <f t="shared" si="7"/>
        <v>Risk of non-essential use ban, including hosepipes</v>
      </c>
      <c r="U32" s="10">
        <f>(E32*NHHProps_SSW+'WTP PR24 SSC'!G32*NHHProps_CAM)/NHHProps_All</f>
        <v>-7.4301289782200644E-2</v>
      </c>
      <c r="W32" s="739" t="s">
        <v>288</v>
      </c>
      <c r="X32" s="739">
        <v>-7.4301289782200644E-2</v>
      </c>
    </row>
    <row r="33" spans="1:21" x14ac:dyDescent="0.35">
      <c r="U33" s="10"/>
    </row>
    <row r="35" spans="1:21" x14ac:dyDescent="0.35">
      <c r="A35" t="s">
        <v>23</v>
      </c>
    </row>
    <row r="36" spans="1:21" x14ac:dyDescent="0.35">
      <c r="A36" t="s">
        <v>1221</v>
      </c>
    </row>
    <row r="37" spans="1:21" x14ac:dyDescent="0.35">
      <c r="A37" t="s">
        <v>1222</v>
      </c>
    </row>
    <row r="38" spans="1:21" x14ac:dyDescent="0.35">
      <c r="A38" t="s">
        <v>1228</v>
      </c>
    </row>
    <row r="39" spans="1:21" x14ac:dyDescent="0.35">
      <c r="A39"/>
    </row>
    <row r="40" spans="1:21" x14ac:dyDescent="0.35">
      <c r="A40"/>
    </row>
    <row r="41" spans="1:21" x14ac:dyDescent="0.35">
      <c r="A41"/>
    </row>
    <row r="42" spans="1:21" x14ac:dyDescent="0.35">
      <c r="A42"/>
    </row>
    <row r="43" spans="1:21" x14ac:dyDescent="0.35">
      <c r="A43"/>
    </row>
    <row r="44" spans="1:21" x14ac:dyDescent="0.35">
      <c r="A44"/>
    </row>
    <row r="45" spans="1:21" x14ac:dyDescent="0.35">
      <c r="A45"/>
    </row>
    <row r="46" spans="1:21" x14ac:dyDescent="0.35">
      <c r="A46"/>
    </row>
    <row r="47" spans="1:21" x14ac:dyDescent="0.35">
      <c r="A47"/>
    </row>
    <row r="48" spans="1:21" x14ac:dyDescent="0.35">
      <c r="A48"/>
    </row>
    <row r="49" spans="1:1" x14ac:dyDescent="0.35">
      <c r="A49"/>
    </row>
    <row r="50" spans="1:1" x14ac:dyDescent="0.35">
      <c r="A50"/>
    </row>
  </sheetData>
  <sortState xmlns:xlrd2="http://schemas.microsoft.com/office/spreadsheetml/2017/richdata2" ref="W22:X32">
    <sortCondition descending="1" ref="X22:X32"/>
  </sortState>
  <mergeCells count="23">
    <mergeCell ref="AY3:AZ3"/>
    <mergeCell ref="AC2:AF2"/>
    <mergeCell ref="AG3:AH3"/>
    <mergeCell ref="AM3:AN3"/>
    <mergeCell ref="Z2:AB2"/>
    <mergeCell ref="AI2:AL2"/>
    <mergeCell ref="AO2:AR2"/>
    <mergeCell ref="AU2:AX2"/>
    <mergeCell ref="Z3:AA3"/>
    <mergeCell ref="AS3:AT3"/>
    <mergeCell ref="Z4:AA4"/>
    <mergeCell ref="E20:F20"/>
    <mergeCell ref="G20:H20"/>
    <mergeCell ref="I20:J20"/>
    <mergeCell ref="B21:C21"/>
    <mergeCell ref="L2:M3"/>
    <mergeCell ref="B4:C4"/>
    <mergeCell ref="E19:J19"/>
    <mergeCell ref="Q2:R3"/>
    <mergeCell ref="E2:J2"/>
    <mergeCell ref="E3:F3"/>
    <mergeCell ref="G3:H3"/>
    <mergeCell ref="I3:J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1377" r:id="rId3" name="Drop Down 1">
              <controlPr defaultSize="0" autoLine="0" autoPict="0">
                <anchor moveWithCells="1">
                  <from>
                    <xdr:col>3</xdr:col>
                    <xdr:colOff>31750</xdr:colOff>
                    <xdr:row>1</xdr:row>
                    <xdr:rowOff>0</xdr:rowOff>
                  </from>
                  <to>
                    <xdr:col>3</xdr:col>
                    <xdr:colOff>2070100</xdr:colOff>
                    <xdr:row>2</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5A7B6-9609-4C49-A4C1-9AAACD0FCF23}">
  <sheetPr>
    <tabColor rgb="FFC00000"/>
  </sheetPr>
  <dimension ref="C1:W45"/>
  <sheetViews>
    <sheetView topLeftCell="A25" workbookViewId="0">
      <selection activeCell="U34" sqref="U34"/>
    </sheetView>
  </sheetViews>
  <sheetFormatPr defaultRowHeight="14.5" x14ac:dyDescent="0.35"/>
  <cols>
    <col min="18" max="18" width="12" bestFit="1" customWidth="1"/>
    <col min="19" max="19" width="11.7265625" customWidth="1"/>
    <col min="21" max="21" width="10.1796875" bestFit="1" customWidth="1"/>
    <col min="22" max="22" width="10.26953125" customWidth="1"/>
  </cols>
  <sheetData>
    <row r="1" spans="3:3" x14ac:dyDescent="0.35">
      <c r="C1" t="s">
        <v>289</v>
      </c>
    </row>
    <row r="35" spans="3:23" x14ac:dyDescent="0.35">
      <c r="R35" t="s">
        <v>1181</v>
      </c>
    </row>
    <row r="37" spans="3:23" x14ac:dyDescent="0.35">
      <c r="C37" t="s">
        <v>290</v>
      </c>
      <c r="R37" t="s">
        <v>21</v>
      </c>
      <c r="U37" t="s">
        <v>22</v>
      </c>
    </row>
    <row r="38" spans="3:23" x14ac:dyDescent="0.35">
      <c r="R38" t="s">
        <v>24</v>
      </c>
      <c r="S38" t="s">
        <v>26</v>
      </c>
      <c r="U38" t="s">
        <v>24</v>
      </c>
      <c r="V38" t="s">
        <v>26</v>
      </c>
    </row>
    <row r="39" spans="3:23" x14ac:dyDescent="0.35">
      <c r="P39" t="s">
        <v>129</v>
      </c>
      <c r="R39" s="16">
        <v>0</v>
      </c>
      <c r="S39" s="16">
        <v>0</v>
      </c>
      <c r="T39" s="124"/>
      <c r="U39" s="16">
        <v>0</v>
      </c>
      <c r="V39" s="16">
        <v>0</v>
      </c>
    </row>
    <row r="40" spans="3:23" x14ac:dyDescent="0.35">
      <c r="P40" t="s">
        <v>131</v>
      </c>
      <c r="R40" s="16">
        <v>0</v>
      </c>
      <c r="S40" s="16">
        <v>0</v>
      </c>
      <c r="T40" s="124"/>
      <c r="U40" s="16">
        <v>0</v>
      </c>
      <c r="V40" s="16">
        <v>0</v>
      </c>
    </row>
    <row r="41" spans="3:23" x14ac:dyDescent="0.35">
      <c r="P41" t="s">
        <v>137</v>
      </c>
      <c r="R41" s="16">
        <v>0</v>
      </c>
      <c r="S41" s="16">
        <v>0</v>
      </c>
      <c r="T41" s="124"/>
      <c r="U41" s="16">
        <v>0</v>
      </c>
      <c r="V41" s="16">
        <v>0</v>
      </c>
    </row>
    <row r="42" spans="3:23" x14ac:dyDescent="0.35">
      <c r="P42" t="s">
        <v>138</v>
      </c>
      <c r="R42" s="16">
        <v>0</v>
      </c>
      <c r="S42" s="16">
        <v>0</v>
      </c>
      <c r="T42" s="124"/>
      <c r="U42" s="16">
        <v>0</v>
      </c>
      <c r="V42" s="16">
        <v>0</v>
      </c>
    </row>
    <row r="43" spans="3:23" x14ac:dyDescent="0.35">
      <c r="P43" t="s">
        <v>40</v>
      </c>
      <c r="R43" s="10">
        <f>HHProps_SSW*2.65/(283-268)</f>
        <v>95300.536666666667</v>
      </c>
      <c r="S43" s="10">
        <f>HHProps_CAM*2.65/(283-268)</f>
        <v>24005.82</v>
      </c>
      <c r="U43" s="10">
        <v>0</v>
      </c>
      <c r="V43" s="10">
        <v>0</v>
      </c>
      <c r="W43" t="s">
        <v>148</v>
      </c>
    </row>
    <row r="44" spans="3:23" x14ac:dyDescent="0.35">
      <c r="P44" t="s">
        <v>153</v>
      </c>
      <c r="R44" s="16">
        <v>0</v>
      </c>
      <c r="S44" s="16">
        <v>0</v>
      </c>
      <c r="T44" s="124"/>
      <c r="U44" s="16">
        <v>0</v>
      </c>
      <c r="V44" s="16">
        <v>0</v>
      </c>
    </row>
    <row r="45" spans="3:23" x14ac:dyDescent="0.35">
      <c r="P45" t="s">
        <v>139</v>
      </c>
      <c r="R45" s="16">
        <v>0</v>
      </c>
      <c r="S45" s="16">
        <v>0</v>
      </c>
      <c r="T45" s="124"/>
      <c r="U45" s="16">
        <v>0</v>
      </c>
      <c r="V45" s="16">
        <v>0</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1BD6-4A86-417B-B9B2-DABB7F182A81}">
  <sheetPr>
    <tabColor rgb="FFC00000"/>
  </sheetPr>
  <dimension ref="A1:I25"/>
  <sheetViews>
    <sheetView zoomScale="70" zoomScaleNormal="70" workbookViewId="0">
      <pane xSplit="1" ySplit="3" topLeftCell="B4" activePane="bottomRight" state="frozen"/>
      <selection pane="topRight" activeCell="B1" sqref="B1"/>
      <selection pane="bottomLeft" activeCell="A5" sqref="A5"/>
      <selection pane="bottomRight" activeCell="C23" sqref="C23"/>
    </sheetView>
  </sheetViews>
  <sheetFormatPr defaultRowHeight="14.5" x14ac:dyDescent="0.35"/>
  <cols>
    <col min="1" max="1" width="25.453125" customWidth="1"/>
    <col min="2" max="2" width="50.26953125" style="481" customWidth="1"/>
    <col min="3" max="3" width="25.26953125" style="481" customWidth="1"/>
    <col min="4" max="4" width="25.1796875" style="481" customWidth="1"/>
    <col min="5" max="5" width="19.1796875" style="481" customWidth="1"/>
    <col min="6" max="6" width="13.26953125" customWidth="1"/>
    <col min="7" max="7" width="17.7265625" customWidth="1"/>
    <col min="8" max="8" width="26.1796875" customWidth="1"/>
    <col min="9" max="9" width="17.1796875" customWidth="1"/>
  </cols>
  <sheetData>
    <row r="1" spans="1:9" s="228" customFormat="1" ht="28.5" x14ac:dyDescent="0.65">
      <c r="A1" s="76" t="s">
        <v>291</v>
      </c>
      <c r="B1" s="76"/>
      <c r="C1" s="76"/>
      <c r="D1" s="76"/>
      <c r="E1" s="76"/>
      <c r="F1" s="76"/>
      <c r="G1" s="76"/>
      <c r="H1" s="76"/>
    </row>
    <row r="2" spans="1:9" ht="24" customHeight="1" x14ac:dyDescent="0.45">
      <c r="A2" s="311" t="s">
        <v>292</v>
      </c>
      <c r="B2" s="1002" t="s">
        <v>293</v>
      </c>
      <c r="C2" s="126" t="s">
        <v>294</v>
      </c>
      <c r="D2" s="126"/>
      <c r="E2" s="126"/>
      <c r="F2" s="233" t="s">
        <v>295</v>
      </c>
      <c r="G2" s="233"/>
      <c r="H2" s="233"/>
      <c r="I2" s="7"/>
    </row>
    <row r="3" spans="1:9" ht="24" customHeight="1" x14ac:dyDescent="0.45">
      <c r="A3" s="311"/>
      <c r="B3" s="1002"/>
      <c r="C3" s="126"/>
      <c r="D3" s="126"/>
      <c r="E3" s="126"/>
      <c r="F3" s="233"/>
      <c r="G3" s="233"/>
      <c r="H3" s="233"/>
      <c r="I3" s="7"/>
    </row>
    <row r="5" spans="1:9" x14ac:dyDescent="0.35">
      <c r="C5" s="481" t="s">
        <v>296</v>
      </c>
      <c r="D5" s="481" t="s">
        <v>205</v>
      </c>
      <c r="E5" s="481" t="s">
        <v>206</v>
      </c>
      <c r="F5" s="481" t="s">
        <v>296</v>
      </c>
      <c r="G5" s="481" t="s">
        <v>205</v>
      </c>
      <c r="H5" s="481" t="s">
        <v>206</v>
      </c>
    </row>
    <row r="6" spans="1:9" x14ac:dyDescent="0.35">
      <c r="A6" s="200" t="s">
        <v>153</v>
      </c>
      <c r="B6" s="481" t="s">
        <v>21</v>
      </c>
      <c r="C6" s="763">
        <f>AvgHHBill_SSW*HHProps_SSW*C23/C9</f>
        <v>13017.302123552123</v>
      </c>
      <c r="D6" s="763"/>
      <c r="E6" s="763"/>
      <c r="F6" s="763">
        <f>AvgHHBill_CAM*HHProps_CAM*C23/F9</f>
        <v>69952.12355212355</v>
      </c>
      <c r="G6" s="763"/>
      <c r="H6" s="763"/>
    </row>
    <row r="7" spans="1:9" x14ac:dyDescent="0.35">
      <c r="B7" s="481" t="s">
        <v>22</v>
      </c>
      <c r="C7" s="763">
        <f>NHHProps_SSW*D23*AvgNHHBill_SSW/C9</f>
        <v>13317.913945945946</v>
      </c>
      <c r="D7" s="763"/>
      <c r="E7" s="763"/>
      <c r="F7" s="763">
        <f>NHHProps_CAM*D23*AvgNHHBill_CAM/F9</f>
        <v>94209.897760617765</v>
      </c>
      <c r="G7" s="763"/>
      <c r="H7" s="763"/>
    </row>
    <row r="9" spans="1:9" x14ac:dyDescent="0.35">
      <c r="A9" s="200" t="s">
        <v>297</v>
      </c>
      <c r="B9" s="481" t="s">
        <v>298</v>
      </c>
      <c r="C9" s="764">
        <v>518</v>
      </c>
      <c r="F9" s="765">
        <f>C9*60/1280</f>
        <v>24.28125</v>
      </c>
    </row>
    <row r="22" spans="2:4" ht="15" thickBot="1" x14ac:dyDescent="0.4">
      <c r="C22" s="481" t="s">
        <v>21</v>
      </c>
      <c r="D22" s="481" t="s">
        <v>299</v>
      </c>
    </row>
    <row r="23" spans="2:4" x14ac:dyDescent="0.35">
      <c r="B23" s="1003" t="s">
        <v>300</v>
      </c>
      <c r="C23" s="766">
        <v>0.05</v>
      </c>
      <c r="D23" s="759">
        <v>5.1999999999999998E-2</v>
      </c>
    </row>
    <row r="24" spans="2:4" x14ac:dyDescent="0.35">
      <c r="B24" s="1004"/>
      <c r="C24" s="760"/>
      <c r="D24" s="761"/>
    </row>
    <row r="25" spans="2:4" ht="15" thickBot="1" x14ac:dyDescent="0.4">
      <c r="B25" s="1005"/>
      <c r="C25" s="762"/>
      <c r="D25" s="761"/>
    </row>
  </sheetData>
  <mergeCells count="2">
    <mergeCell ref="B2:B3"/>
    <mergeCell ref="B23:B25"/>
  </mergeCells>
  <conditionalFormatting sqref="B23 C23:D25">
    <cfRule type="cellIs" dxfId="19" priority="1" operator="equal">
      <formula>1</formula>
    </cfRule>
    <cfRule type="cellIs" dxfId="18" priority="2" operator="equal">
      <formula>"GREEN"</formula>
    </cfRule>
    <cfRule type="cellIs" dxfId="17" priority="3" operator="equal">
      <formula>"GREEN/AMBER"</formula>
    </cfRule>
    <cfRule type="cellIs" dxfId="16" priority="4" operator="equal">
      <formula>2</formula>
    </cfRule>
    <cfRule type="cellIs" dxfId="15" priority="5" operator="equal">
      <formula>"AMBER"</formula>
    </cfRule>
    <cfRule type="cellIs" dxfId="14" priority="6" operator="equal">
      <formula>3</formula>
    </cfRule>
    <cfRule type="cellIs" dxfId="13" priority="7" operator="equal">
      <formula>"AMBER/RED"</formula>
    </cfRule>
    <cfRule type="cellIs" dxfId="12" priority="8" operator="equal">
      <formula>4</formula>
    </cfRule>
    <cfRule type="cellIs" dxfId="11" priority="9" operator="equal">
      <formula>"RED"</formula>
    </cfRule>
    <cfRule type="cellIs" dxfId="10" priority="10" operator="equal">
      <formula>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C650E-5EF5-402A-ACD4-ECF0C9D5C1AE}">
  <sheetPr>
    <tabColor rgb="FFC00000"/>
  </sheetPr>
  <dimension ref="A1:I25"/>
  <sheetViews>
    <sheetView zoomScale="70" zoomScaleNormal="70" workbookViewId="0">
      <pane xSplit="1" ySplit="3" topLeftCell="B4" activePane="bottomRight" state="frozen"/>
      <selection pane="topRight" activeCell="B1" sqref="B1"/>
      <selection pane="bottomLeft" activeCell="A5" sqref="A5"/>
      <selection pane="bottomRight" activeCell="F16" sqref="F16"/>
    </sheetView>
  </sheetViews>
  <sheetFormatPr defaultRowHeight="14.5" x14ac:dyDescent="0.35"/>
  <cols>
    <col min="1" max="1" width="25.453125" customWidth="1"/>
    <col min="2" max="2" width="50.26953125" style="481" customWidth="1"/>
    <col min="3" max="3" width="25.26953125" style="481" customWidth="1"/>
    <col min="4" max="4" width="25.1796875" style="481" customWidth="1"/>
    <col min="5" max="5" width="19.1796875" style="481" customWidth="1"/>
    <col min="6" max="6" width="13.26953125" customWidth="1"/>
    <col min="7" max="7" width="17.7265625" customWidth="1"/>
    <col min="8" max="8" width="26.1796875" customWidth="1"/>
    <col min="9" max="9" width="17.1796875" customWidth="1"/>
  </cols>
  <sheetData>
    <row r="1" spans="1:9" s="228" customFormat="1" ht="28.5" x14ac:dyDescent="0.65">
      <c r="A1" s="76" t="s">
        <v>75</v>
      </c>
      <c r="B1" s="76"/>
      <c r="C1" s="76"/>
      <c r="D1" s="76"/>
      <c r="E1" s="76"/>
      <c r="F1" s="76"/>
      <c r="G1" s="76"/>
      <c r="H1" s="76"/>
    </row>
    <row r="2" spans="1:9" ht="24" customHeight="1" x14ac:dyDescent="0.45">
      <c r="A2" s="311" t="s">
        <v>292</v>
      </c>
      <c r="B2" s="1002" t="s">
        <v>301</v>
      </c>
      <c r="C2" s="126" t="s">
        <v>302</v>
      </c>
      <c r="D2" s="126"/>
      <c r="E2" s="126"/>
      <c r="F2" s="233" t="s">
        <v>47</v>
      </c>
      <c r="G2" s="233"/>
      <c r="H2" s="233"/>
      <c r="I2" s="7"/>
    </row>
    <row r="3" spans="1:9" ht="24" customHeight="1" x14ac:dyDescent="0.45">
      <c r="A3" s="311"/>
      <c r="B3" s="1002"/>
      <c r="C3" s="126"/>
      <c r="D3" s="126"/>
      <c r="E3" s="126"/>
      <c r="F3" s="233"/>
      <c r="G3" s="233"/>
      <c r="H3" s="233"/>
      <c r="I3" s="7"/>
    </row>
    <row r="5" spans="1:9" x14ac:dyDescent="0.35">
      <c r="C5" s="481" t="s">
        <v>296</v>
      </c>
      <c r="D5" s="481" t="s">
        <v>205</v>
      </c>
      <c r="E5" s="481" t="s">
        <v>206</v>
      </c>
      <c r="F5" s="481" t="s">
        <v>296</v>
      </c>
      <c r="G5" s="481" t="s">
        <v>205</v>
      </c>
      <c r="H5" s="481" t="s">
        <v>206</v>
      </c>
    </row>
    <row r="6" spans="1:9" x14ac:dyDescent="0.35">
      <c r="A6" s="200" t="s">
        <v>153</v>
      </c>
      <c r="B6" s="481" t="s">
        <v>21</v>
      </c>
      <c r="C6" s="763">
        <f>HHProps_SSW*C23/C9</f>
        <v>4030.1567374517372</v>
      </c>
      <c r="D6" s="763">
        <f>C24</f>
        <v>1.67</v>
      </c>
      <c r="E6" s="763">
        <f>C25</f>
        <v>8.92</v>
      </c>
      <c r="F6" s="763">
        <f>HHProps_CAM*C23/F9</f>
        <v>21657.177451737451</v>
      </c>
      <c r="G6" s="763">
        <f>C24</f>
        <v>1.67</v>
      </c>
      <c r="H6" s="763">
        <f>C25</f>
        <v>8.92</v>
      </c>
    </row>
    <row r="7" spans="1:9" x14ac:dyDescent="0.35">
      <c r="B7" s="481" t="s">
        <v>22</v>
      </c>
      <c r="C7" s="763">
        <f>NHHProps_SSW*D23*AvgNHHBill_SSW/C9</f>
        <v>1818.4074810810812</v>
      </c>
      <c r="D7" s="763">
        <f>D24*AvgNHHBill_SSW</f>
        <v>4.8664000000000005</v>
      </c>
      <c r="E7" s="763">
        <f>D25*AvgNHHBill_SSW</f>
        <v>57.9544</v>
      </c>
      <c r="F7" s="763">
        <f>NHHProps_CAM*D23*AvgNHHBill_CAM/F9</f>
        <v>12863.274501930502</v>
      </c>
      <c r="G7" s="763">
        <f>D24*AvgNHHBill_SSW</f>
        <v>4.8664000000000005</v>
      </c>
      <c r="H7" s="763">
        <f>D25*AvgNHHBill_SSW</f>
        <v>57.9544</v>
      </c>
    </row>
    <row r="9" spans="1:9" x14ac:dyDescent="0.35">
      <c r="A9" s="200" t="s">
        <v>297</v>
      </c>
      <c r="B9" s="481" t="s">
        <v>298</v>
      </c>
      <c r="C9" s="764">
        <v>518</v>
      </c>
      <c r="F9" s="765">
        <f>C9*60/1280</f>
        <v>24.28125</v>
      </c>
    </row>
    <row r="22" spans="2:4" ht="15" thickBot="1" x14ac:dyDescent="0.4">
      <c r="C22" s="481" t="s">
        <v>21</v>
      </c>
      <c r="D22" s="481" t="s">
        <v>299</v>
      </c>
    </row>
    <row r="23" spans="2:4" x14ac:dyDescent="0.35">
      <c r="B23" s="1003" t="s">
        <v>303</v>
      </c>
      <c r="C23" s="758">
        <v>3.87</v>
      </c>
      <c r="D23" s="759">
        <v>7.1000000000000004E-3</v>
      </c>
    </row>
    <row r="24" spans="2:4" x14ac:dyDescent="0.35">
      <c r="B24" s="1004"/>
      <c r="C24" s="760">
        <v>1.67</v>
      </c>
      <c r="D24" s="761">
        <v>1.1000000000000001E-3</v>
      </c>
    </row>
    <row r="25" spans="2:4" ht="15" thickBot="1" x14ac:dyDescent="0.4">
      <c r="B25" s="1005"/>
      <c r="C25" s="762">
        <v>8.92</v>
      </c>
      <c r="D25" s="761">
        <v>1.3100000000000001E-2</v>
      </c>
    </row>
  </sheetData>
  <mergeCells count="2">
    <mergeCell ref="B2:B3"/>
    <mergeCell ref="B23:B25"/>
  </mergeCells>
  <conditionalFormatting sqref="B23 C23:D25">
    <cfRule type="cellIs" dxfId="9" priority="1" operator="equal">
      <formula>1</formula>
    </cfRule>
    <cfRule type="cellIs" dxfId="8" priority="2" operator="equal">
      <formula>"GREEN"</formula>
    </cfRule>
    <cfRule type="cellIs" dxfId="7" priority="3" operator="equal">
      <formula>"GREEN/AMBER"</formula>
    </cfRule>
    <cfRule type="cellIs" dxfId="6" priority="4" operator="equal">
      <formula>2</formula>
    </cfRule>
    <cfRule type="cellIs" dxfId="5" priority="5" operator="equal">
      <formula>"AMBER"</formula>
    </cfRule>
    <cfRule type="cellIs" dxfId="4" priority="6" operator="equal">
      <formula>3</formula>
    </cfRule>
    <cfRule type="cellIs" dxfId="3" priority="7" operator="equal">
      <formula>"AMBER/RED"</formula>
    </cfRule>
    <cfRule type="cellIs" dxfId="2" priority="8" operator="equal">
      <formula>4</formula>
    </cfRule>
    <cfRule type="cellIs" dxfId="1" priority="9" operator="equal">
      <formula>"RED"</formula>
    </cfRule>
    <cfRule type="cellIs" dxfId="0" priority="10" operator="equal">
      <formula>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D81C1-E9CB-4440-AE56-7A5100953F28}">
  <dimension ref="B1:F29"/>
  <sheetViews>
    <sheetView workbookViewId="0">
      <selection activeCell="C19" sqref="C19"/>
    </sheetView>
  </sheetViews>
  <sheetFormatPr defaultRowHeight="14.5" x14ac:dyDescent="0.35"/>
  <cols>
    <col min="2" max="2" width="56.1796875" bestFit="1" customWidth="1"/>
    <col min="5" max="5" width="56.1796875" bestFit="1" customWidth="1"/>
  </cols>
  <sheetData>
    <row r="1" spans="2:6" x14ac:dyDescent="0.35">
      <c r="B1" t="s">
        <v>21</v>
      </c>
      <c r="E1" t="s">
        <v>22</v>
      </c>
    </row>
    <row r="2" spans="2:6" x14ac:dyDescent="0.35">
      <c r="B2" t="s">
        <v>146</v>
      </c>
      <c r="C2">
        <v>200903.20265082229</v>
      </c>
      <c r="E2" t="s">
        <v>146</v>
      </c>
      <c r="F2">
        <v>547773.21973789099</v>
      </c>
    </row>
    <row r="3" spans="2:6" x14ac:dyDescent="0.35">
      <c r="B3" t="s">
        <v>143</v>
      </c>
      <c r="C3">
        <v>190995.86894137345</v>
      </c>
      <c r="E3" t="s">
        <v>143</v>
      </c>
      <c r="F3">
        <v>351456.24728322611</v>
      </c>
    </row>
    <row r="4" spans="2:6" x14ac:dyDescent="0.35">
      <c r="B4" t="s">
        <v>40</v>
      </c>
      <c r="C4">
        <v>38385.294930942306</v>
      </c>
      <c r="E4" t="s">
        <v>40</v>
      </c>
      <c r="F4">
        <v>58260.878462966917</v>
      </c>
    </row>
    <row r="5" spans="2:6" x14ac:dyDescent="0.35">
      <c r="B5" t="s">
        <v>153</v>
      </c>
      <c r="C5">
        <v>7304.0695902034404</v>
      </c>
      <c r="E5" t="s">
        <v>153</v>
      </c>
      <c r="F5">
        <v>8705.8528263375574</v>
      </c>
    </row>
    <row r="6" spans="2:6" x14ac:dyDescent="0.35">
      <c r="B6" t="s">
        <v>156</v>
      </c>
      <c r="C6">
        <v>2573.3418138800102</v>
      </c>
      <c r="E6" t="s">
        <v>156</v>
      </c>
      <c r="F6">
        <v>4541.6660021838006</v>
      </c>
    </row>
    <row r="7" spans="2:6" x14ac:dyDescent="0.35">
      <c r="B7" t="s">
        <v>125</v>
      </c>
      <c r="C7">
        <v>374.18461656607263</v>
      </c>
      <c r="E7" t="s">
        <v>158</v>
      </c>
      <c r="F7">
        <v>772.12037336872595</v>
      </c>
    </row>
    <row r="8" spans="2:6" x14ac:dyDescent="0.35">
      <c r="B8" t="s">
        <v>158</v>
      </c>
      <c r="C8">
        <v>331.82635549162967</v>
      </c>
      <c r="E8" t="s">
        <v>125</v>
      </c>
      <c r="F8">
        <v>551.54060385870696</v>
      </c>
    </row>
    <row r="9" spans="2:6" x14ac:dyDescent="0.35">
      <c r="B9" t="s">
        <v>141</v>
      </c>
      <c r="C9">
        <v>285.9843386313143</v>
      </c>
      <c r="E9" t="s">
        <v>141</v>
      </c>
      <c r="F9">
        <v>521.87081837743563</v>
      </c>
    </row>
    <row r="10" spans="2:6" x14ac:dyDescent="0.35">
      <c r="B10" t="s">
        <v>137</v>
      </c>
      <c r="C10">
        <v>241.61959278330556</v>
      </c>
      <c r="E10" t="s">
        <v>131</v>
      </c>
      <c r="F10">
        <v>297.62791889907066</v>
      </c>
    </row>
    <row r="11" spans="2:6" x14ac:dyDescent="0.35">
      <c r="B11" t="s">
        <v>135</v>
      </c>
      <c r="C11">
        <v>193.06908322291812</v>
      </c>
      <c r="E11" t="s">
        <v>137</v>
      </c>
      <c r="F11">
        <v>222.69543075930406</v>
      </c>
    </row>
    <row r="12" spans="2:6" x14ac:dyDescent="0.35">
      <c r="B12" t="s">
        <v>131</v>
      </c>
      <c r="C12">
        <v>169.96829371233036</v>
      </c>
      <c r="E12" t="s">
        <v>129</v>
      </c>
      <c r="F12">
        <v>176.7856173382736</v>
      </c>
    </row>
    <row r="13" spans="2:6" x14ac:dyDescent="0.35">
      <c r="B13" t="s">
        <v>129</v>
      </c>
      <c r="C13">
        <v>114.32149292669118</v>
      </c>
      <c r="E13" t="s">
        <v>135</v>
      </c>
      <c r="F13">
        <v>114.98897085945016</v>
      </c>
    </row>
    <row r="14" spans="2:6" x14ac:dyDescent="0.35">
      <c r="B14" t="s">
        <v>139</v>
      </c>
      <c r="C14">
        <v>34.736202382633934</v>
      </c>
      <c r="E14" t="s">
        <v>139</v>
      </c>
      <c r="F14">
        <v>28.579049012402944</v>
      </c>
    </row>
    <row r="15" spans="2:6" x14ac:dyDescent="0.35">
      <c r="B15" t="s">
        <v>133</v>
      </c>
      <c r="C15">
        <v>14.779208860799663</v>
      </c>
      <c r="E15" t="s">
        <v>133</v>
      </c>
      <c r="F15">
        <v>17.691073408069546</v>
      </c>
    </row>
    <row r="16" spans="2:6" x14ac:dyDescent="0.35">
      <c r="B16" t="s">
        <v>41</v>
      </c>
      <c r="C16">
        <v>7.0993827345480787</v>
      </c>
    </row>
    <row r="19" spans="2:6" x14ac:dyDescent="0.35">
      <c r="B19" t="s">
        <v>304</v>
      </c>
      <c r="C19">
        <v>2797755.7746588197</v>
      </c>
      <c r="E19" t="s">
        <v>304</v>
      </c>
      <c r="F19">
        <v>1991254.6409505124</v>
      </c>
    </row>
    <row r="20" spans="2:6" x14ac:dyDescent="0.35">
      <c r="B20" t="s">
        <v>305</v>
      </c>
      <c r="C20">
        <v>2422546.3089516349</v>
      </c>
      <c r="E20" t="s">
        <v>305</v>
      </c>
      <c r="F20">
        <v>420674.27757465706</v>
      </c>
    </row>
    <row r="21" spans="2:6" x14ac:dyDescent="0.35">
      <c r="B21" t="s">
        <v>306</v>
      </c>
      <c r="C21">
        <v>1470421.8597467125</v>
      </c>
      <c r="E21" t="s">
        <v>307</v>
      </c>
      <c r="F21">
        <v>213599.28782836176</v>
      </c>
    </row>
    <row r="22" spans="2:6" x14ac:dyDescent="0.35">
      <c r="B22" t="s">
        <v>308</v>
      </c>
      <c r="C22">
        <v>434975.47577980137</v>
      </c>
      <c r="E22" t="s">
        <v>308</v>
      </c>
      <c r="F22">
        <v>20748.041406765449</v>
      </c>
    </row>
    <row r="23" spans="2:6" x14ac:dyDescent="0.35">
      <c r="B23" t="s">
        <v>309</v>
      </c>
      <c r="C23">
        <v>310969.73468571005</v>
      </c>
      <c r="E23" t="s">
        <v>309</v>
      </c>
      <c r="F23">
        <v>15458.941804526447</v>
      </c>
    </row>
    <row r="24" spans="2:6" x14ac:dyDescent="0.35">
      <c r="B24" t="s">
        <v>310</v>
      </c>
      <c r="C24">
        <v>230973.15657987853</v>
      </c>
      <c r="E24" t="s">
        <v>310</v>
      </c>
      <c r="F24">
        <v>5571.5303994785827</v>
      </c>
    </row>
    <row r="25" spans="2:6" x14ac:dyDescent="0.35">
      <c r="B25" t="s">
        <v>307</v>
      </c>
      <c r="C25">
        <v>83840.731871578057</v>
      </c>
      <c r="E25" t="s">
        <v>311</v>
      </c>
      <c r="F25">
        <v>3876.7536874812868</v>
      </c>
    </row>
    <row r="26" spans="2:6" x14ac:dyDescent="0.35">
      <c r="B26" t="s">
        <v>312</v>
      </c>
      <c r="C26">
        <v>54303.16887197968</v>
      </c>
      <c r="E26" t="s">
        <v>312</v>
      </c>
      <c r="F26">
        <v>2801.2932002755779</v>
      </c>
    </row>
    <row r="27" spans="2:6" x14ac:dyDescent="0.35">
      <c r="B27" t="s">
        <v>313</v>
      </c>
      <c r="C27">
        <v>2647.4108807536204</v>
      </c>
      <c r="E27" t="s">
        <v>313</v>
      </c>
      <c r="F27">
        <v>1391.8003216478337</v>
      </c>
    </row>
    <row r="28" spans="2:6" x14ac:dyDescent="0.35">
      <c r="B28" t="s">
        <v>311</v>
      </c>
      <c r="C28">
        <v>2642.1847162304421</v>
      </c>
      <c r="E28" t="s">
        <v>314</v>
      </c>
      <c r="F28">
        <v>1017.0001904874417</v>
      </c>
    </row>
    <row r="29" spans="2:6" x14ac:dyDescent="0.35">
      <c r="B29" t="s">
        <v>314</v>
      </c>
      <c r="C29">
        <v>1034.3821186127511</v>
      </c>
    </row>
  </sheetData>
  <sortState xmlns:xlrd2="http://schemas.microsoft.com/office/spreadsheetml/2017/richdata2" ref="E19:F30">
    <sortCondition descending="1" ref="F19:F30"/>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sheetPr>
  <dimension ref="A1:AI29"/>
  <sheetViews>
    <sheetView zoomScale="70" zoomScaleNormal="70" workbookViewId="0">
      <selection activeCell="J20" sqref="J20"/>
    </sheetView>
  </sheetViews>
  <sheetFormatPr defaultRowHeight="14.5" x14ac:dyDescent="0.35"/>
  <cols>
    <col min="1" max="1" width="61.7265625" customWidth="1"/>
    <col min="2" max="2" width="16.81640625" customWidth="1"/>
    <col min="3" max="3" width="14.7265625" customWidth="1"/>
    <col min="12" max="12" width="14.81640625" customWidth="1"/>
    <col min="14" max="14" width="12.81640625" customWidth="1"/>
    <col min="29" max="29" width="12.81640625" bestFit="1" customWidth="1"/>
    <col min="31" max="31" width="12" bestFit="1" customWidth="1"/>
    <col min="35" max="35" width="10.1796875" bestFit="1" customWidth="1"/>
  </cols>
  <sheetData>
    <row r="1" spans="1:31" ht="28.5" x14ac:dyDescent="0.65">
      <c r="A1" s="76" t="s">
        <v>315</v>
      </c>
      <c r="B1" s="77"/>
      <c r="C1" s="77"/>
      <c r="D1" s="77"/>
      <c r="E1" s="77"/>
      <c r="F1" s="77"/>
      <c r="G1" s="77"/>
      <c r="H1" s="77"/>
      <c r="I1" s="77"/>
      <c r="J1" s="77"/>
      <c r="K1" s="77"/>
      <c r="L1" s="77"/>
      <c r="M1" s="76"/>
      <c r="N1" s="76"/>
      <c r="O1" s="76"/>
      <c r="P1" s="76"/>
      <c r="Q1" s="76"/>
      <c r="R1" s="76"/>
      <c r="S1" s="76"/>
      <c r="T1" s="76"/>
      <c r="U1" s="76"/>
      <c r="V1" s="76"/>
      <c r="W1" s="77"/>
      <c r="X1" s="76"/>
      <c r="Y1" s="76"/>
      <c r="Z1" s="76"/>
      <c r="AA1" s="76"/>
      <c r="AB1" s="77"/>
      <c r="AC1" s="77"/>
      <c r="AD1" s="77"/>
      <c r="AE1" s="77"/>
    </row>
    <row r="2" spans="1:31" ht="19.5" customHeight="1" x14ac:dyDescent="0.45">
      <c r="A2" s="85"/>
      <c r="B2" s="85"/>
      <c r="C2" s="126" t="s">
        <v>316</v>
      </c>
      <c r="D2" s="126"/>
      <c r="E2" s="126"/>
      <c r="F2" s="126"/>
      <c r="G2" s="126"/>
      <c r="H2" s="126"/>
      <c r="I2" s="126"/>
      <c r="J2" s="126"/>
      <c r="K2" s="126"/>
      <c r="L2" s="126"/>
      <c r="M2" s="126"/>
      <c r="N2" s="126"/>
      <c r="O2" s="126"/>
      <c r="P2" s="126"/>
      <c r="Q2" s="126"/>
      <c r="R2" s="126"/>
      <c r="S2" s="126"/>
      <c r="T2" s="131" t="s">
        <v>317</v>
      </c>
      <c r="U2" s="131"/>
      <c r="V2" s="131"/>
      <c r="W2" s="131"/>
      <c r="X2" s="131"/>
      <c r="Y2" s="131"/>
      <c r="Z2" s="131"/>
      <c r="AA2" s="131"/>
      <c r="AB2" s="131"/>
      <c r="AC2" s="131"/>
      <c r="AD2" s="131"/>
      <c r="AE2" s="131"/>
    </row>
    <row r="3" spans="1:31" ht="20" thickBot="1" x14ac:dyDescent="0.5">
      <c r="A3" s="85" t="s">
        <v>318</v>
      </c>
      <c r="B3" s="85"/>
      <c r="C3" s="82" t="s">
        <v>319</v>
      </c>
      <c r="D3" s="179"/>
      <c r="E3" s="179"/>
      <c r="F3" s="179"/>
      <c r="G3" s="179"/>
      <c r="H3" s="50"/>
      <c r="I3" s="50"/>
      <c r="J3" s="50"/>
      <c r="K3" s="50"/>
      <c r="L3" s="50"/>
      <c r="M3" s="50"/>
      <c r="N3" s="50"/>
      <c r="O3" s="50"/>
      <c r="P3" s="50"/>
      <c r="Q3" s="50"/>
      <c r="R3" s="50"/>
      <c r="S3" s="50"/>
      <c r="T3" s="82" t="s">
        <v>320</v>
      </c>
      <c r="U3" s="50"/>
      <c r="V3" s="50"/>
      <c r="W3" s="50"/>
      <c r="X3" s="179"/>
      <c r="Y3" s="50"/>
      <c r="Z3" s="50"/>
      <c r="AA3" s="50"/>
      <c r="AB3" s="50"/>
      <c r="AC3" s="50"/>
      <c r="AD3" s="50"/>
      <c r="AE3" s="50"/>
    </row>
    <row r="4" spans="1:31" ht="58" x14ac:dyDescent="0.35">
      <c r="A4" s="180" t="s">
        <v>321</v>
      </c>
      <c r="B4" s="180"/>
      <c r="C4" s="100" t="s">
        <v>322</v>
      </c>
      <c r="D4" s="100" t="s">
        <v>323</v>
      </c>
      <c r="E4" s="100" t="s">
        <v>324</v>
      </c>
      <c r="F4" s="181" t="s">
        <v>325</v>
      </c>
      <c r="G4" s="181" t="s">
        <v>326</v>
      </c>
      <c r="H4" s="100" t="s">
        <v>327</v>
      </c>
      <c r="I4" s="100" t="s">
        <v>328</v>
      </c>
      <c r="J4" s="100" t="s">
        <v>329</v>
      </c>
      <c r="K4" s="100" t="s">
        <v>330</v>
      </c>
      <c r="L4" s="100" t="s">
        <v>331</v>
      </c>
      <c r="M4" s="305" t="s">
        <v>332</v>
      </c>
      <c r="T4" s="100" t="s">
        <v>322</v>
      </c>
      <c r="U4" s="100" t="s">
        <v>323</v>
      </c>
      <c r="V4" s="100" t="s">
        <v>324</v>
      </c>
      <c r="W4" s="181" t="s">
        <v>325</v>
      </c>
      <c r="X4" s="181" t="s">
        <v>326</v>
      </c>
      <c r="Y4" s="100" t="s">
        <v>327</v>
      </c>
      <c r="Z4" s="100" t="s">
        <v>328</v>
      </c>
      <c r="AA4" s="100" t="s">
        <v>329</v>
      </c>
      <c r="AB4" s="100" t="s">
        <v>330</v>
      </c>
      <c r="AC4" s="100" t="s">
        <v>331</v>
      </c>
      <c r="AD4" s="305" t="s">
        <v>332</v>
      </c>
      <c r="AE4" s="24"/>
    </row>
    <row r="5" spans="1:31" x14ac:dyDescent="0.35">
      <c r="A5" s="754" t="s">
        <v>333</v>
      </c>
      <c r="B5" s="7"/>
      <c r="C5" s="119">
        <v>0.59</v>
      </c>
      <c r="D5" s="124">
        <f>(C5+2)/5</f>
        <v>0.51800000000000002</v>
      </c>
      <c r="E5" s="213">
        <f>(D5*100)/D$14</f>
        <v>16.698903932946486</v>
      </c>
      <c r="F5" s="214">
        <v>0.56000000000000005</v>
      </c>
      <c r="G5" s="213">
        <f>(F5*100)/F$14</f>
        <v>19.444444444444446</v>
      </c>
      <c r="H5" s="215">
        <v>0.28999999999999998</v>
      </c>
      <c r="I5" s="215">
        <v>7.0000000000000007E-2</v>
      </c>
      <c r="J5" s="166">
        <f>H5-I5</f>
        <v>0.21999999999999997</v>
      </c>
      <c r="K5" s="220">
        <f>(J5+1/2)</f>
        <v>0.72</v>
      </c>
      <c r="L5" s="221">
        <f>(K5*100)/K$14</f>
        <v>20.512820512820515</v>
      </c>
      <c r="M5" s="302">
        <f>AVERAGE(E5,G5,L5)</f>
        <v>18.885389630070481</v>
      </c>
      <c r="T5" s="7">
        <v>0.48</v>
      </c>
      <c r="U5" s="124">
        <f>(T5+2)/5</f>
        <v>0.496</v>
      </c>
      <c r="V5" s="213">
        <f>(U5*100)/U$14</f>
        <v>18.902439024390247</v>
      </c>
      <c r="W5" s="182">
        <v>0.54</v>
      </c>
      <c r="X5" s="213">
        <f>(W5*100)/W$14</f>
        <v>20.769230769230774</v>
      </c>
      <c r="Y5" s="118">
        <v>0.28999999999999998</v>
      </c>
      <c r="Z5" s="118">
        <v>0.05</v>
      </c>
      <c r="AA5" s="224">
        <f>Y5-Z5</f>
        <v>0.24</v>
      </c>
      <c r="AB5" s="220">
        <f>(AA5+1/2)</f>
        <v>0.74</v>
      </c>
      <c r="AC5" s="221">
        <f>(AB5*100)/AB$14</f>
        <v>24.503311258278142</v>
      </c>
      <c r="AD5" s="302">
        <f>AVERAGE(V5,X5,AC5)</f>
        <v>21.391660350633057</v>
      </c>
    </row>
    <row r="6" spans="1:31" x14ac:dyDescent="0.35">
      <c r="A6" s="754" t="s">
        <v>334</v>
      </c>
      <c r="B6" s="7"/>
      <c r="C6" s="119">
        <v>0.22</v>
      </c>
      <c r="D6" s="124">
        <f t="shared" ref="D6:D12" si="0">(C6+2)/5</f>
        <v>0.44400000000000006</v>
      </c>
      <c r="E6" s="213">
        <f t="shared" ref="E6:E12" si="1">(D6*100)/D$14</f>
        <v>14.313346228239846</v>
      </c>
      <c r="F6" s="214">
        <v>0.43</v>
      </c>
      <c r="G6" s="213">
        <f>(F6*100)/F$14</f>
        <v>14.930555555555555</v>
      </c>
      <c r="H6" s="215">
        <v>0.27</v>
      </c>
      <c r="I6" s="215">
        <v>0.19</v>
      </c>
      <c r="J6" s="166">
        <f t="shared" ref="J6:J12" si="2">H6-I6</f>
        <v>8.0000000000000016E-2</v>
      </c>
      <c r="K6" s="220">
        <f>(J6+1/2)</f>
        <v>0.58000000000000007</v>
      </c>
      <c r="L6" s="221">
        <f>(K6*100)/K$14</f>
        <v>16.524216524216527</v>
      </c>
      <c r="M6" s="302">
        <f t="shared" ref="M6:M12" si="3">AVERAGE(E6,G6,L6)</f>
        <v>15.256039436003975</v>
      </c>
      <c r="T6" s="7">
        <v>0.34</v>
      </c>
      <c r="U6" s="124">
        <f t="shared" ref="U6:U12" si="4">(T6+2)/5</f>
        <v>0.46799999999999997</v>
      </c>
      <c r="V6" s="213">
        <f>(U6*100)/U$14</f>
        <v>17.835365853658537</v>
      </c>
      <c r="W6" s="182">
        <v>0.51</v>
      </c>
      <c r="X6" s="213">
        <f>(W6*100)/W$14</f>
        <v>19.615384615384617</v>
      </c>
      <c r="Y6" s="118">
        <v>0.27</v>
      </c>
      <c r="Z6" s="118">
        <v>0.2</v>
      </c>
      <c r="AA6" s="224">
        <f t="shared" ref="AA6:AA12" si="5">Y6-Z6</f>
        <v>7.0000000000000007E-2</v>
      </c>
      <c r="AB6" s="220">
        <f>(AA6+1/2)</f>
        <v>0.57000000000000006</v>
      </c>
      <c r="AC6" s="221">
        <f>(AB6*100)/AB$14</f>
        <v>18.874172185430464</v>
      </c>
      <c r="AD6" s="302">
        <f t="shared" ref="AD6:AD12" si="6">AVERAGE(V6,X6,AC6)</f>
        <v>18.774974218157876</v>
      </c>
    </row>
    <row r="7" spans="1:31" x14ac:dyDescent="0.35">
      <c r="A7" s="7" t="s">
        <v>335</v>
      </c>
      <c r="B7" s="7"/>
      <c r="C7" s="119">
        <v>0.46</v>
      </c>
      <c r="D7" s="124">
        <f t="shared" si="0"/>
        <v>0.49199999999999999</v>
      </c>
      <c r="E7" s="213">
        <f t="shared" si="1"/>
        <v>15.860735009671179</v>
      </c>
      <c r="F7" s="214">
        <v>0.51</v>
      </c>
      <c r="G7" s="213">
        <f>(F7*100)/F$14</f>
        <v>17.708333333333336</v>
      </c>
      <c r="H7" s="215">
        <v>0.1</v>
      </c>
      <c r="I7" s="215">
        <v>0.12</v>
      </c>
      <c r="J7" s="166">
        <f t="shared" si="2"/>
        <v>-1.999999999999999E-2</v>
      </c>
      <c r="K7" s="220">
        <f>(J7+1/2)</f>
        <v>0.48</v>
      </c>
      <c r="L7" s="221">
        <f>(K7*100)/K$14</f>
        <v>13.675213675213676</v>
      </c>
      <c r="M7" s="302">
        <f t="shared" si="3"/>
        <v>15.748094006072732</v>
      </c>
      <c r="T7" s="7">
        <v>0.28000000000000003</v>
      </c>
      <c r="U7" s="124">
        <f t="shared" si="4"/>
        <v>0.45600000000000007</v>
      </c>
      <c r="V7" s="213">
        <f>(U7*100)/U$14</f>
        <v>17.378048780487809</v>
      </c>
      <c r="W7" s="182">
        <v>0.48</v>
      </c>
      <c r="X7" s="213">
        <f>(W7*100)/W$14</f>
        <v>18.461538461538463</v>
      </c>
      <c r="Y7" s="118">
        <v>0.11</v>
      </c>
      <c r="Z7" s="118">
        <v>0.17</v>
      </c>
      <c r="AA7" s="224">
        <f t="shared" si="5"/>
        <v>-6.0000000000000012E-2</v>
      </c>
      <c r="AB7" s="220">
        <f>(AA7+1/2)</f>
        <v>0.44</v>
      </c>
      <c r="AC7" s="221">
        <f>(AB7*100)/AB$14</f>
        <v>14.569536423841058</v>
      </c>
      <c r="AD7" s="302">
        <f t="shared" si="6"/>
        <v>16.803041221955777</v>
      </c>
    </row>
    <row r="8" spans="1:31" x14ac:dyDescent="0.35">
      <c r="A8" s="7" t="s">
        <v>336</v>
      </c>
      <c r="B8" s="7"/>
      <c r="C8" s="119">
        <v>0.18</v>
      </c>
      <c r="D8" s="124">
        <f t="shared" si="0"/>
        <v>0.43600000000000005</v>
      </c>
      <c r="E8" s="213">
        <f t="shared" si="1"/>
        <v>14.055448098001291</v>
      </c>
      <c r="F8" s="214">
        <v>0.39</v>
      </c>
      <c r="G8" s="213">
        <f>(F8*100)/F$14</f>
        <v>13.541666666666668</v>
      </c>
      <c r="H8" s="215">
        <v>0.1</v>
      </c>
      <c r="I8" s="215">
        <v>0.06</v>
      </c>
      <c r="J8" s="166">
        <f t="shared" si="2"/>
        <v>4.0000000000000008E-2</v>
      </c>
      <c r="K8" s="220">
        <f>(J8+1/2)</f>
        <v>0.54</v>
      </c>
      <c r="L8" s="221">
        <f>(K8*100)/K$14</f>
        <v>15.384615384615385</v>
      </c>
      <c r="M8" s="302">
        <f t="shared" si="3"/>
        <v>14.327243383094448</v>
      </c>
      <c r="T8" s="50"/>
      <c r="U8" s="50"/>
      <c r="V8" s="50"/>
      <c r="W8" s="183"/>
      <c r="X8" s="183"/>
      <c r="Y8" s="50"/>
      <c r="Z8" s="50"/>
      <c r="AA8" s="225"/>
      <c r="AB8" s="225"/>
      <c r="AC8" s="225"/>
      <c r="AD8" s="395"/>
    </row>
    <row r="9" spans="1:31" x14ac:dyDescent="0.35">
      <c r="A9" s="7" t="s">
        <v>337</v>
      </c>
      <c r="B9" s="7"/>
      <c r="C9" s="83"/>
      <c r="D9" s="14"/>
      <c r="E9" s="216"/>
      <c r="F9" s="217"/>
      <c r="G9" s="15"/>
      <c r="H9" s="83"/>
      <c r="I9" s="83"/>
      <c r="J9" s="154"/>
      <c r="K9" s="163"/>
      <c r="L9" s="162"/>
      <c r="M9" s="394"/>
      <c r="T9" s="7">
        <v>0.34</v>
      </c>
      <c r="U9" s="124">
        <f t="shared" si="4"/>
        <v>0.46799999999999997</v>
      </c>
      <c r="V9" s="213">
        <f>(U9*100)/U$14</f>
        <v>17.835365853658537</v>
      </c>
      <c r="W9" s="182">
        <v>0.52</v>
      </c>
      <c r="X9" s="213">
        <f>(W9*100)/W$14</f>
        <v>20.000000000000004</v>
      </c>
      <c r="Y9" s="118">
        <v>0.19</v>
      </c>
      <c r="Z9" s="118">
        <v>0.16</v>
      </c>
      <c r="AA9" s="224">
        <f>Y9-Z9</f>
        <v>0.03</v>
      </c>
      <c r="AB9" s="220">
        <f>(AA9+1/2)</f>
        <v>0.53</v>
      </c>
      <c r="AC9" s="221">
        <f>(AB9*100)/AB$14</f>
        <v>17.549668874172184</v>
      </c>
      <c r="AD9" s="302">
        <f t="shared" si="6"/>
        <v>18.461678242610244</v>
      </c>
    </row>
    <row r="10" spans="1:31" x14ac:dyDescent="0.35">
      <c r="A10" s="7" t="s">
        <v>338</v>
      </c>
      <c r="B10" s="7"/>
      <c r="C10" s="119">
        <v>0.01</v>
      </c>
      <c r="D10" s="124">
        <f t="shared" si="0"/>
        <v>0.40199999999999997</v>
      </c>
      <c r="E10" s="213">
        <f t="shared" si="1"/>
        <v>12.959381044487424</v>
      </c>
      <c r="F10" s="214">
        <v>0.34</v>
      </c>
      <c r="G10" s="213">
        <f>(F10*100)/F$14</f>
        <v>11.805555555555555</v>
      </c>
      <c r="H10" s="215">
        <v>0.13</v>
      </c>
      <c r="I10" s="215">
        <v>0.16</v>
      </c>
      <c r="J10" s="166">
        <f t="shared" si="2"/>
        <v>-0.03</v>
      </c>
      <c r="K10" s="220">
        <f>(J10+1/2)</f>
        <v>0.47</v>
      </c>
      <c r="L10" s="221">
        <f>(K10*100)/K$14</f>
        <v>13.390313390313391</v>
      </c>
      <c r="M10" s="302">
        <f t="shared" si="3"/>
        <v>12.718416663452123</v>
      </c>
      <c r="T10" s="50"/>
      <c r="U10" s="50"/>
      <c r="V10" s="50"/>
      <c r="W10" s="183"/>
      <c r="X10" s="183"/>
      <c r="Y10" s="50"/>
      <c r="Z10" s="50"/>
      <c r="AA10" s="225"/>
      <c r="AB10" s="225"/>
      <c r="AC10" s="225"/>
      <c r="AD10" s="395"/>
    </row>
    <row r="11" spans="1:31" x14ac:dyDescent="0.35">
      <c r="A11" s="7" t="s">
        <v>339</v>
      </c>
      <c r="B11" s="7"/>
      <c r="C11" s="119">
        <v>-0.03</v>
      </c>
      <c r="D11" s="124">
        <f t="shared" si="0"/>
        <v>0.39400000000000002</v>
      </c>
      <c r="E11" s="213">
        <f t="shared" si="1"/>
        <v>12.701482914248871</v>
      </c>
      <c r="F11" s="214">
        <v>0.35</v>
      </c>
      <c r="G11" s="213">
        <f>(F11*100)/F$14</f>
        <v>12.152777777777779</v>
      </c>
      <c r="H11" s="215">
        <v>7.0000000000000007E-2</v>
      </c>
      <c r="I11" s="215">
        <v>0.25</v>
      </c>
      <c r="J11" s="166">
        <f t="shared" si="2"/>
        <v>-0.18</v>
      </c>
      <c r="K11" s="220">
        <f>(J11+1/2)</f>
        <v>0.32</v>
      </c>
      <c r="L11" s="221">
        <f>(K11*100)/K$14</f>
        <v>9.116809116809117</v>
      </c>
      <c r="M11" s="302">
        <f t="shared" si="3"/>
        <v>11.323689936278589</v>
      </c>
      <c r="T11" s="7">
        <v>-0.3</v>
      </c>
      <c r="U11" s="124">
        <f t="shared" si="4"/>
        <v>0.33999999999999997</v>
      </c>
      <c r="V11" s="213">
        <f>(U11*100)/U$14</f>
        <v>12.957317073170733</v>
      </c>
      <c r="W11" s="182">
        <v>0.26</v>
      </c>
      <c r="X11" s="213">
        <f>(W11*100)/W$14</f>
        <v>10.000000000000002</v>
      </c>
      <c r="Y11" s="118">
        <v>0.08</v>
      </c>
      <c r="Z11" s="118">
        <v>0.25</v>
      </c>
      <c r="AA11" s="224">
        <f t="shared" si="5"/>
        <v>-0.16999999999999998</v>
      </c>
      <c r="AB11" s="220">
        <f>(AA11+1/2)</f>
        <v>0.33</v>
      </c>
      <c r="AC11" s="221">
        <f>(AB11*100)/AB$14</f>
        <v>10.927152317880793</v>
      </c>
      <c r="AD11" s="302">
        <f t="shared" si="6"/>
        <v>11.294823130350508</v>
      </c>
    </row>
    <row r="12" spans="1:31" x14ac:dyDescent="0.35">
      <c r="A12" s="7" t="s">
        <v>340</v>
      </c>
      <c r="B12" s="7"/>
      <c r="C12" s="119">
        <v>0.08</v>
      </c>
      <c r="D12" s="124">
        <f t="shared" si="0"/>
        <v>0.41600000000000004</v>
      </c>
      <c r="E12" s="213">
        <f t="shared" si="1"/>
        <v>13.4107027724049</v>
      </c>
      <c r="F12" s="214">
        <v>0.3</v>
      </c>
      <c r="G12" s="213">
        <f>(F12*100)/F$14</f>
        <v>10.416666666666668</v>
      </c>
      <c r="H12" s="215">
        <v>0.05</v>
      </c>
      <c r="I12" s="215">
        <v>0.15</v>
      </c>
      <c r="J12" s="166">
        <f t="shared" si="2"/>
        <v>-9.9999999999999992E-2</v>
      </c>
      <c r="K12" s="220">
        <f>(J12+1/2)</f>
        <v>0.4</v>
      </c>
      <c r="L12" s="221">
        <f>(K12*100)/K$14</f>
        <v>11.396011396011398</v>
      </c>
      <c r="M12" s="302">
        <f t="shared" si="3"/>
        <v>11.741126945027654</v>
      </c>
      <c r="T12" s="7">
        <v>-0.02</v>
      </c>
      <c r="U12" s="124">
        <f t="shared" si="4"/>
        <v>0.39600000000000002</v>
      </c>
      <c r="V12" s="213">
        <f>(U12*100)/U$14</f>
        <v>15.091463414634148</v>
      </c>
      <c r="W12" s="182">
        <v>0.28999999999999998</v>
      </c>
      <c r="X12" s="213">
        <f>(W12*100)/W$14</f>
        <v>11.153846153846153</v>
      </c>
      <c r="Y12" s="118">
        <v>7.0000000000000007E-2</v>
      </c>
      <c r="Z12" s="118">
        <v>0.16</v>
      </c>
      <c r="AA12" s="224">
        <f t="shared" si="5"/>
        <v>-0.09</v>
      </c>
      <c r="AB12" s="220">
        <f>(AA12+1/2)</f>
        <v>0.41000000000000003</v>
      </c>
      <c r="AC12" s="221">
        <f>(AB12*100)/AB$14</f>
        <v>13.576158940397349</v>
      </c>
      <c r="AD12" s="302">
        <f t="shared" si="6"/>
        <v>13.273822836292551</v>
      </c>
    </row>
    <row r="13" spans="1:31" x14ac:dyDescent="0.35">
      <c r="A13" s="7"/>
      <c r="B13" s="7"/>
      <c r="C13" s="119"/>
      <c r="D13" s="124"/>
      <c r="E13" s="213"/>
      <c r="F13" s="214"/>
      <c r="G13" s="213"/>
      <c r="H13" s="215"/>
      <c r="I13" s="215"/>
      <c r="J13" s="166"/>
      <c r="K13" s="220"/>
      <c r="L13" s="221"/>
      <c r="M13" s="302"/>
      <c r="T13" s="7"/>
      <c r="U13" s="124"/>
      <c r="V13" s="213"/>
      <c r="W13" s="182"/>
      <c r="X13" s="213"/>
      <c r="Y13" s="118"/>
      <c r="Z13" s="118"/>
      <c r="AA13" s="224"/>
      <c r="AB13" s="220"/>
      <c r="AC13" s="221"/>
      <c r="AD13" s="302"/>
    </row>
    <row r="14" spans="1:31" ht="15" thickBot="1" x14ac:dyDescent="0.4">
      <c r="D14" s="218">
        <f>SUM(D5:D12)</f>
        <v>3.1020000000000003</v>
      </c>
      <c r="E14" s="219">
        <f>SUM(E5:E12)</f>
        <v>100</v>
      </c>
      <c r="F14" s="218">
        <f>SUM(F5:F12)</f>
        <v>2.88</v>
      </c>
      <c r="G14" s="219">
        <f>SUM(G5:G12)</f>
        <v>100.00000000000001</v>
      </c>
      <c r="J14" s="133"/>
      <c r="K14" s="222">
        <f>SUM(K5:K12)</f>
        <v>3.51</v>
      </c>
      <c r="L14" s="212">
        <f>SUM(L5:L12)</f>
        <v>100.00000000000001</v>
      </c>
      <c r="M14" s="304">
        <f>SUM(M5:M12)</f>
        <v>100</v>
      </c>
      <c r="U14" s="218">
        <f>SUM(U5:U12)</f>
        <v>2.6239999999999997</v>
      </c>
      <c r="V14" s="219">
        <f>SUM(V5:V12)</f>
        <v>100.00000000000001</v>
      </c>
      <c r="W14" s="223">
        <f>SUM(W5:W12)</f>
        <v>2.5999999999999996</v>
      </c>
      <c r="X14" s="219">
        <f>SUM(X5:X12)</f>
        <v>100</v>
      </c>
      <c r="AA14" s="133"/>
      <c r="AB14" s="222">
        <f>SUM(AB5:AB12)</f>
        <v>3.0200000000000005</v>
      </c>
      <c r="AC14" s="212">
        <f>SUM(AC5:AC12)</f>
        <v>99.999999999999986</v>
      </c>
      <c r="AD14" s="304">
        <f>SUM(AD5:AD12)</f>
        <v>100.00000000000001</v>
      </c>
    </row>
    <row r="15" spans="1:31" x14ac:dyDescent="0.35">
      <c r="B15" s="124"/>
      <c r="C15" s="133"/>
      <c r="D15" s="133"/>
      <c r="E15" s="133"/>
      <c r="F15" s="124"/>
      <c r="G15" s="124"/>
      <c r="H15" s="124"/>
      <c r="I15" s="124"/>
      <c r="T15" s="133"/>
      <c r="U15" s="133"/>
      <c r="W15" s="124"/>
      <c r="AD15" s="133"/>
    </row>
    <row r="16" spans="1:31" x14ac:dyDescent="0.35">
      <c r="A16" s="50"/>
      <c r="B16" s="50"/>
      <c r="C16" s="50"/>
      <c r="D16" s="52"/>
      <c r="E16" s="52"/>
      <c r="F16" s="52"/>
      <c r="G16" s="52"/>
      <c r="H16" s="52"/>
      <c r="I16" s="52"/>
      <c r="J16" s="84"/>
      <c r="K16" s="52"/>
      <c r="L16" s="52"/>
      <c r="M16" s="52"/>
      <c r="N16" s="52"/>
      <c r="O16" s="52"/>
      <c r="P16" s="52"/>
      <c r="Q16" s="52"/>
      <c r="R16" s="52"/>
      <c r="S16" s="52"/>
      <c r="T16" s="32"/>
      <c r="U16" s="84"/>
      <c r="V16" s="52"/>
      <c r="W16" s="52"/>
      <c r="X16" s="52"/>
      <c r="Y16" s="52"/>
      <c r="Z16" s="52"/>
      <c r="AA16" s="52"/>
      <c r="AB16" s="52"/>
      <c r="AC16" s="52"/>
      <c r="AD16" s="52"/>
      <c r="AE16" s="7"/>
    </row>
    <row r="17" spans="1:35" ht="19.5" x14ac:dyDescent="0.45">
      <c r="A17" s="85" t="s">
        <v>341</v>
      </c>
      <c r="B17" s="50"/>
      <c r="C17" s="50"/>
      <c r="D17" s="185"/>
      <c r="E17" s="98"/>
      <c r="F17" s="98"/>
      <c r="G17" s="98"/>
      <c r="H17" s="98"/>
      <c r="I17" s="98"/>
      <c r="J17" s="186"/>
      <c r="K17" s="52"/>
      <c r="L17" s="52"/>
      <c r="M17" s="52"/>
      <c r="N17" s="52"/>
      <c r="O17" s="52"/>
      <c r="P17" s="52"/>
      <c r="Q17" s="52"/>
      <c r="R17" s="52"/>
      <c r="S17" s="52"/>
      <c r="T17" s="32"/>
      <c r="U17" s="84"/>
      <c r="V17" s="52"/>
      <c r="W17" s="52"/>
      <c r="X17" s="52"/>
      <c r="Y17" s="52"/>
      <c r="Z17" s="52"/>
      <c r="AA17" s="52"/>
      <c r="AB17" s="52"/>
      <c r="AC17" s="52"/>
      <c r="AD17" s="52"/>
      <c r="AE17" s="50"/>
      <c r="AF17" s="11"/>
      <c r="AG17" s="11"/>
      <c r="AH17" s="11"/>
      <c r="AI17" s="11"/>
    </row>
    <row r="18" spans="1:35" ht="15.75" customHeight="1" thickBot="1" x14ac:dyDescent="0.4">
      <c r="A18" s="50"/>
      <c r="B18" s="52"/>
      <c r="C18" s="98" t="s">
        <v>342</v>
      </c>
      <c r="D18" s="11"/>
      <c r="E18" s="148"/>
      <c r="F18" s="148"/>
      <c r="G18" s="98" t="s">
        <v>343</v>
      </c>
      <c r="H18" s="98"/>
      <c r="I18" s="99"/>
      <c r="J18" s="1007" t="s">
        <v>344</v>
      </c>
      <c r="K18" s="1007" t="s">
        <v>345</v>
      </c>
      <c r="L18" s="11"/>
      <c r="M18" s="11"/>
      <c r="N18" s="11"/>
      <c r="O18" s="50"/>
      <c r="P18" s="1006" t="s">
        <v>346</v>
      </c>
      <c r="Q18" s="50"/>
      <c r="R18" s="50"/>
      <c r="S18" s="50"/>
      <c r="T18" s="98" t="s">
        <v>342</v>
      </c>
      <c r="U18" s="11"/>
      <c r="V18" s="148"/>
      <c r="W18" s="148"/>
      <c r="X18" s="98" t="s">
        <v>343</v>
      </c>
      <c r="Y18" s="98"/>
      <c r="Z18" s="99"/>
      <c r="AA18" s="1007" t="s">
        <v>344</v>
      </c>
      <c r="AB18" s="1007" t="s">
        <v>345</v>
      </c>
      <c r="AC18" s="11"/>
      <c r="AD18" s="11"/>
      <c r="AE18" s="11"/>
      <c r="AF18" s="11"/>
      <c r="AG18" s="1006" t="s">
        <v>346</v>
      </c>
      <c r="AH18" s="50"/>
      <c r="AI18" s="50"/>
    </row>
    <row r="19" spans="1:35" ht="87" x14ac:dyDescent="0.35">
      <c r="A19" s="54" t="s">
        <v>347</v>
      </c>
      <c r="B19" s="54" t="s">
        <v>348</v>
      </c>
      <c r="C19" s="189" t="s">
        <v>349</v>
      </c>
      <c r="D19" s="88" t="s">
        <v>350</v>
      </c>
      <c r="E19" s="88" t="s">
        <v>351</v>
      </c>
      <c r="F19" s="88" t="s">
        <v>352</v>
      </c>
      <c r="G19" s="88" t="s">
        <v>353</v>
      </c>
      <c r="H19" s="88" t="s">
        <v>354</v>
      </c>
      <c r="I19" s="88" t="s">
        <v>355</v>
      </c>
      <c r="J19" s="1007"/>
      <c r="K19" s="1007"/>
      <c r="L19" s="251" t="s">
        <v>356</v>
      </c>
      <c r="M19" s="251" t="s">
        <v>357</v>
      </c>
      <c r="N19" s="251" t="s">
        <v>358</v>
      </c>
      <c r="O19" s="598" t="s">
        <v>359</v>
      </c>
      <c r="P19" s="1006"/>
      <c r="Q19" s="88" t="s">
        <v>124</v>
      </c>
      <c r="R19" s="268" t="s">
        <v>360</v>
      </c>
      <c r="S19" s="88"/>
      <c r="T19" s="32"/>
      <c r="U19" s="88" t="s">
        <v>350</v>
      </c>
      <c r="V19" s="88" t="s">
        <v>351</v>
      </c>
      <c r="W19" s="88" t="s">
        <v>352</v>
      </c>
      <c r="X19" s="88" t="s">
        <v>353</v>
      </c>
      <c r="Y19" s="88" t="s">
        <v>354</v>
      </c>
      <c r="Z19" s="88" t="s">
        <v>355</v>
      </c>
      <c r="AA19" s="1007"/>
      <c r="AB19" s="1007"/>
      <c r="AC19" s="251" t="s">
        <v>356</v>
      </c>
      <c r="AD19" s="251" t="s">
        <v>357</v>
      </c>
      <c r="AE19" s="251" t="s">
        <v>358</v>
      </c>
      <c r="AF19" s="598" t="s">
        <v>359</v>
      </c>
      <c r="AG19" s="1006"/>
      <c r="AH19" s="88" t="s">
        <v>124</v>
      </c>
      <c r="AI19" s="268" t="s">
        <v>360</v>
      </c>
    </row>
    <row r="20" spans="1:35" x14ac:dyDescent="0.35">
      <c r="A20" s="7" t="str">
        <f>A5</f>
        <v>Reducing leakage</v>
      </c>
      <c r="B20" s="7" t="s">
        <v>40</v>
      </c>
      <c r="C20" s="7" t="s">
        <v>40</v>
      </c>
      <c r="D20" s="147">
        <f ca="1">INDEX(INDIRECT("SSW_WTPCore2_"&amp;$C20&amp;"_Levels"),1, MATCH(D$19,WTPCore2_AttLevels,0))</f>
        <v>70.5</v>
      </c>
      <c r="E20" s="147"/>
      <c r="F20" s="147">
        <f ca="1">INDEX(INDIRECT("SSW_WTPCore2_"&amp;$C20&amp;"_Levels"),1, MATCH(F$19,WTPCore2_AttLevels,0))</f>
        <v>35.25</v>
      </c>
      <c r="G20" s="89">
        <f ca="1">INDEX(INDIRECT("SSW_WTPCore2_"&amp;$C20&amp;"_LevelValues"),1,MATCH("S1 MEAN",WTPCore2_LevelValues,0))</f>
        <v>1.2301339708448666</v>
      </c>
      <c r="H20" s="89">
        <f ca="1">INDEX(INDIRECT("SSW_WTPCore2_"&amp;$C20&amp;"_LevelValues"),1,MATCH("S2 MEAN",WTPCore2_LevelValues,0))</f>
        <v>0.44133293088857806</v>
      </c>
      <c r="I20" s="89">
        <f ca="1">SUM(G20:H20)</f>
        <v>1.6714669017334447</v>
      </c>
      <c r="J20" s="147">
        <f>VLOOKUP($A20,$A$5:$AF$21,COLUMN($M$4),0)</f>
        <v>18.885389630070481</v>
      </c>
      <c r="K20" s="266">
        <f>J20*SSW_bill_impact_leakage</f>
        <v>384.76175816781966</v>
      </c>
      <c r="L20" s="429">
        <f ca="1">INDEX(INDIRECT("SSW_WTPCore_DCE_"&amp;$C20&amp;"_UnitValues"),MATCH("COMBINED-HH",WTPCore_Group,0),MATCH("MEAN",LMH,0))</f>
        <v>30606.35460992908</v>
      </c>
      <c r="M20" s="429">
        <f ca="1">L20*(D20-$F20)/HHProps_SSW</f>
        <v>2</v>
      </c>
      <c r="N20" s="89">
        <f t="shared" ref="N20" ca="1" si="7">INDEX(INDIRECT("SSW_WTPCore2_"&amp;$C20&amp;"_UnitValues"),1,MATCH("MEAN",LMH,0))</f>
        <v>25578.754356606645</v>
      </c>
      <c r="O20" s="624">
        <f ca="1">N20*(D20-$F20)/HHProps_SSW</f>
        <v>1.6714669017334447</v>
      </c>
      <c r="P20" s="90">
        <f ca="1">((K20*N$23)/K$22)</f>
        <v>1.8548453601713941</v>
      </c>
      <c r="Q20" s="23" t="s">
        <v>148</v>
      </c>
      <c r="R20" s="271">
        <f ca="1">(P20*HHProps_SSW)/((D20-F20))</f>
        <v>28385.027419993654</v>
      </c>
      <c r="S20" s="622"/>
      <c r="T20" s="133"/>
      <c r="U20" s="147">
        <f ca="1">INDEX(INDIRECT("CAM_WTPCore2_"&amp;$C20&amp;"_Levels"),1,MATCH(U$19,WTPCore2_AttLevels,0))</f>
        <v>13.5</v>
      </c>
      <c r="V20" s="147"/>
      <c r="W20" s="147">
        <f ca="1">INDEX(INDIRECT("CAM_WTPCore2_"&amp;$C20&amp;"_Levels"),1,MATCH(W$19,WTPCore2_AttLevels,0))</f>
        <v>6.75</v>
      </c>
      <c r="X20" s="89">
        <f ca="1">INDEX(INDIRECT("CAM_WTPCore2_"&amp;$C20&amp;"_LevelValues"),1,MATCH("S1 MEAN",WTPCore2_LevelValues,0))</f>
        <v>3.1349723048319831</v>
      </c>
      <c r="Y20" s="89">
        <f ca="1">INDEX(INDIRECT("CAM_WTPCore2_"&amp;$C20&amp;"_LevelValues"),1,MATCH("S2 MEAN",WTPCore2_LevelValues,0))</f>
        <v>5.1405797633106154E-3</v>
      </c>
      <c r="Z20" s="89">
        <f ca="1">SUM(X20:Y20)</f>
        <v>3.1401128845952937</v>
      </c>
      <c r="AA20" s="147">
        <f>VLOOKUP($A20,$A$5:$AF$21,COLUMN($AD$4),0)</f>
        <v>21.391660350633057</v>
      </c>
      <c r="AB20" s="266">
        <f>AA20*CAM_bill_impact_leakage</f>
        <v>265.49933059296347</v>
      </c>
      <c r="AC20" s="429">
        <f ca="1">INDEX(INDIRECT("CAM_WTPCore_"&amp;$C20&amp;"_UnitValues"),MATCH("COMBINED-HH",WTPCore_Group,0),MATCH("MEAN",LMH,0))</f>
        <v>145343.41333333333</v>
      </c>
      <c r="AD20" s="429">
        <f ca="1">AC20*(U20-$W20)/HHProps_CAM</f>
        <v>7.2200000000000006</v>
      </c>
      <c r="AE20" s="89">
        <f ca="1">INDEX(INDIRECT("CAM_WTPCore2_"&amp;$C20&amp;"_UnitValues"),1,MATCH("MEAN",LMH,0))</f>
        <v>63212.565775492993</v>
      </c>
      <c r="AF20" s="624">
        <f ca="1">AE20*(U20-$W20)/HHProps_CAM</f>
        <v>3.1401128845952937</v>
      </c>
      <c r="AG20" s="90">
        <f ca="1">((AB20*AE$23)/AB$22)</f>
        <v>7.749259787926027</v>
      </c>
      <c r="AH20" s="7" t="str">
        <f>Q20</f>
        <v>ML/D</v>
      </c>
      <c r="AI20" s="271">
        <f ca="1">(AG20*HHProps_CAM)/((U20-W20))</f>
        <v>155997.76570414286</v>
      </c>
    </row>
    <row r="21" spans="1:35" x14ac:dyDescent="0.35">
      <c r="A21" s="7" t="str">
        <f>A6</f>
        <v>Installing smart meters</v>
      </c>
      <c r="B21" s="7" t="s">
        <v>151</v>
      </c>
      <c r="C21" s="7" t="s">
        <v>152</v>
      </c>
      <c r="D21" s="91">
        <f ca="1">INDEX(INDIRECT("SSW_WTPCore_DCE_"&amp;$C21&amp;"_Levels"),MATCH("COMBINED-HH",WTPCore_Group,0),MATCH(D$19,WTPCore_AttLevels,0))</f>
        <v>0</v>
      </c>
      <c r="E21" s="91"/>
      <c r="F21" s="91">
        <f ca="1">INDEX(INDIRECT("SSW_WTPCore_DCE_"&amp;$C21&amp;"_Levels"),MATCH("COMBINED-HH",WTPCore_Group,0),MATCH(F$19,WTPCore_AttLevels,0))</f>
        <v>1</v>
      </c>
      <c r="G21" s="89">
        <f ca="1">INDEX(INDIRECT("SSW_WTPCore_DCE_"&amp;$C21&amp;"_LevelValues"),MATCH("COMBINED-HH",WTPCore_Group,0),MATCH("S1 MEAN",WTPCore_LevelValues,0))</f>
        <v>8.5999999999999993E-2</v>
      </c>
      <c r="H21" s="89">
        <f ca="1">INDEX(INDIRECT("SSW_WTPCore_DCE_"&amp;$C21&amp;"_LevelValues"),MATCH("COMBINED-HH",WTPCore_Group,0),MATCH("S2 MEAN",WTPCore_LevelValues,0))</f>
        <v>0.35599999999999998</v>
      </c>
      <c r="I21" s="89">
        <f ca="1">SUM(G21:H21)</f>
        <v>0.44199999999999995</v>
      </c>
      <c r="J21" s="147">
        <f>VLOOKUP($A21,$A$5:$AF$21,COLUMN($M$4),0)</f>
        <v>15.256039436003975</v>
      </c>
      <c r="K21" s="266">
        <f>J21*SSW_bill_impact_metering</f>
        <v>87.722226757022852</v>
      </c>
      <c r="L21" s="429">
        <f ca="1">INDEX(INDIRECT("SSW_WTPCore_DCE_"&amp;$C21&amp;"_UnitValues"),MATCH("COMBINED-HH",WTPCore_Group,0),MATCH("MEAN",LMH,0))</f>
        <v>0.44199999999999995</v>
      </c>
      <c r="M21" s="429">
        <f ca="1">-L21*(D21-$F21)</f>
        <v>0.44199999999999995</v>
      </c>
      <c r="N21" s="89">
        <f ca="1">L21</f>
        <v>0.44199999999999995</v>
      </c>
      <c r="O21" s="429">
        <f ca="1">-N21*(D21-$F21)</f>
        <v>0.44199999999999995</v>
      </c>
      <c r="P21" s="90">
        <f ca="1">((K21*N$23)/K$22)</f>
        <v>0.42288809069532801</v>
      </c>
      <c r="Q21" s="23" t="s">
        <v>150</v>
      </c>
      <c r="R21" s="269">
        <f ca="1">(-P21/(D21-F21))</f>
        <v>0.42288809069532801</v>
      </c>
      <c r="S21" s="635"/>
      <c r="T21" s="133"/>
      <c r="U21" s="36">
        <f ca="1">INDEX(INDIRECT("CAM_WTPCore_"&amp;$C21&amp;"_Levels"),MATCH("COMBINED-HH",WTPCore_Group,0),MATCH(U$19,WTPCore_AttLevels,0))</f>
        <v>0</v>
      </c>
      <c r="V21" s="36"/>
      <c r="W21" s="36">
        <f ca="1">INDEX(INDIRECT("CAM_WTPCore_"&amp;$C21&amp;"_Levels"),MATCH("COMBINED-HH",WTPCore_Group,0),MATCH(W$19,WTPCore_AttLevels,0))</f>
        <v>1</v>
      </c>
      <c r="X21" s="89">
        <f ca="1">INDEX(INDIRECT("CAM_WTPCore_"&amp;$C21&amp;"_LevelValues"),MATCH("COMBINED-HH",WTPCore_Group,0),MATCH("S1 MEAN",WTPCore_LevelValues,0))</f>
        <v>1.133</v>
      </c>
      <c r="Y21" s="89">
        <f ca="1">INDEX(INDIRECT("CAM_WTPCore_"&amp;$C21&amp;"_LevelValues"),MATCH("COMBINED-HH",WTPCore_Group,0),MATCH("S2 MEAN",WTPCore_LevelValues,0))</f>
        <v>1.7649999999999999</v>
      </c>
      <c r="Z21" s="89">
        <f ca="1">SUM(X21:Y21)</f>
        <v>2.8979999999999997</v>
      </c>
      <c r="AA21" s="147">
        <f>VLOOKUP($A21,$A$5:$AF$21,COLUMN($AD$4),0)</f>
        <v>18.774974218157876</v>
      </c>
      <c r="AB21" s="266">
        <f>AA21*CAM_bill_impact_metering</f>
        <v>11.264984530894726</v>
      </c>
      <c r="AC21" s="429">
        <f ca="1">INDEX(INDIRECT("CAM_WTPCore_"&amp;$C21&amp;"_UnitValues"),MATCH("COMBINED-HH",WTPCore_Group,0),MATCH("MEAN",LMH,0))</f>
        <v>2.8979999999999997</v>
      </c>
      <c r="AD21" s="429">
        <f ca="1">-AC21*(U21-$W21)</f>
        <v>2.8979999999999997</v>
      </c>
      <c r="AE21" s="89">
        <f ca="1">AC21</f>
        <v>2.8979999999999997</v>
      </c>
      <c r="AF21" s="429">
        <f ca="1">-AE21*(U21-$W21)</f>
        <v>2.8979999999999997</v>
      </c>
      <c r="AG21" s="90">
        <f ca="1">((AB21*AE$23)/AB$22)</f>
        <v>0.32879665437162059</v>
      </c>
      <c r="AH21" s="7" t="str">
        <f>Q21</f>
        <v>Household</v>
      </c>
      <c r="AI21" s="269">
        <f ca="1">(-AG21/(U21-W21))</f>
        <v>0.32879665437162059</v>
      </c>
    </row>
    <row r="22" spans="1:35" ht="15" thickBot="1" x14ac:dyDescent="0.4">
      <c r="A22" s="133"/>
      <c r="B22" s="133"/>
      <c r="C22" s="133"/>
      <c r="D22" s="194"/>
      <c r="E22" s="194"/>
      <c r="F22" s="194"/>
      <c r="G22" s="3"/>
      <c r="H22" s="3"/>
      <c r="I22" s="194">
        <f ca="1">SUM(I20:I21)</f>
        <v>2.1134669017334446</v>
      </c>
      <c r="J22" s="29">
        <f>SUM(J20:J21)</f>
        <v>34.141429066074458</v>
      </c>
      <c r="K22" s="29">
        <f>SUM(K20:K21)</f>
        <v>472.4839849248425</v>
      </c>
      <c r="M22" s="194">
        <f ca="1">SUM(M20:M21)</f>
        <v>2.4420000000000002</v>
      </c>
      <c r="O22" s="42">
        <f ca="1">SUM(O20:O21)</f>
        <v>2.1134669017334446</v>
      </c>
      <c r="P22" s="194">
        <f ca="1">SUM(P20:P21)</f>
        <v>2.2777334508667222</v>
      </c>
      <c r="Q22" s="22"/>
      <c r="R22" s="300"/>
      <c r="S22" s="22"/>
      <c r="T22" s="40"/>
      <c r="U22" s="40"/>
      <c r="V22" s="22"/>
      <c r="W22" s="22"/>
      <c r="X22" s="22"/>
      <c r="Y22" s="42"/>
      <c r="Z22" s="194">
        <f ca="1">SUM(Z20:Z21)</f>
        <v>6.0381128845952929</v>
      </c>
      <c r="AA22" s="29">
        <f>SUM(AA20:AA21)</f>
        <v>40.166634568790933</v>
      </c>
      <c r="AB22" s="29">
        <f>SUM(AB20:AB21)</f>
        <v>276.76431512385818</v>
      </c>
      <c r="AD22" s="29">
        <f ca="1">SUM(AD20:AD21)</f>
        <v>10.118</v>
      </c>
      <c r="AF22" s="264">
        <f ca="1">SUM(AF20:AF21)</f>
        <v>6.0381128845952929</v>
      </c>
      <c r="AG22" s="194">
        <f ca="1">SUM(AG20:AG21)</f>
        <v>8.0780564422976475</v>
      </c>
      <c r="AH22" s="42"/>
      <c r="AI22" s="300"/>
    </row>
    <row r="23" spans="1:35" x14ac:dyDescent="0.35">
      <c r="A23" s="133"/>
      <c r="B23" s="133"/>
      <c r="C23" s="133"/>
      <c r="D23" s="194"/>
      <c r="E23" s="194"/>
      <c r="F23" s="194"/>
      <c r="G23" s="3"/>
      <c r="H23" s="3"/>
      <c r="I23" s="194"/>
      <c r="J23" s="29"/>
      <c r="K23" s="29"/>
      <c r="L23" s="194"/>
      <c r="M23" s="637" t="s">
        <v>361</v>
      </c>
      <c r="N23" s="42">
        <f ca="1">AVERAGE(M22,O22)</f>
        <v>2.2777334508667222</v>
      </c>
      <c r="O23" s="22"/>
      <c r="P23" s="22"/>
      <c r="Q23" s="22"/>
      <c r="R23" s="22"/>
      <c r="S23" s="22"/>
      <c r="T23" s="40"/>
      <c r="U23" s="40"/>
      <c r="V23" s="22"/>
      <c r="W23" s="22"/>
      <c r="X23" s="22"/>
      <c r="Y23" s="42"/>
      <c r="Z23" s="194"/>
      <c r="AA23" s="29"/>
      <c r="AB23" s="29"/>
      <c r="AC23" s="194"/>
      <c r="AD23" s="42" t="s">
        <v>361</v>
      </c>
      <c r="AE23" s="636">
        <f ca="1">AVERAGE(AD22,AF22)</f>
        <v>8.0780564422976475</v>
      </c>
    </row>
    <row r="24" spans="1:35" x14ac:dyDescent="0.35">
      <c r="A24" s="133"/>
      <c r="B24" s="133"/>
      <c r="C24" s="133"/>
      <c r="D24" s="194"/>
      <c r="E24" s="194"/>
      <c r="F24" s="194"/>
      <c r="G24" s="3"/>
      <c r="H24" s="3"/>
      <c r="I24" s="194"/>
      <c r="J24" s="29"/>
      <c r="K24" s="29"/>
      <c r="L24" s="194"/>
      <c r="M24" s="22"/>
      <c r="N24" s="22"/>
      <c r="O24" s="22"/>
      <c r="P24" s="22"/>
      <c r="Q24" s="22"/>
      <c r="R24" s="22"/>
      <c r="S24" s="22"/>
      <c r="T24" s="40"/>
      <c r="U24" s="40"/>
      <c r="V24" s="22"/>
      <c r="W24" s="22"/>
      <c r="X24" s="22"/>
      <c r="Y24" s="42"/>
      <c r="Z24" s="194"/>
      <c r="AA24" s="29"/>
      <c r="AB24" s="29"/>
      <c r="AC24" s="194"/>
      <c r="AD24" s="42"/>
      <c r="AE24" s="22"/>
    </row>
    <row r="25" spans="1:35" x14ac:dyDescent="0.35">
      <c r="A25" s="133"/>
      <c r="B25" s="133"/>
      <c r="C25" s="133"/>
      <c r="D25" s="194"/>
      <c r="E25" s="194"/>
      <c r="F25" s="194"/>
      <c r="G25" s="3"/>
      <c r="H25" s="3"/>
      <c r="I25" s="194"/>
      <c r="J25" s="29"/>
      <c r="K25" s="29"/>
      <c r="L25" s="194"/>
      <c r="M25" s="22"/>
      <c r="N25" s="22"/>
      <c r="O25" s="22"/>
      <c r="P25" s="22"/>
      <c r="Q25" s="22"/>
      <c r="R25" s="22"/>
      <c r="S25" s="22"/>
      <c r="T25" s="40"/>
      <c r="U25" s="40"/>
      <c r="V25" s="22"/>
      <c r="W25" s="22"/>
      <c r="X25" s="22"/>
      <c r="Y25" s="42"/>
      <c r="Z25" s="194"/>
      <c r="AA25" s="29"/>
      <c r="AB25" s="29"/>
      <c r="AC25" s="194"/>
      <c r="AD25" s="42"/>
      <c r="AE25" s="22"/>
    </row>
    <row r="26" spans="1:35" x14ac:dyDescent="0.35">
      <c r="A26" s="133"/>
      <c r="B26" s="133"/>
      <c r="C26" s="133"/>
      <c r="D26" s="194"/>
      <c r="E26" s="194"/>
      <c r="F26" s="194"/>
      <c r="G26" s="3"/>
      <c r="H26" s="3"/>
      <c r="I26" s="194"/>
      <c r="J26" s="29"/>
      <c r="K26" s="29"/>
      <c r="L26" s="194"/>
      <c r="M26" s="22"/>
      <c r="N26" s="22"/>
      <c r="O26" s="22"/>
      <c r="P26" s="22"/>
      <c r="Q26" s="22"/>
      <c r="R26" s="22"/>
      <c r="S26" s="22"/>
      <c r="T26" s="40"/>
      <c r="U26" s="40"/>
      <c r="V26" s="22"/>
      <c r="W26" s="22"/>
      <c r="X26" s="22"/>
      <c r="Y26" s="42"/>
      <c r="Z26" s="194"/>
      <c r="AA26" s="29"/>
      <c r="AB26" s="29"/>
      <c r="AC26" s="194"/>
      <c r="AD26" s="42"/>
      <c r="AE26" s="22"/>
    </row>
    <row r="27" spans="1:35" x14ac:dyDescent="0.35">
      <c r="A27" s="52" t="s">
        <v>362</v>
      </c>
      <c r="B27" s="50"/>
      <c r="C27" s="50"/>
      <c r="D27" s="52"/>
      <c r="E27" s="52"/>
      <c r="F27" s="52"/>
      <c r="G27" s="52"/>
      <c r="H27" s="52"/>
      <c r="I27" s="52"/>
      <c r="J27" s="84"/>
      <c r="K27" s="52"/>
      <c r="L27" s="52"/>
      <c r="M27" s="52"/>
      <c r="N27" s="52"/>
      <c r="O27" s="52"/>
      <c r="P27" s="52"/>
      <c r="Q27" s="52"/>
      <c r="R27" s="52"/>
      <c r="S27" s="52"/>
      <c r="T27" s="32"/>
      <c r="U27" s="84"/>
      <c r="V27" s="52"/>
      <c r="W27" s="52"/>
      <c r="X27" s="52"/>
      <c r="Y27" s="52"/>
      <c r="Z27" s="52"/>
      <c r="AA27" s="52"/>
      <c r="AB27" s="52"/>
      <c r="AC27" s="52"/>
      <c r="AD27" s="52"/>
      <c r="AE27" s="11"/>
      <c r="AF27" s="11"/>
      <c r="AG27" s="11"/>
      <c r="AH27" s="11"/>
      <c r="AI27" s="11"/>
    </row>
    <row r="28" spans="1:35" x14ac:dyDescent="0.35">
      <c r="A28" s="7" t="s">
        <v>363</v>
      </c>
    </row>
    <row r="29" spans="1:35" x14ac:dyDescent="0.35">
      <c r="A29" s="7" t="s">
        <v>364</v>
      </c>
    </row>
  </sheetData>
  <mergeCells count="6">
    <mergeCell ref="AG18:AG19"/>
    <mergeCell ref="J18:J19"/>
    <mergeCell ref="K18:K19"/>
    <mergeCell ref="P18:P19"/>
    <mergeCell ref="AA18:AA19"/>
    <mergeCell ref="AB18:AB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sheetPr>
  <dimension ref="A1:AJ53"/>
  <sheetViews>
    <sheetView zoomScale="70" zoomScaleNormal="70" workbookViewId="0">
      <pane xSplit="1" ySplit="2" topLeftCell="B22" activePane="bottomRight" state="frozen"/>
      <selection pane="topRight"/>
      <selection pane="bottomLeft"/>
      <selection pane="bottomRight" activeCell="A2" sqref="A2"/>
    </sheetView>
  </sheetViews>
  <sheetFormatPr defaultColWidth="0" defaultRowHeight="14.5" zeroHeight="1" x14ac:dyDescent="0.35"/>
  <cols>
    <col min="1" max="1" width="56.81640625" style="133" customWidth="1"/>
    <col min="2" max="2" width="39.1796875" style="133" customWidth="1"/>
    <col min="3" max="3" width="15.7265625" style="133" customWidth="1"/>
    <col min="4" max="10" width="12.26953125" style="133" customWidth="1"/>
    <col min="11" max="16" width="12.81640625" style="133" customWidth="1"/>
    <col min="17" max="18" width="13.7265625" style="133" customWidth="1"/>
    <col min="19" max="19" width="34.453125" style="133" customWidth="1"/>
    <col min="20" max="32" width="13" style="133" customWidth="1"/>
    <col min="33" max="34" width="13.453125" style="133" customWidth="1"/>
    <col min="35" max="35" width="9.1796875" style="133" customWidth="1"/>
    <col min="36" max="36" width="0" style="133" hidden="1" customWidth="1"/>
    <col min="37" max="16384" width="9.1796875" style="133" hidden="1"/>
  </cols>
  <sheetData>
    <row r="1" spans="1:34" ht="28.5" x14ac:dyDescent="0.65">
      <c r="A1" s="76" t="s">
        <v>365</v>
      </c>
      <c r="B1" s="77"/>
      <c r="C1" s="77"/>
      <c r="D1" s="77"/>
      <c r="E1" s="77"/>
      <c r="F1" s="77"/>
      <c r="G1" s="77"/>
      <c r="H1" s="77"/>
      <c r="I1" s="77"/>
      <c r="J1" s="77"/>
      <c r="K1" s="77"/>
      <c r="L1" s="77"/>
      <c r="M1" s="77"/>
      <c r="N1" s="77"/>
      <c r="O1" s="77"/>
      <c r="P1" s="77"/>
      <c r="Q1" s="76"/>
      <c r="R1" s="76"/>
      <c r="S1" s="76"/>
      <c r="T1" s="76"/>
      <c r="U1" s="76"/>
      <c r="V1" s="76"/>
      <c r="W1" s="76"/>
      <c r="X1" s="76"/>
      <c r="Y1" s="76"/>
      <c r="Z1" s="76"/>
      <c r="AA1" s="76"/>
      <c r="AB1" s="76"/>
      <c r="AC1" s="76"/>
      <c r="AD1" s="76"/>
      <c r="AE1" s="76"/>
      <c r="AF1" s="76"/>
      <c r="AG1" s="76"/>
      <c r="AH1" s="76"/>
    </row>
    <row r="2" spans="1:34" ht="19.5" x14ac:dyDescent="0.45">
      <c r="A2" s="85"/>
      <c r="B2" s="126" t="s">
        <v>366</v>
      </c>
      <c r="C2" s="126"/>
      <c r="D2" s="126"/>
      <c r="E2" s="126"/>
      <c r="F2" s="126"/>
      <c r="G2" s="126"/>
      <c r="H2" s="126"/>
      <c r="I2" s="126"/>
      <c r="J2" s="126"/>
      <c r="K2" s="126"/>
      <c r="L2" s="126"/>
      <c r="M2" s="126"/>
      <c r="N2" s="126"/>
      <c r="O2" s="126"/>
      <c r="P2" s="126"/>
      <c r="Q2" s="126"/>
      <c r="R2" s="126"/>
      <c r="S2" s="131" t="s">
        <v>367</v>
      </c>
      <c r="T2" s="131"/>
      <c r="U2" s="131"/>
      <c r="V2" s="131"/>
      <c r="W2" s="131"/>
      <c r="X2" s="131"/>
      <c r="Y2" s="131"/>
      <c r="Z2" s="131"/>
      <c r="AA2" s="131"/>
      <c r="AB2" s="131"/>
      <c r="AC2" s="131"/>
      <c r="AD2" s="131"/>
      <c r="AE2" s="131"/>
      <c r="AF2" s="131"/>
      <c r="AG2" s="131"/>
      <c r="AH2" s="131"/>
    </row>
    <row r="3" spans="1:34" ht="19.5" x14ac:dyDescent="0.45">
      <c r="A3" s="85" t="s">
        <v>368</v>
      </c>
      <c r="B3" s="135"/>
      <c r="C3" s="177" t="s">
        <v>369</v>
      </c>
      <c r="D3" s="134"/>
      <c r="E3" s="134"/>
      <c r="F3" s="50"/>
      <c r="G3" s="50"/>
      <c r="H3" s="50"/>
      <c r="I3" s="134"/>
      <c r="J3" s="134"/>
      <c r="K3" s="50"/>
      <c r="L3" s="50"/>
      <c r="M3" s="50"/>
      <c r="N3" s="50"/>
      <c r="O3" s="50"/>
      <c r="P3" s="50"/>
      <c r="Q3" s="50"/>
      <c r="R3" s="50"/>
      <c r="S3" s="177" t="s">
        <v>370</v>
      </c>
      <c r="T3" s="50"/>
      <c r="U3" s="134"/>
      <c r="V3" s="134"/>
      <c r="W3" s="134"/>
      <c r="X3" s="134"/>
      <c r="Y3" s="134"/>
      <c r="Z3" s="134"/>
      <c r="AA3" s="134"/>
      <c r="AB3" s="134"/>
      <c r="AC3" s="134"/>
      <c r="AD3" s="134"/>
      <c r="AE3" s="134"/>
      <c r="AF3" s="134"/>
      <c r="AG3" s="134"/>
    </row>
    <row r="4" spans="1:34" s="226" customFormat="1" ht="29" x14ac:dyDescent="0.35">
      <c r="A4" s="170"/>
      <c r="B4" s="180" t="s">
        <v>371</v>
      </c>
      <c r="C4" s="180" t="s">
        <v>372</v>
      </c>
      <c r="D4" s="178"/>
      <c r="E4" s="178"/>
      <c r="F4" s="180" t="s">
        <v>373</v>
      </c>
      <c r="G4" s="180" t="s">
        <v>328</v>
      </c>
      <c r="H4" s="180"/>
      <c r="I4" s="178"/>
      <c r="J4" s="178"/>
      <c r="K4" s="178"/>
      <c r="L4" s="178"/>
      <c r="M4" s="178"/>
      <c r="N4" s="178"/>
      <c r="O4" s="178"/>
      <c r="P4" s="178"/>
      <c r="Q4" s="178"/>
      <c r="R4" s="178"/>
      <c r="S4" s="180" t="s">
        <v>371</v>
      </c>
      <c r="T4" s="180" t="s">
        <v>372</v>
      </c>
      <c r="U4" s="178"/>
      <c r="V4" s="178"/>
      <c r="W4" s="180" t="s">
        <v>373</v>
      </c>
      <c r="X4" s="180" t="s">
        <v>328</v>
      </c>
      <c r="Y4" s="53"/>
      <c r="Z4" s="178"/>
      <c r="AA4" s="178"/>
      <c r="AB4" s="178"/>
      <c r="AC4" s="178"/>
      <c r="AD4" s="178"/>
      <c r="AE4" s="178"/>
      <c r="AF4" s="178"/>
      <c r="AG4" s="178"/>
      <c r="AH4" s="178"/>
    </row>
    <row r="5" spans="1:34" ht="15.5" x14ac:dyDescent="0.35">
      <c r="A5"/>
      <c r="B5" s="7" t="s">
        <v>374</v>
      </c>
      <c r="C5" s="7">
        <v>1</v>
      </c>
      <c r="D5" s="136"/>
      <c r="E5" s="136"/>
      <c r="F5" s="7">
        <v>21</v>
      </c>
      <c r="G5" s="7">
        <v>0</v>
      </c>
      <c r="H5" s="7"/>
      <c r="I5" s="136"/>
      <c r="J5" s="136"/>
      <c r="K5" s="136"/>
      <c r="L5" s="136"/>
      <c r="M5" s="136"/>
      <c r="N5" s="136"/>
      <c r="O5" s="136"/>
      <c r="P5" s="136"/>
      <c r="Q5" s="136"/>
      <c r="R5" s="136"/>
      <c r="S5" s="7" t="s">
        <v>374</v>
      </c>
      <c r="T5" s="7">
        <v>1</v>
      </c>
      <c r="U5" s="136"/>
      <c r="V5" s="136"/>
      <c r="W5" s="7">
        <v>4</v>
      </c>
      <c r="X5" s="7">
        <v>0</v>
      </c>
      <c r="Y5" s="7"/>
      <c r="Z5" s="136"/>
      <c r="AA5" s="136"/>
      <c r="AB5" s="136"/>
      <c r="AC5" s="136"/>
      <c r="AD5" s="136"/>
      <c r="AE5" s="136"/>
      <c r="AF5" s="136"/>
      <c r="AG5" s="136"/>
      <c r="AH5" s="136"/>
    </row>
    <row r="6" spans="1:34" ht="15.5" x14ac:dyDescent="0.35">
      <c r="A6"/>
      <c r="B6" s="7" t="s">
        <v>375</v>
      </c>
      <c r="C6" s="7">
        <v>1</v>
      </c>
      <c r="D6" s="136"/>
      <c r="E6" s="136"/>
      <c r="F6" s="7">
        <v>43</v>
      </c>
      <c r="G6" s="7">
        <v>1</v>
      </c>
      <c r="H6" s="7"/>
      <c r="I6" s="136"/>
      <c r="J6" s="136"/>
      <c r="K6" s="136"/>
      <c r="L6" s="136"/>
      <c r="M6" s="136"/>
      <c r="N6" s="136"/>
      <c r="O6" s="136"/>
      <c r="P6" s="136"/>
      <c r="Q6" s="136"/>
      <c r="R6" s="136"/>
      <c r="S6" s="7" t="s">
        <v>376</v>
      </c>
      <c r="T6" s="7">
        <v>1</v>
      </c>
      <c r="U6" s="136"/>
      <c r="V6" s="136"/>
      <c r="W6" s="7">
        <v>2</v>
      </c>
      <c r="X6" s="7">
        <v>4</v>
      </c>
      <c r="Y6" s="7"/>
      <c r="Z6" s="136"/>
      <c r="AA6" s="136"/>
      <c r="AB6" s="136"/>
      <c r="AC6" s="136"/>
      <c r="AD6" s="136"/>
      <c r="AE6" s="136"/>
      <c r="AF6" s="136"/>
      <c r="AG6" s="136"/>
      <c r="AH6" s="136"/>
    </row>
    <row r="7" spans="1:34" ht="15.5" x14ac:dyDescent="0.35">
      <c r="A7"/>
      <c r="B7" s="7" t="s">
        <v>42</v>
      </c>
      <c r="C7" s="7">
        <v>1</v>
      </c>
      <c r="D7" s="136"/>
      <c r="E7" s="136"/>
      <c r="F7" s="7">
        <v>34</v>
      </c>
      <c r="G7" s="7">
        <v>1</v>
      </c>
      <c r="H7" s="7"/>
      <c r="I7" s="136"/>
      <c r="J7" s="136"/>
      <c r="K7" s="136"/>
      <c r="L7" s="136"/>
      <c r="M7" s="136"/>
      <c r="N7" s="136"/>
      <c r="O7" s="136"/>
      <c r="P7" s="136"/>
      <c r="Q7" s="136"/>
      <c r="R7" s="136"/>
      <c r="S7" s="7" t="s">
        <v>42</v>
      </c>
      <c r="T7" s="7">
        <v>1</v>
      </c>
      <c r="U7" s="136"/>
      <c r="V7" s="136"/>
      <c r="W7" s="7">
        <v>42</v>
      </c>
      <c r="X7" s="7">
        <v>3</v>
      </c>
      <c r="Y7" s="7"/>
      <c r="Z7" s="136"/>
      <c r="AA7" s="136"/>
      <c r="AB7" s="136"/>
      <c r="AC7" s="136"/>
      <c r="AD7" s="136"/>
      <c r="AE7" s="136"/>
      <c r="AF7" s="136"/>
      <c r="AG7" s="136"/>
      <c r="AH7" s="136"/>
    </row>
    <row r="8" spans="1:34" ht="15.5" x14ac:dyDescent="0.35">
      <c r="A8"/>
      <c r="B8" s="7" t="s">
        <v>377</v>
      </c>
      <c r="C8" s="7">
        <v>2</v>
      </c>
      <c r="D8" s="136"/>
      <c r="E8" s="136"/>
      <c r="F8" s="7">
        <v>17</v>
      </c>
      <c r="G8" s="7">
        <v>1</v>
      </c>
      <c r="H8" s="7"/>
      <c r="I8" s="136"/>
      <c r="J8" s="136"/>
      <c r="K8" s="136"/>
      <c r="L8" s="136"/>
      <c r="M8" s="136"/>
      <c r="N8" s="136"/>
      <c r="O8" s="136"/>
      <c r="P8" s="136"/>
      <c r="Q8" s="136"/>
      <c r="R8" s="136"/>
      <c r="S8" s="7" t="s">
        <v>377</v>
      </c>
      <c r="T8" s="7">
        <v>2</v>
      </c>
      <c r="U8" s="136"/>
      <c r="V8" s="136"/>
      <c r="W8" s="7">
        <v>13</v>
      </c>
      <c r="X8" s="7">
        <v>1</v>
      </c>
      <c r="Y8" s="7"/>
      <c r="Z8" s="136"/>
      <c r="AA8" s="136"/>
      <c r="AB8" s="136"/>
      <c r="AC8" s="136"/>
      <c r="AD8" s="136"/>
      <c r="AE8" s="136"/>
      <c r="AF8" s="136"/>
      <c r="AG8" s="136"/>
      <c r="AH8" s="136"/>
    </row>
    <row r="9" spans="1:34" x14ac:dyDescent="0.35">
      <c r="A9"/>
      <c r="B9" s="7" t="s">
        <v>340</v>
      </c>
      <c r="C9" s="7">
        <v>2</v>
      </c>
      <c r="D9" s="20"/>
      <c r="E9" s="20"/>
      <c r="F9" s="7">
        <v>31</v>
      </c>
      <c r="G9" s="7">
        <v>3</v>
      </c>
      <c r="H9" s="7"/>
      <c r="I9" s="20"/>
      <c r="J9" s="20"/>
      <c r="K9" s="20"/>
      <c r="L9" s="20"/>
      <c r="M9" s="20"/>
      <c r="N9" s="20"/>
      <c r="O9" s="20"/>
      <c r="P9" s="20"/>
      <c r="Q9" s="20"/>
      <c r="R9" s="20"/>
      <c r="S9" s="7" t="s">
        <v>378</v>
      </c>
      <c r="T9" s="7">
        <v>2.5</v>
      </c>
      <c r="U9" s="20"/>
      <c r="V9" s="20"/>
      <c r="W9" s="7">
        <v>12</v>
      </c>
      <c r="X9" s="7">
        <v>0</v>
      </c>
      <c r="Y9" s="7"/>
      <c r="Z9" s="20"/>
      <c r="AA9" s="20"/>
      <c r="AB9" s="20"/>
      <c r="AC9" s="20"/>
      <c r="AD9" s="20"/>
      <c r="AE9" s="20"/>
      <c r="AF9" s="20"/>
      <c r="AG9" s="20"/>
      <c r="AH9" s="20"/>
    </row>
    <row r="10" spans="1:34" x14ac:dyDescent="0.35">
      <c r="A10"/>
      <c r="B10" s="132"/>
      <c r="C10" s="132"/>
      <c r="D10" s="20"/>
      <c r="E10" s="20"/>
      <c r="F10" s="132"/>
      <c r="G10" s="132"/>
      <c r="H10" s="132"/>
      <c r="I10" s="20"/>
      <c r="J10" s="20"/>
      <c r="K10" s="20"/>
      <c r="L10" s="20"/>
      <c r="M10" s="20"/>
      <c r="N10" s="20"/>
      <c r="O10" s="20"/>
      <c r="P10" s="20"/>
      <c r="Q10" s="20"/>
      <c r="R10" s="20"/>
      <c r="S10" s="7" t="s">
        <v>379</v>
      </c>
      <c r="T10" s="7">
        <v>3</v>
      </c>
      <c r="U10" s="20"/>
      <c r="V10" s="20"/>
      <c r="W10" s="7">
        <v>6</v>
      </c>
      <c r="X10" s="7">
        <v>3</v>
      </c>
      <c r="Y10" s="7"/>
      <c r="Z10" s="20"/>
      <c r="AA10" s="20"/>
      <c r="AB10" s="20"/>
      <c r="AC10" s="20"/>
      <c r="AD10" s="20"/>
      <c r="AE10" s="20"/>
      <c r="AF10" s="20"/>
      <c r="AG10" s="20"/>
      <c r="AH10" s="20"/>
    </row>
    <row r="11" spans="1:34" ht="15.5" x14ac:dyDescent="0.35">
      <c r="A11"/>
      <c r="B11" s="7" t="s">
        <v>380</v>
      </c>
      <c r="C11" s="7">
        <v>3</v>
      </c>
      <c r="D11" s="136"/>
      <c r="E11" s="136"/>
      <c r="F11" s="7">
        <v>10</v>
      </c>
      <c r="G11" s="7">
        <v>3</v>
      </c>
      <c r="H11" s="7"/>
      <c r="I11" s="136"/>
      <c r="J11" s="136"/>
      <c r="K11" s="136"/>
      <c r="L11" s="136"/>
      <c r="M11" s="136"/>
      <c r="N11" s="136"/>
      <c r="O11" s="136"/>
      <c r="P11" s="136"/>
      <c r="Q11" s="136"/>
      <c r="R11" s="136"/>
      <c r="S11" s="7" t="s">
        <v>380</v>
      </c>
      <c r="T11" s="7">
        <v>2</v>
      </c>
      <c r="U11" s="136"/>
      <c r="V11" s="136"/>
      <c r="W11" s="7">
        <v>13</v>
      </c>
      <c r="X11" s="7">
        <v>2</v>
      </c>
      <c r="Y11" s="7"/>
      <c r="Z11" s="136"/>
      <c r="AA11" s="136"/>
      <c r="AB11" s="136"/>
      <c r="AC11" s="136"/>
      <c r="AD11" s="136"/>
      <c r="AE11" s="136"/>
      <c r="AF11" s="136"/>
      <c r="AG11" s="136"/>
      <c r="AH11" s="136"/>
    </row>
    <row r="12" spans="1:34" ht="15.5" x14ac:dyDescent="0.35">
      <c r="A12"/>
      <c r="B12" s="7" t="s">
        <v>381</v>
      </c>
      <c r="C12" s="7">
        <v>3.5</v>
      </c>
      <c r="D12" s="136"/>
      <c r="E12" s="136"/>
      <c r="F12" s="7">
        <v>9</v>
      </c>
      <c r="G12" s="7">
        <v>3</v>
      </c>
      <c r="H12" s="7"/>
      <c r="I12" s="136"/>
      <c r="J12" s="136"/>
      <c r="K12" s="136"/>
      <c r="L12" s="136"/>
      <c r="M12" s="136"/>
      <c r="N12" s="136"/>
      <c r="O12" s="136"/>
      <c r="P12" s="136"/>
      <c r="Q12" s="136"/>
      <c r="R12" s="136"/>
      <c r="S12" s="7" t="s">
        <v>382</v>
      </c>
      <c r="T12" s="7">
        <v>1</v>
      </c>
      <c r="U12" s="136"/>
      <c r="V12" s="136"/>
      <c r="W12" s="7">
        <v>30</v>
      </c>
      <c r="X12" s="7">
        <v>0</v>
      </c>
      <c r="Y12" s="7"/>
      <c r="Z12" s="136"/>
      <c r="AA12" s="136"/>
      <c r="AB12" s="136"/>
      <c r="AC12" s="136"/>
      <c r="AD12" s="136"/>
      <c r="AE12" s="136"/>
      <c r="AF12" s="136"/>
      <c r="AG12" s="136"/>
      <c r="AH12" s="136"/>
    </row>
    <row r="13" spans="1:34" ht="15.5" x14ac:dyDescent="0.35">
      <c r="A13"/>
      <c r="B13" s="7" t="s">
        <v>383</v>
      </c>
      <c r="C13" s="7">
        <v>3.5</v>
      </c>
      <c r="F13" s="7">
        <v>16</v>
      </c>
      <c r="G13" s="7">
        <v>14</v>
      </c>
      <c r="H13" s="7"/>
      <c r="S13" s="7" t="s">
        <v>384</v>
      </c>
      <c r="T13" s="7">
        <v>1</v>
      </c>
      <c r="W13" s="7">
        <v>38</v>
      </c>
      <c r="X13" s="7">
        <v>0</v>
      </c>
      <c r="Y13" s="7"/>
      <c r="AH13" s="136"/>
    </row>
    <row r="14" spans="1:34" ht="15.5" x14ac:dyDescent="0.35">
      <c r="A14"/>
      <c r="B14" s="7" t="s">
        <v>385</v>
      </c>
      <c r="C14" s="7">
        <v>5</v>
      </c>
      <c r="F14" s="7">
        <v>7</v>
      </c>
      <c r="G14" s="7">
        <v>10</v>
      </c>
      <c r="H14" s="7"/>
      <c r="S14" s="7" t="s">
        <v>386</v>
      </c>
      <c r="T14" s="7">
        <v>5</v>
      </c>
      <c r="W14" s="7">
        <v>2</v>
      </c>
      <c r="X14" s="7">
        <v>15</v>
      </c>
      <c r="Y14" s="7"/>
      <c r="AH14" s="136"/>
    </row>
    <row r="15" spans="1:34" ht="15.5" x14ac:dyDescent="0.35">
      <c r="A15" s="50"/>
      <c r="B15" s="50"/>
      <c r="C15" s="50"/>
      <c r="D15" s="27"/>
      <c r="E15" s="27"/>
      <c r="F15" s="50"/>
      <c r="G15" s="50"/>
      <c r="H15" s="50"/>
      <c r="I15" s="27"/>
      <c r="J15" s="27"/>
      <c r="K15" s="50"/>
      <c r="L15" s="50"/>
      <c r="M15" s="50"/>
      <c r="N15" s="50"/>
      <c r="O15" s="50"/>
      <c r="P15" s="50"/>
      <c r="Q15" s="50"/>
      <c r="R15" s="50"/>
      <c r="S15" s="50"/>
      <c r="T15" s="50"/>
      <c r="U15" s="27"/>
      <c r="V15" s="27"/>
      <c r="W15" s="50"/>
      <c r="X15" s="50"/>
      <c r="Y15" s="50"/>
      <c r="Z15" s="27"/>
      <c r="AA15" s="27"/>
      <c r="AB15" s="27"/>
      <c r="AC15" s="27"/>
      <c r="AD15" s="27"/>
      <c r="AE15" s="27"/>
      <c r="AF15" s="27"/>
      <c r="AG15" s="27"/>
      <c r="AH15" s="136"/>
    </row>
    <row r="16" spans="1:34" x14ac:dyDescent="0.35">
      <c r="A16" s="51" t="s">
        <v>387</v>
      </c>
      <c r="B16" s="7"/>
      <c r="C16" s="7"/>
      <c r="F16" s="7"/>
      <c r="G16" s="7"/>
      <c r="H16" s="7"/>
      <c r="K16" s="7"/>
      <c r="S16" s="7"/>
      <c r="T16" s="7"/>
      <c r="W16" s="7"/>
      <c r="X16" s="7"/>
      <c r="Y16" s="7"/>
    </row>
    <row r="17" spans="1:33" x14ac:dyDescent="0.35">
      <c r="A17" s="123" t="s">
        <v>388</v>
      </c>
      <c r="B17" s="7"/>
      <c r="C17" s="7"/>
      <c r="F17" s="7"/>
      <c r="G17" s="7"/>
      <c r="H17" s="7"/>
      <c r="K17" s="7"/>
      <c r="S17" s="123" t="s">
        <v>389</v>
      </c>
      <c r="T17" s="7"/>
      <c r="W17" s="7"/>
      <c r="X17" s="7"/>
      <c r="Y17" s="7"/>
    </row>
    <row r="18" spans="1:33" x14ac:dyDescent="0.35">
      <c r="A18" s="7" t="s">
        <v>390</v>
      </c>
      <c r="B18" s="7"/>
      <c r="C18" s="7"/>
      <c r="F18" s="7"/>
      <c r="G18" s="7"/>
      <c r="H18" s="7"/>
      <c r="K18" s="7"/>
      <c r="S18" s="7"/>
      <c r="T18" s="7"/>
      <c r="W18" s="7"/>
      <c r="X18" s="7"/>
      <c r="Y18" s="7"/>
    </row>
    <row r="19" spans="1:33" x14ac:dyDescent="0.35">
      <c r="A19" s="7" t="s">
        <v>391</v>
      </c>
      <c r="B19" s="7"/>
      <c r="C19" s="7"/>
      <c r="F19" s="7"/>
      <c r="G19" s="7"/>
      <c r="H19" s="7"/>
      <c r="K19" s="7"/>
      <c r="S19" s="7"/>
      <c r="T19" s="7"/>
      <c r="W19" s="7"/>
      <c r="X19" s="7"/>
      <c r="Y19" s="7"/>
    </row>
    <row r="20" spans="1:33" x14ac:dyDescent="0.35">
      <c r="A20" s="7" t="s">
        <v>392</v>
      </c>
      <c r="B20" s="7"/>
      <c r="C20" s="7"/>
      <c r="F20" s="7"/>
      <c r="G20" s="7"/>
      <c r="H20" s="7"/>
      <c r="K20" s="7"/>
      <c r="S20" s="7"/>
      <c r="T20" s="7"/>
      <c r="W20" s="7"/>
      <c r="X20" s="7"/>
      <c r="Y20" s="7"/>
    </row>
    <row r="21" spans="1:33" x14ac:dyDescent="0.35">
      <c r="A21" s="7" t="s">
        <v>393</v>
      </c>
      <c r="B21" s="7"/>
      <c r="C21" s="7"/>
      <c r="F21" s="7"/>
      <c r="G21" s="7"/>
      <c r="H21" s="7"/>
      <c r="K21" s="7"/>
      <c r="S21" s="7"/>
      <c r="T21" s="7"/>
      <c r="W21" s="7"/>
      <c r="X21" s="7"/>
      <c r="Y21" s="7"/>
    </row>
    <row r="22" spans="1:33" x14ac:dyDescent="0.35">
      <c r="A22" s="7"/>
      <c r="B22" s="7"/>
      <c r="C22" s="7"/>
      <c r="F22" s="7"/>
      <c r="G22" s="7"/>
      <c r="H22" s="7"/>
      <c r="K22" s="7"/>
      <c r="S22" s="7"/>
      <c r="T22" s="7"/>
      <c r="W22" s="7"/>
      <c r="X22" s="7"/>
      <c r="Y22" s="7"/>
    </row>
    <row r="23" spans="1:33" s="7" customFormat="1" ht="19.5" x14ac:dyDescent="0.45">
      <c r="A23" s="85"/>
      <c r="B23" s="52"/>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row>
    <row r="24" spans="1:33" s="7" customFormat="1" ht="20" thickBot="1" x14ac:dyDescent="0.5">
      <c r="A24" s="85" t="s">
        <v>394</v>
      </c>
      <c r="B24" s="52"/>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row>
    <row r="25" spans="1:33" s="170" customFormat="1" ht="43.5" x14ac:dyDescent="0.35">
      <c r="A25" s="180" t="s">
        <v>395</v>
      </c>
      <c r="B25" s="184" t="s">
        <v>347</v>
      </c>
      <c r="C25" s="100" t="s">
        <v>372</v>
      </c>
      <c r="D25" s="100" t="s">
        <v>396</v>
      </c>
      <c r="E25" s="100" t="s">
        <v>397</v>
      </c>
      <c r="F25" s="100" t="s">
        <v>373</v>
      </c>
      <c r="G25" s="100" t="s">
        <v>328</v>
      </c>
      <c r="H25" s="100" t="s">
        <v>398</v>
      </c>
      <c r="I25" s="180" t="s">
        <v>399</v>
      </c>
      <c r="J25" s="180" t="s">
        <v>400</v>
      </c>
      <c r="K25" s="301" t="s">
        <v>332</v>
      </c>
      <c r="S25" s="184" t="s">
        <v>347</v>
      </c>
      <c r="T25" s="100" t="s">
        <v>372</v>
      </c>
      <c r="U25" s="100" t="s">
        <v>396</v>
      </c>
      <c r="V25" s="100" t="s">
        <v>397</v>
      </c>
      <c r="W25" s="100" t="s">
        <v>373</v>
      </c>
      <c r="X25" s="100" t="s">
        <v>328</v>
      </c>
      <c r="Y25" s="100" t="s">
        <v>398</v>
      </c>
      <c r="Z25" s="100" t="s">
        <v>399</v>
      </c>
      <c r="AA25" s="100" t="s">
        <v>400</v>
      </c>
      <c r="AB25" s="305" t="s">
        <v>332</v>
      </c>
      <c r="AC25" s="100"/>
      <c r="AD25" s="100"/>
      <c r="AE25" s="100"/>
      <c r="AF25" s="100"/>
      <c r="AG25" s="229"/>
    </row>
    <row r="26" spans="1:33" customFormat="1" x14ac:dyDescent="0.35">
      <c r="A26" s="754" t="s">
        <v>333</v>
      </c>
      <c r="B26" s="7" t="str">
        <f t="shared" ref="B26:C29" si="0">B5</f>
        <v>Leakage 1* </v>
      </c>
      <c r="C26">
        <f t="shared" si="0"/>
        <v>1</v>
      </c>
      <c r="D26" s="213">
        <f>6-C26</f>
        <v>5</v>
      </c>
      <c r="E26" s="213">
        <f>(D26*100)/D$35</f>
        <v>17.241379310344829</v>
      </c>
      <c r="F26">
        <f t="shared" ref="F26:G29" si="1">F5</f>
        <v>21</v>
      </c>
      <c r="G26">
        <f t="shared" si="1"/>
        <v>0</v>
      </c>
      <c r="H26">
        <f>F26-G26</f>
        <v>21</v>
      </c>
      <c r="I26" s="227">
        <f>(H26+31)/(7*31)</f>
        <v>0.23963133640552994</v>
      </c>
      <c r="J26" s="221">
        <f>(I26*100)/I$35</f>
        <v>13.231552162849873</v>
      </c>
      <c r="K26" s="302">
        <f>AVERAGE(E26,J26)</f>
        <v>15.236465736597351</v>
      </c>
      <c r="S26" s="7" t="str">
        <f t="shared" ref="S26:T29" si="2">S5</f>
        <v>Leakage 1* </v>
      </c>
      <c r="T26" s="124">
        <f t="shared" si="2"/>
        <v>1</v>
      </c>
      <c r="U26" s="213">
        <f>6-T26</f>
        <v>5</v>
      </c>
      <c r="V26" s="213">
        <f>(U26*100)/U$35</f>
        <v>17.699115044247787</v>
      </c>
      <c r="W26" s="124">
        <f t="shared" ref="W26:X28" si="3">W5</f>
        <v>4</v>
      </c>
      <c r="X26" s="124">
        <f t="shared" si="3"/>
        <v>0</v>
      </c>
      <c r="Y26" s="124">
        <f>W26-X26</f>
        <v>4</v>
      </c>
      <c r="Z26" s="230">
        <f>(Y26+27)/(7*27)</f>
        <v>0.16402116402116401</v>
      </c>
      <c r="AA26" s="231">
        <f>(Z26*100)/Z$35</f>
        <v>11.460258780036966</v>
      </c>
      <c r="AB26" s="306">
        <f>AVERAGE(V26,AA26)</f>
        <v>14.579686912142376</v>
      </c>
      <c r="AC26" s="231"/>
      <c r="AD26" s="231"/>
      <c r="AE26" s="231"/>
      <c r="AF26" s="231"/>
      <c r="AG26" s="124"/>
    </row>
    <row r="27" spans="1:33" customFormat="1" x14ac:dyDescent="0.35">
      <c r="A27" s="754" t="s">
        <v>401</v>
      </c>
      <c r="B27" s="7" t="str">
        <f t="shared" si="0"/>
        <v>Increased metering (not smart meters)**</v>
      </c>
      <c r="C27">
        <f t="shared" si="0"/>
        <v>1</v>
      </c>
      <c r="D27" s="213">
        <f>6-C27</f>
        <v>5</v>
      </c>
      <c r="E27" s="213">
        <f t="shared" ref="E27:E34" si="4">(D27*100)/D$35</f>
        <v>17.241379310344829</v>
      </c>
      <c r="F27">
        <f t="shared" si="1"/>
        <v>43</v>
      </c>
      <c r="G27">
        <f t="shared" si="1"/>
        <v>1</v>
      </c>
      <c r="H27">
        <f>F27-G27</f>
        <v>42</v>
      </c>
      <c r="I27" s="227">
        <f>(H27+31)/(7*31)</f>
        <v>0.33640552995391704</v>
      </c>
      <c r="J27" s="221">
        <f t="shared" ref="J27:J34" si="5">(I27*100)/I$35</f>
        <v>18.575063613231553</v>
      </c>
      <c r="K27" s="302">
        <f>AVERAGE(E27,J27)</f>
        <v>17.908221461788191</v>
      </c>
      <c r="S27" s="7" t="str">
        <f t="shared" si="2"/>
        <v>Increased metering**</v>
      </c>
      <c r="T27" s="124">
        <f t="shared" si="2"/>
        <v>1</v>
      </c>
      <c r="U27" s="213">
        <f t="shared" ref="U27:U34" si="6">6-T27</f>
        <v>5</v>
      </c>
      <c r="V27" s="213">
        <f>(U27*100)/U$35</f>
        <v>17.699115044247787</v>
      </c>
      <c r="W27" s="124">
        <f t="shared" si="3"/>
        <v>2</v>
      </c>
      <c r="X27" s="124">
        <f t="shared" si="3"/>
        <v>4</v>
      </c>
      <c r="Y27" s="124">
        <f>W27-X27</f>
        <v>-2</v>
      </c>
      <c r="Z27" s="230">
        <f t="shared" ref="Z27:Z34" si="7">(Y27+27)/(7*27)</f>
        <v>0.13227513227513227</v>
      </c>
      <c r="AA27" s="231">
        <f>(Z27*100)/Z$35</f>
        <v>9.2421441774491662</v>
      </c>
      <c r="AB27" s="306">
        <f>AVERAGE(V27,AA27)</f>
        <v>13.470629610848476</v>
      </c>
      <c r="AC27" s="231"/>
      <c r="AD27" s="231"/>
      <c r="AE27" s="231"/>
      <c r="AF27" s="231"/>
      <c r="AG27" s="124"/>
    </row>
    <row r="28" spans="1:33" customFormat="1" x14ac:dyDescent="0.35">
      <c r="A28" s="754" t="s">
        <v>334</v>
      </c>
      <c r="B28" s="7" t="str">
        <f t="shared" si="0"/>
        <v>Smart metering</v>
      </c>
      <c r="C28">
        <f t="shared" si="0"/>
        <v>1</v>
      </c>
      <c r="D28" s="213">
        <f>6-C28</f>
        <v>5</v>
      </c>
      <c r="E28" s="213">
        <f t="shared" si="4"/>
        <v>17.241379310344829</v>
      </c>
      <c r="F28">
        <f t="shared" si="1"/>
        <v>34</v>
      </c>
      <c r="G28">
        <f t="shared" si="1"/>
        <v>1</v>
      </c>
      <c r="H28">
        <f>F28-G28</f>
        <v>33</v>
      </c>
      <c r="I28" s="227">
        <f>(H28+31)/(7*31)</f>
        <v>0.29493087557603687</v>
      </c>
      <c r="J28" s="221">
        <f t="shared" si="5"/>
        <v>16.284987277353693</v>
      </c>
      <c r="K28" s="302">
        <f>AVERAGE(E28,J28)</f>
        <v>16.763183293849259</v>
      </c>
      <c r="S28" s="7" t="str">
        <f t="shared" si="2"/>
        <v>Smart metering</v>
      </c>
      <c r="T28" s="124">
        <f t="shared" si="2"/>
        <v>1</v>
      </c>
      <c r="U28" s="213">
        <f t="shared" si="6"/>
        <v>5</v>
      </c>
      <c r="V28" s="213">
        <f>(U28*100)/U$35</f>
        <v>17.699115044247787</v>
      </c>
      <c r="W28" s="124">
        <f t="shared" si="3"/>
        <v>42</v>
      </c>
      <c r="X28" s="124">
        <f t="shared" si="3"/>
        <v>3</v>
      </c>
      <c r="Y28" s="124">
        <f>W28-X28</f>
        <v>39</v>
      </c>
      <c r="Z28" s="230">
        <f t="shared" si="7"/>
        <v>0.34920634920634919</v>
      </c>
      <c r="AA28" s="231">
        <f>(Z28*100)/Z$35</f>
        <v>24.3992606284658</v>
      </c>
      <c r="AB28" s="306">
        <f>AVERAGE(V28,AA28)</f>
        <v>21.049187836356793</v>
      </c>
      <c r="AC28" s="231"/>
      <c r="AD28" s="231"/>
      <c r="AE28" s="231"/>
      <c r="AF28" s="231"/>
      <c r="AG28" s="124"/>
    </row>
    <row r="29" spans="1:33" customFormat="1" x14ac:dyDescent="0.35">
      <c r="A29" s="7" t="s">
        <v>335</v>
      </c>
      <c r="B29" s="7" t="str">
        <f t="shared" si="0"/>
        <v>Reducing customer water usage </v>
      </c>
      <c r="C29">
        <f t="shared" si="0"/>
        <v>2</v>
      </c>
      <c r="D29" s="213">
        <f>6-C29</f>
        <v>4</v>
      </c>
      <c r="E29" s="213">
        <f t="shared" si="4"/>
        <v>13.793103448275861</v>
      </c>
      <c r="F29">
        <f t="shared" si="1"/>
        <v>17</v>
      </c>
      <c r="G29">
        <f t="shared" si="1"/>
        <v>1</v>
      </c>
      <c r="H29">
        <f>F29-G29</f>
        <v>16</v>
      </c>
      <c r="I29" s="227">
        <f>(H29+31)/(7*31)</f>
        <v>0.21658986175115208</v>
      </c>
      <c r="J29" s="221">
        <f t="shared" si="5"/>
        <v>11.959287531806616</v>
      </c>
      <c r="K29" s="302">
        <f>AVERAGE(E29,J29)</f>
        <v>12.876195490041239</v>
      </c>
      <c r="S29" s="7" t="str">
        <f t="shared" si="2"/>
        <v>Reducing customer water usage </v>
      </c>
      <c r="T29" s="124">
        <f t="shared" si="2"/>
        <v>2</v>
      </c>
      <c r="U29" s="213">
        <f t="shared" si="6"/>
        <v>4</v>
      </c>
      <c r="V29" s="213">
        <f>(U29*100)/U$35</f>
        <v>14.159292035398231</v>
      </c>
      <c r="W29" s="124">
        <f>W8</f>
        <v>13</v>
      </c>
      <c r="X29" s="124">
        <f>X8</f>
        <v>1</v>
      </c>
      <c r="Y29" s="124">
        <f>W29-X29</f>
        <v>12</v>
      </c>
      <c r="Z29" s="230">
        <f t="shared" si="7"/>
        <v>0.20634920634920634</v>
      </c>
      <c r="AA29" s="231">
        <f>(Z29*100)/Z$35</f>
        <v>14.417744916820698</v>
      </c>
      <c r="AB29" s="306">
        <f>AVERAGE(V29,AA29)</f>
        <v>14.288518476109465</v>
      </c>
      <c r="AC29" s="231"/>
      <c r="AD29" s="231"/>
      <c r="AE29" s="231"/>
      <c r="AF29" s="231"/>
      <c r="AG29" s="124"/>
    </row>
    <row r="30" spans="1:33" customFormat="1" x14ac:dyDescent="0.35">
      <c r="A30" s="7" t="s">
        <v>336</v>
      </c>
      <c r="B30" s="7" t="str">
        <f>B12</f>
        <v>Increasing Blithfield</v>
      </c>
      <c r="C30">
        <f>C12</f>
        <v>3.5</v>
      </c>
      <c r="D30" s="213">
        <f>6-C30</f>
        <v>2.5</v>
      </c>
      <c r="E30" s="213">
        <f t="shared" si="4"/>
        <v>8.6206896551724146</v>
      </c>
      <c r="F30">
        <f>F12</f>
        <v>9</v>
      </c>
      <c r="G30">
        <f>G12</f>
        <v>3</v>
      </c>
      <c r="H30">
        <f>F30-G30</f>
        <v>6</v>
      </c>
      <c r="I30" s="227">
        <f>(H30+31)/(7*31)</f>
        <v>0.17050691244239632</v>
      </c>
      <c r="J30" s="221">
        <f t="shared" si="5"/>
        <v>9.4147582697201031</v>
      </c>
      <c r="K30" s="302">
        <f>AVERAGE(E30,J30)</f>
        <v>9.017723962446258</v>
      </c>
      <c r="S30" s="50"/>
      <c r="T30" s="14"/>
      <c r="U30" s="14"/>
      <c r="V30" s="14"/>
      <c r="W30" s="14"/>
      <c r="X30" s="14"/>
      <c r="Y30" s="14"/>
      <c r="Z30" s="14"/>
      <c r="AA30" s="14"/>
      <c r="AB30" s="307"/>
      <c r="AC30" s="14"/>
      <c r="AD30" s="14"/>
      <c r="AE30" s="14"/>
      <c r="AF30" s="14"/>
      <c r="AG30" s="14"/>
    </row>
    <row r="31" spans="1:33" customFormat="1" x14ac:dyDescent="0.35">
      <c r="A31" s="7" t="s">
        <v>337</v>
      </c>
      <c r="B31" s="14"/>
      <c r="C31" s="14"/>
      <c r="D31" s="14"/>
      <c r="E31" s="14"/>
      <c r="F31" s="14"/>
      <c r="G31" s="14"/>
      <c r="H31" s="14"/>
      <c r="I31" s="139"/>
      <c r="J31" s="139"/>
      <c r="K31" s="303"/>
      <c r="S31" s="5" t="s">
        <v>402</v>
      </c>
      <c r="T31" s="124">
        <f>AVERAGE(T12,T13)</f>
        <v>1</v>
      </c>
      <c r="U31" s="213">
        <f t="shared" si="6"/>
        <v>5</v>
      </c>
      <c r="V31" s="213">
        <f>(U31*100)/U$35</f>
        <v>17.699115044247787</v>
      </c>
      <c r="W31" s="124">
        <f>AVERAGE(W12,W13)</f>
        <v>34</v>
      </c>
      <c r="X31" s="124">
        <f>AVERAGE(X12,X13)</f>
        <v>0</v>
      </c>
      <c r="Y31" s="124">
        <f>W31-X31</f>
        <v>34</v>
      </c>
      <c r="Z31" s="230">
        <f t="shared" si="7"/>
        <v>0.32275132275132273</v>
      </c>
      <c r="AA31" s="231">
        <f>(Z31*100)/Z$35</f>
        <v>22.550831792975966</v>
      </c>
      <c r="AB31" s="306">
        <f>AVERAGE(V31,AA31)</f>
        <v>20.124973418611876</v>
      </c>
      <c r="AC31" s="231"/>
      <c r="AD31" s="231"/>
      <c r="AE31" s="231"/>
      <c r="AF31" s="231"/>
      <c r="AG31" s="124"/>
    </row>
    <row r="32" spans="1:33" customFormat="1" x14ac:dyDescent="0.35">
      <c r="A32" s="7" t="s">
        <v>338</v>
      </c>
      <c r="B32" s="7" t="str">
        <f>B13</f>
        <v>Taking water from River Trent</v>
      </c>
      <c r="C32">
        <f>C13</f>
        <v>3.5</v>
      </c>
      <c r="D32" s="213">
        <f>6-C32</f>
        <v>2.5</v>
      </c>
      <c r="E32" s="213">
        <f t="shared" si="4"/>
        <v>8.6206896551724146</v>
      </c>
      <c r="F32">
        <f>F13</f>
        <v>16</v>
      </c>
      <c r="G32">
        <f>G13</f>
        <v>14</v>
      </c>
      <c r="H32">
        <f>F32-G32</f>
        <v>2</v>
      </c>
      <c r="I32" s="227">
        <f>(H32+31)/(7*31)</f>
        <v>0.15207373271889402</v>
      </c>
      <c r="J32" s="221">
        <f t="shared" si="5"/>
        <v>8.3969465648854982</v>
      </c>
      <c r="K32" s="302">
        <f>AVERAGE(E32,J32)</f>
        <v>8.5088181100289564</v>
      </c>
      <c r="S32" s="50"/>
      <c r="T32" s="14"/>
      <c r="U32" s="14"/>
      <c r="V32" s="14"/>
      <c r="W32" s="14"/>
      <c r="X32" s="14"/>
      <c r="Y32" s="14"/>
      <c r="Z32" s="14"/>
      <c r="AA32" s="14"/>
      <c r="AB32" s="307"/>
      <c r="AC32" s="14"/>
      <c r="AD32" s="14"/>
      <c r="AE32" s="14"/>
      <c r="AF32" s="14"/>
      <c r="AG32" s="14"/>
    </row>
    <row r="33" spans="1:34" customFormat="1" x14ac:dyDescent="0.35">
      <c r="A33" s="7" t="s">
        <v>339</v>
      </c>
      <c r="B33" s="7" t="str">
        <f>B14</f>
        <v>Abstracting groundwater</v>
      </c>
      <c r="C33">
        <f>C14</f>
        <v>5</v>
      </c>
      <c r="D33" s="213">
        <f>6-C33</f>
        <v>1</v>
      </c>
      <c r="E33" s="213">
        <f t="shared" si="4"/>
        <v>3.4482758620689653</v>
      </c>
      <c r="F33">
        <f>F14</f>
        <v>7</v>
      </c>
      <c r="G33">
        <f>G14</f>
        <v>10</v>
      </c>
      <c r="H33">
        <f>F33-G33</f>
        <v>-3</v>
      </c>
      <c r="I33" s="227">
        <f>(H33+31)/(7*31)</f>
        <v>0.12903225806451613</v>
      </c>
      <c r="J33" s="221">
        <f t="shared" si="5"/>
        <v>7.1246819338422398</v>
      </c>
      <c r="K33" s="302">
        <f>AVERAGE(E33,J33)</f>
        <v>5.2864788979556021</v>
      </c>
      <c r="S33" s="7" t="str">
        <f>S14</f>
        <v>Abstracting groundwater </v>
      </c>
      <c r="T33" s="124">
        <f>T14</f>
        <v>5</v>
      </c>
      <c r="U33" s="213">
        <f t="shared" si="6"/>
        <v>1</v>
      </c>
      <c r="V33" s="213">
        <f>(U33*100)/U$35</f>
        <v>3.5398230088495577</v>
      </c>
      <c r="W33" s="124">
        <f>W14</f>
        <v>2</v>
      </c>
      <c r="X33" s="124">
        <f>X14</f>
        <v>15</v>
      </c>
      <c r="Y33" s="124">
        <f>W33-X33</f>
        <v>-13</v>
      </c>
      <c r="Z33" s="230">
        <f t="shared" si="7"/>
        <v>7.407407407407407E-2</v>
      </c>
      <c r="AA33" s="231">
        <f>(Z33*100)/Z$35</f>
        <v>5.1756007393715331</v>
      </c>
      <c r="AB33" s="306">
        <f>AVERAGE(V33,AA33)</f>
        <v>4.3577118741105458</v>
      </c>
      <c r="AC33" s="231"/>
      <c r="AD33" s="231"/>
      <c r="AE33" s="231"/>
      <c r="AF33" s="231"/>
      <c r="AG33" s="124"/>
    </row>
    <row r="34" spans="1:34" customFormat="1" x14ac:dyDescent="0.35">
      <c r="A34" s="7" t="s">
        <v>340</v>
      </c>
      <c r="B34" s="7" t="str">
        <f>B9</f>
        <v>Trading with another water company</v>
      </c>
      <c r="C34">
        <f>C9</f>
        <v>2</v>
      </c>
      <c r="D34" s="213">
        <f>6-C34</f>
        <v>4</v>
      </c>
      <c r="E34" s="213">
        <f t="shared" si="4"/>
        <v>13.793103448275861</v>
      </c>
      <c r="F34">
        <f>F9</f>
        <v>31</v>
      </c>
      <c r="G34">
        <f>G9</f>
        <v>3</v>
      </c>
      <c r="H34">
        <f>F34-G34</f>
        <v>28</v>
      </c>
      <c r="I34" s="227">
        <f>(H34+31)/(7*31)</f>
        <v>0.27188940092165897</v>
      </c>
      <c r="J34" s="221">
        <f t="shared" si="5"/>
        <v>15.012722646310433</v>
      </c>
      <c r="K34" s="302">
        <f>AVERAGE(E34,J34)</f>
        <v>14.402913047293147</v>
      </c>
      <c r="S34" s="5" t="s">
        <v>403</v>
      </c>
      <c r="T34" s="124">
        <f>AVERAGE(T9,T10)</f>
        <v>2.75</v>
      </c>
      <c r="U34" s="213">
        <f t="shared" si="6"/>
        <v>3.25</v>
      </c>
      <c r="V34" s="213">
        <f>(U34*100)/U$35</f>
        <v>11.504424778761061</v>
      </c>
      <c r="W34" s="124">
        <f>AVERAGE(W9,W10)</f>
        <v>9</v>
      </c>
      <c r="X34" s="124">
        <f>AVERAGE(X9,X10)</f>
        <v>1.5</v>
      </c>
      <c r="Y34" s="124">
        <f>W34-X34</f>
        <v>7.5</v>
      </c>
      <c r="Z34" s="230">
        <f t="shared" si="7"/>
        <v>0.18253968253968253</v>
      </c>
      <c r="AA34" s="231">
        <f>(Z34*100)/Z$35</f>
        <v>12.754158964879849</v>
      </c>
      <c r="AB34" s="306">
        <f>AVERAGE(V34,AA34)</f>
        <v>12.129291871820456</v>
      </c>
      <c r="AC34" s="231"/>
      <c r="AD34" s="231"/>
      <c r="AE34" s="231"/>
      <c r="AF34" s="231"/>
      <c r="AG34" s="124"/>
    </row>
    <row r="35" spans="1:34" ht="15" thickBot="1" x14ac:dyDescent="0.4">
      <c r="C35" s="3">
        <f t="shared" ref="C35:K35" si="8">SUM(C26:C34)</f>
        <v>19</v>
      </c>
      <c r="D35" s="218">
        <f t="shared" si="8"/>
        <v>29</v>
      </c>
      <c r="E35" s="219">
        <f t="shared" si="8"/>
        <v>100</v>
      </c>
      <c r="F35" s="219">
        <f t="shared" si="8"/>
        <v>178</v>
      </c>
      <c r="G35" s="219">
        <f t="shared" si="8"/>
        <v>33</v>
      </c>
      <c r="H35" s="219">
        <f t="shared" si="8"/>
        <v>145</v>
      </c>
      <c r="I35" s="222">
        <f t="shared" si="8"/>
        <v>1.8110599078341012</v>
      </c>
      <c r="J35" s="212">
        <f t="shared" si="8"/>
        <v>100.00000000000001</v>
      </c>
      <c r="K35" s="304">
        <f t="shared" si="8"/>
        <v>100</v>
      </c>
      <c r="T35" s="218">
        <f t="shared" ref="T35:AB35" si="9">SUM(T26:T34)</f>
        <v>13.75</v>
      </c>
      <c r="U35" s="218">
        <f t="shared" si="9"/>
        <v>28.25</v>
      </c>
      <c r="V35" s="219">
        <f t="shared" si="9"/>
        <v>100</v>
      </c>
      <c r="W35" s="219">
        <f t="shared" si="9"/>
        <v>106</v>
      </c>
      <c r="X35" s="219">
        <f t="shared" si="9"/>
        <v>24.5</v>
      </c>
      <c r="Y35" s="219">
        <f t="shared" si="9"/>
        <v>81.5</v>
      </c>
      <c r="Z35" s="223">
        <f t="shared" si="9"/>
        <v>1.4312169312169314</v>
      </c>
      <c r="AA35" s="219">
        <f t="shared" si="9"/>
        <v>99.999999999999986</v>
      </c>
      <c r="AB35" s="308">
        <f t="shared" si="9"/>
        <v>100</v>
      </c>
      <c r="AC35" s="219"/>
      <c r="AD35" s="219"/>
      <c r="AE35" s="219"/>
      <c r="AF35" s="219"/>
      <c r="AG35" s="138"/>
    </row>
    <row r="36" spans="1:34" customFormat="1" x14ac:dyDescent="0.35">
      <c r="A36" s="11"/>
      <c r="B36" s="11"/>
      <c r="C36" s="11"/>
      <c r="D36" s="11"/>
      <c r="E36" s="11"/>
      <c r="F36" s="11"/>
      <c r="G36" s="11"/>
      <c r="H36" s="11"/>
      <c r="I36" s="11"/>
      <c r="J36" s="11"/>
      <c r="K36" s="11"/>
      <c r="S36" s="11"/>
      <c r="T36" s="14"/>
      <c r="U36" s="14"/>
      <c r="V36" s="14"/>
      <c r="W36" s="14"/>
      <c r="X36" s="14"/>
      <c r="Y36" s="14"/>
      <c r="Z36" s="14"/>
      <c r="AA36" s="14"/>
      <c r="AB36" s="14"/>
      <c r="AC36" s="14"/>
      <c r="AD36" s="14"/>
      <c r="AE36" s="14"/>
      <c r="AF36" s="14"/>
      <c r="AG36" s="14"/>
    </row>
    <row r="37" spans="1:34" customFormat="1" x14ac:dyDescent="0.35">
      <c r="A37" s="51" t="s">
        <v>404</v>
      </c>
    </row>
    <row r="38" spans="1:34" x14ac:dyDescent="0.35"/>
    <row r="39" spans="1:34" x14ac:dyDescent="0.35"/>
    <row r="40" spans="1:34" x14ac:dyDescent="0.35"/>
    <row r="41" spans="1:34" x14ac:dyDescent="0.35"/>
    <row r="42" spans="1:34" s="7" customFormat="1" x14ac:dyDescent="0.35">
      <c r="A42" s="50"/>
      <c r="B42" s="50"/>
      <c r="C42" s="50"/>
      <c r="D42" s="52"/>
      <c r="E42" s="52"/>
      <c r="F42" s="52"/>
      <c r="G42" s="52"/>
      <c r="H42" s="52"/>
      <c r="I42" s="52"/>
      <c r="J42" s="84"/>
      <c r="K42" s="52"/>
      <c r="L42" s="52"/>
      <c r="M42" s="52"/>
      <c r="N42" s="52"/>
      <c r="O42" s="52"/>
      <c r="P42" s="52"/>
      <c r="Q42" s="52"/>
      <c r="R42" s="52"/>
      <c r="S42" s="32"/>
      <c r="T42" s="84"/>
      <c r="U42" s="52"/>
      <c r="V42" s="52"/>
      <c r="W42" s="52"/>
      <c r="X42" s="52"/>
      <c r="Y42" s="52"/>
      <c r="Z42" s="52"/>
      <c r="AA42" s="52"/>
      <c r="AB42" s="52"/>
      <c r="AC42" s="52"/>
      <c r="AD42" s="52"/>
      <c r="AE42" s="52"/>
      <c r="AF42" s="52"/>
      <c r="AG42" s="52"/>
      <c r="AH42" s="52"/>
    </row>
    <row r="43" spans="1:34" s="7" customFormat="1" ht="19.5" x14ac:dyDescent="0.45">
      <c r="A43" s="85" t="s">
        <v>341</v>
      </c>
      <c r="B43" s="50"/>
      <c r="C43" s="50"/>
      <c r="D43" s="185"/>
      <c r="E43" s="98"/>
      <c r="F43" s="98"/>
      <c r="G43" s="98"/>
      <c r="H43" s="98"/>
      <c r="I43" s="98"/>
      <c r="J43" s="186"/>
      <c r="K43" s="52"/>
      <c r="L43" s="52"/>
      <c r="M43" s="52"/>
      <c r="N43" s="52"/>
      <c r="O43" s="52"/>
      <c r="P43" s="52"/>
      <c r="Q43" s="52"/>
      <c r="R43" s="52"/>
      <c r="S43" s="32"/>
      <c r="T43" s="84"/>
      <c r="U43" s="52"/>
      <c r="V43" s="52"/>
      <c r="W43" s="52"/>
      <c r="X43" s="52"/>
      <c r="Y43" s="52"/>
      <c r="Z43" s="52"/>
      <c r="AA43" s="52"/>
      <c r="AB43" s="52"/>
      <c r="AC43" s="52"/>
      <c r="AD43" s="52"/>
      <c r="AE43" s="52"/>
      <c r="AF43" s="52"/>
      <c r="AG43" s="52"/>
      <c r="AH43" s="52"/>
    </row>
    <row r="44" spans="1:34" s="7" customFormat="1" ht="15" customHeight="1" thickBot="1" x14ac:dyDescent="0.4">
      <c r="A44" s="50"/>
      <c r="B44" s="52"/>
      <c r="C44" s="188"/>
      <c r="D44" s="98" t="s">
        <v>405</v>
      </c>
      <c r="E44" s="148"/>
      <c r="F44" s="148"/>
      <c r="G44" s="98" t="s">
        <v>406</v>
      </c>
      <c r="H44" s="98"/>
      <c r="I44" s="99"/>
      <c r="J44" s="187"/>
      <c r="K44" s="1007" t="s">
        <v>345</v>
      </c>
      <c r="L44" s="50"/>
      <c r="M44" s="50"/>
      <c r="N44" s="50"/>
      <c r="O44" s="50"/>
      <c r="P44" s="50"/>
      <c r="Q44" s="50"/>
      <c r="R44" s="50"/>
      <c r="S44" s="32"/>
      <c r="T44" s="98" t="s">
        <v>405</v>
      </c>
      <c r="U44" s="148"/>
      <c r="V44" s="148"/>
      <c r="W44" s="98" t="s">
        <v>406</v>
      </c>
      <c r="X44" s="98"/>
      <c r="Y44" s="99"/>
      <c r="Z44" s="187"/>
      <c r="AA44" s="1007" t="s">
        <v>345</v>
      </c>
      <c r="AB44" s="50"/>
      <c r="AC44" s="50"/>
      <c r="AD44" s="50"/>
      <c r="AE44" s="50"/>
      <c r="AF44" s="50"/>
      <c r="AG44" s="50"/>
      <c r="AH44" s="50"/>
    </row>
    <row r="45" spans="1:34" s="53" customFormat="1" ht="33" customHeight="1" x14ac:dyDescent="0.35">
      <c r="A45" s="54" t="s">
        <v>347</v>
      </c>
      <c r="B45" s="54" t="s">
        <v>348</v>
      </c>
      <c r="C45" s="189" t="s">
        <v>349</v>
      </c>
      <c r="D45" s="88" t="s">
        <v>350</v>
      </c>
      <c r="E45" s="88" t="s">
        <v>351</v>
      </c>
      <c r="F45" s="88" t="s">
        <v>352</v>
      </c>
      <c r="G45" s="88" t="s">
        <v>353</v>
      </c>
      <c r="H45" s="88" t="s">
        <v>354</v>
      </c>
      <c r="I45" s="88" t="s">
        <v>355</v>
      </c>
      <c r="J45" s="187" t="s">
        <v>332</v>
      </c>
      <c r="K45" s="1007"/>
      <c r="L45" s="638" t="s">
        <v>356</v>
      </c>
      <c r="M45" s="638" t="s">
        <v>357</v>
      </c>
      <c r="N45" s="638" t="s">
        <v>358</v>
      </c>
      <c r="O45" s="638" t="s">
        <v>359</v>
      </c>
      <c r="P45" s="54" t="s">
        <v>346</v>
      </c>
      <c r="Q45" s="88" t="s">
        <v>124</v>
      </c>
      <c r="R45" s="268" t="s">
        <v>360</v>
      </c>
      <c r="S45" s="32"/>
      <c r="T45" s="88" t="s">
        <v>350</v>
      </c>
      <c r="U45" s="88" t="s">
        <v>351</v>
      </c>
      <c r="V45" s="88" t="s">
        <v>352</v>
      </c>
      <c r="W45" s="88" t="s">
        <v>353</v>
      </c>
      <c r="X45" s="88" t="s">
        <v>354</v>
      </c>
      <c r="Y45" s="88" t="s">
        <v>355</v>
      </c>
      <c r="Z45" s="187" t="s">
        <v>332</v>
      </c>
      <c r="AA45" s="1007"/>
      <c r="AB45" s="638" t="s">
        <v>356</v>
      </c>
      <c r="AC45" s="638" t="s">
        <v>357</v>
      </c>
      <c r="AD45" s="638" t="s">
        <v>358</v>
      </c>
      <c r="AE45" s="638" t="s">
        <v>359</v>
      </c>
      <c r="AF45" s="54" t="s">
        <v>346</v>
      </c>
      <c r="AG45" s="88" t="s">
        <v>124</v>
      </c>
      <c r="AH45" s="268" t="s">
        <v>360</v>
      </c>
    </row>
    <row r="46" spans="1:34" x14ac:dyDescent="0.35">
      <c r="A46" s="7" t="str">
        <f>A26</f>
        <v>Reducing leakage</v>
      </c>
      <c r="B46" s="7" t="s">
        <v>40</v>
      </c>
      <c r="C46" s="7" t="s">
        <v>40</v>
      </c>
      <c r="D46" s="147">
        <f ca="1">INDEX(INDIRECT("SSW_WTPCore2_"&amp;$C46&amp;"_Levels"),1,MATCH(D$45,WTPCore2_AttLevels,0))</f>
        <v>70.5</v>
      </c>
      <c r="E46" s="147"/>
      <c r="F46" s="147">
        <f ca="1">INDEX(INDIRECT("SSW_WTPCore2_"&amp;$C46&amp;"_Levels"),1,MATCH(F$45,WTPCore2_AttLevels,0))</f>
        <v>35.25</v>
      </c>
      <c r="G46" s="89">
        <f ca="1">INDEX(INDIRECT("SSW_WTPCore2_"&amp;$C46&amp;"_LevelValues"),1,MATCH("S1 MEAN",WTPCore2_LevelValues,0))</f>
        <v>1.2301339708448666</v>
      </c>
      <c r="H46" s="89">
        <f ca="1">INDEX(INDIRECT("SSW_WTPCore2_"&amp;$C46&amp;"_LevelValues"),1,MATCH("S2 MEAN",WTPCore2_LevelValues,0))</f>
        <v>0.44133293088857806</v>
      </c>
      <c r="I46" s="89">
        <f ca="1">SUM(G46:H46)</f>
        <v>1.6714669017334447</v>
      </c>
      <c r="J46" s="147">
        <f>VLOOKUP($A46,$A$26:$AI$34,COLUMN($K$25),0)</f>
        <v>15.236465736597351</v>
      </c>
      <c r="K46" s="266">
        <f>J46*SSW_bill_impact_leakage</f>
        <v>310.4203545656506</v>
      </c>
      <c r="L46" s="429">
        <f ca="1">INDEX(INDIRECT("SSW_WTPCore_DCE_"&amp;$C46&amp;"_UnitValues"),MATCH("COMBINED-HH",WTPCore_Group,0),MATCH("MEAN",LMH,0))</f>
        <v>30606.35460992908</v>
      </c>
      <c r="M46" s="429">
        <f ca="1">L46*(D46-$F46)/HHProps_SSW</f>
        <v>2</v>
      </c>
      <c r="N46" s="89">
        <f t="shared" ref="N46:N47" ca="1" si="10">INDEX(INDIRECT("SSW_WTPCore2_"&amp;$C46&amp;"_UnitValues"),1,MATCH("MEAN",LMH,0))</f>
        <v>25578.754356606645</v>
      </c>
      <c r="O46" s="624">
        <f ca="1">N46*(D46-$F46)/HHProps_SSW</f>
        <v>1.6714669017334447</v>
      </c>
      <c r="P46" s="90">
        <f ca="1">((K46*N$50)/K$49)</f>
        <v>2.8499789942377838</v>
      </c>
      <c r="Q46" s="23" t="s">
        <v>148</v>
      </c>
      <c r="R46" s="271">
        <f ca="1">(P46*HHProps_SSW)/((D46-F46))</f>
        <v>43613.733864245318</v>
      </c>
      <c r="T46" s="147">
        <f ca="1">INDEX(INDIRECT("CAM_WTPCore2_"&amp;$C46&amp;"_Levels"),1,MATCH(T$45,WTPCore2_AttLevels,0))</f>
        <v>13.5</v>
      </c>
      <c r="U46" s="147"/>
      <c r="V46" s="147">
        <f ca="1">INDEX(INDIRECT("CAM_WTPCore2_"&amp;$C46&amp;"_Levels"),1,MATCH(V$45,WTPCore2_AttLevels,0))</f>
        <v>6.75</v>
      </c>
      <c r="W46" s="89">
        <f ca="1">INDEX(INDIRECT("CAM_WTPCore2_"&amp;$C46&amp;"_LevelValues"),1,MATCH("S1 MEAN",WTPCore2_LevelValues,0))</f>
        <v>3.1349723048319831</v>
      </c>
      <c r="X46" s="89">
        <f ca="1">INDEX(INDIRECT("CAM_WTPCore2_"&amp;$C46&amp;"_LevelValues"),1,MATCH("S2 MEAN",WTPCore2_LevelValues,0))</f>
        <v>5.1405797633106154E-3</v>
      </c>
      <c r="Y46" s="89">
        <f ca="1">SUM(W46:X46)</f>
        <v>3.1401128845952937</v>
      </c>
      <c r="Z46" s="147">
        <f>VLOOKUP($A46,$A$26:$AI$34,COLUMN($AB$25),0)</f>
        <v>14.579686912142376</v>
      </c>
      <c r="AA46" s="266">
        <f>Z46*CAM_bill_impact_leakage</f>
        <v>180.95356096630607</v>
      </c>
      <c r="AB46" s="429">
        <f ca="1">INDEX(INDIRECT("CAM_WTPCore_"&amp;$C46&amp;"_UnitValues"),MATCH("COMBINED-HH",WTPCore_Group,0),MATCH("MEAN",LMH,0))</f>
        <v>145343.41333333333</v>
      </c>
      <c r="AC46" s="429">
        <f ca="1">AB46*(T46-V46)/HHProps_CAM</f>
        <v>7.2200000000000006</v>
      </c>
      <c r="AD46" s="89">
        <f ca="1">INDEX(INDIRECT("CAM_WTPCore2_"&amp;$C46&amp;"_UnitValues"),1,MATCH("MEAN",LMH,0))</f>
        <v>63212.565775492993</v>
      </c>
      <c r="AE46" s="624">
        <f ca="1">AD46*(T46-$V46)/HHProps_CAM</f>
        <v>3.1401128845952937</v>
      </c>
      <c r="AF46" s="90">
        <f ca="1">AA46*AD$50/AA$49</f>
        <v>9.273675001280612</v>
      </c>
      <c r="AG46" s="23" t="s">
        <v>148</v>
      </c>
      <c r="AH46" s="271">
        <f ca="1">(AF46*HHProps_CAM)/((T46-V46))</f>
        <v>186685.26022577958</v>
      </c>
    </row>
    <row r="47" spans="1:34" x14ac:dyDescent="0.35">
      <c r="A47" s="7" t="str">
        <f>A27</f>
        <v>Increased metering (not smart meters)</v>
      </c>
      <c r="B47" s="7" t="s">
        <v>41</v>
      </c>
      <c r="C47" s="7" t="s">
        <v>149</v>
      </c>
      <c r="D47" s="91">
        <f ca="1">INDEX(INDIRECT("SSW_WTPCore2_"&amp;$C47&amp;"_Levels"),1,MATCH(D$45,WTPCore2_AttLevels,0))</f>
        <v>0.33</v>
      </c>
      <c r="E47" s="91"/>
      <c r="F47" s="91">
        <f ca="1">INDEX(INDIRECT("SSW_WTPCore2_"&amp;$C47&amp;"_Levels"),1,MATCH(F$45,WTPCore2_AttLevels,0))</f>
        <v>0.5</v>
      </c>
      <c r="G47" s="89">
        <f ca="1">INDEX(INDIRECT("SSW_WTPCore2_"&amp;$C47&amp;"_LevelValues"),1,MATCH("S1 MEAN",WTPCore2_LevelValues,0))</f>
        <v>3.9796847923577343</v>
      </c>
      <c r="H47" s="89">
        <f ca="1">INDEX(INDIRECT("SSW_WTPCore2_"&amp;$C47&amp;"_LevelValues"),1,MATCH("S2 MEAN",WTPCore2_LevelValues,0))</f>
        <v>0.52424962900217631</v>
      </c>
      <c r="I47" s="89">
        <f ca="1">SUM(G47:H47)</f>
        <v>4.5039344213599106</v>
      </c>
      <c r="J47" s="147">
        <f>VLOOKUP($A47,$A$26:$AI$34,COLUMN($K$25),0)</f>
        <v>17.908221461788191</v>
      </c>
      <c r="K47" s="266">
        <f>J47*SSW_bill_impact_metering</f>
        <v>102.9722734052821</v>
      </c>
      <c r="L47" s="429">
        <f ca="1">INDEX(INDIRECT("SSW_WTPCore_DCE_"&amp;$C47&amp;"_UnitValues"),MATCH("COMBINED-HH",WTPCore_Group,0),MATCH("MEAN",LMH,0))</f>
        <v>1.7719298245614032</v>
      </c>
      <c r="M47" s="429">
        <f ca="1">-L47*(D47-$F47)</f>
        <v>0.30122807017543851</v>
      </c>
      <c r="N47" s="89">
        <f t="shared" ca="1" si="10"/>
        <v>26.493731890352418</v>
      </c>
      <c r="O47" s="429">
        <f ca="1">-N47*(D47-$F47)</f>
        <v>4.5039344213599106</v>
      </c>
      <c r="P47" s="90">
        <f t="shared" ref="P47:P48" ca="1" si="11">((K47*N$50)/K$49)</f>
        <v>0.94539166609932612</v>
      </c>
      <c r="Q47" s="23" t="s">
        <v>150</v>
      </c>
      <c r="R47" s="269">
        <f ca="1">(-P47/(D47-F47))</f>
        <v>5.561127447643095</v>
      </c>
      <c r="T47" s="91">
        <f ca="1">INDEX(INDIRECT("CAM_WTPCore2_"&amp;$C47&amp;"_Levels"),1,MATCH(T$45,WTPCore2_AttLevels,0))</f>
        <v>0.7</v>
      </c>
      <c r="U47" s="91"/>
      <c r="V47" s="91">
        <f ca="1">INDEX(INDIRECT("CAM_WTPCore2_"&amp;$C47&amp;"_Levels"),1,MATCH(V$45,WTPCore2_AttLevels,0))</f>
        <v>0.95</v>
      </c>
      <c r="W47" s="89">
        <f ca="1">INDEX(INDIRECT("CAM_WTPCore2_"&amp;$C47&amp;"_LevelValues"),1,MATCH("S1 MEAN",WTPCore2_LevelValues,0))</f>
        <v>1.4360208416640492</v>
      </c>
      <c r="X47" s="89">
        <f ca="1">INDEX(INDIRECT("CAM_WTPCore2_"&amp;$C47&amp;"_LevelValues"),1,MATCH("S2 MEAN",WTPCore2_LevelValues,0))</f>
        <v>0.918140410423955</v>
      </c>
      <c r="Y47" s="89">
        <f ca="1">SUM(W47:X47)</f>
        <v>2.3541612520880042</v>
      </c>
      <c r="Z47" s="147">
        <f>VLOOKUP($A47,$A$26:$AI$34,COLUMN($AB$25),0)</f>
        <v>13.470629610848476</v>
      </c>
      <c r="AA47" s="266">
        <f>Z47*CAM_bill_impact_metering</f>
        <v>8.0823777665090848</v>
      </c>
      <c r="AB47" s="429">
        <f ca="1">INDEX(INDIRECT("CAM_WTPCore_"&amp;$C47&amp;"_UnitValues"),MATCH("COMBINED-HH",WTPCore_Group,0),MATCH("MEAN",LMH,0))</f>
        <v>8.64</v>
      </c>
      <c r="AC47" s="429">
        <f ca="1">-AB47*(T47-$V47)</f>
        <v>2.16</v>
      </c>
      <c r="AD47" s="89">
        <f ca="1">INDEX(INDIRECT("CAM_WTPCore2_"&amp;$C47&amp;"_UnitValues"),1,MATCH("MEAN",LMH,0))</f>
        <v>9.4166450083520168</v>
      </c>
      <c r="AE47" s="429">
        <f ca="1">-AD47*(T47-$V47)</f>
        <v>2.3541612520880042</v>
      </c>
      <c r="AF47" s="90">
        <f t="shared" ref="AF47:AF48" ca="1" si="12">AA47*AD$50/AA$49</f>
        <v>0.41421315084337018</v>
      </c>
      <c r="AG47" s="23" t="s">
        <v>150</v>
      </c>
      <c r="AH47" s="269">
        <f ca="1">(-AF47/(T47-V47))</f>
        <v>1.6568526033734807</v>
      </c>
    </row>
    <row r="48" spans="1:34" x14ac:dyDescent="0.35">
      <c r="A48" s="7" t="str">
        <f>A28</f>
        <v>Installing smart meters</v>
      </c>
      <c r="B48" s="7" t="s">
        <v>151</v>
      </c>
      <c r="C48" s="7" t="s">
        <v>152</v>
      </c>
      <c r="D48" s="91">
        <f ca="1">INDEX(INDIRECT("SSW_WTPCore_DCE_"&amp;$C48&amp;"_Levels"),MATCH("COMBINED-HH",WTPCore_Group,0),MATCH(D$45,WTPCore_AttLevels,0))</f>
        <v>0</v>
      </c>
      <c r="E48" s="91"/>
      <c r="F48" s="91">
        <f ca="1">INDEX(INDIRECT("SSW_WTPCore_DCE_"&amp;$C48&amp;"_Levels"),MATCH("COMBINED-HH",WTPCore_Group,0),MATCH(F$45,WTPCore_AttLevels,0))</f>
        <v>1</v>
      </c>
      <c r="G48" s="89">
        <f ca="1">INDEX(INDIRECT("SSW_WTPCore_DCE_"&amp;$C48&amp;"_LevelValues"),MATCH("COMBINED-HH",WTPCore_Group,0),MATCH("S1 MEAN",WTPCore_LevelValues,0))</f>
        <v>8.5999999999999993E-2</v>
      </c>
      <c r="H48" s="89">
        <f ca="1">INDEX(INDIRECT("SSW_WTPCore_DCE_"&amp;$C48&amp;"_LevelValues"),MATCH("COMBINED-HH",WTPCore_Group,0),MATCH("S2 MEAN",WTPCore_LevelValues,0))</f>
        <v>0.35599999999999998</v>
      </c>
      <c r="I48" s="89">
        <f ca="1">SUM(G48:H48)</f>
        <v>0.44199999999999995</v>
      </c>
      <c r="J48" s="147">
        <f>VLOOKUP($A48,$A$26:$AI$34,COLUMN($K$25),0)</f>
        <v>16.763183293849259</v>
      </c>
      <c r="K48" s="266">
        <f>J48*SSW_bill_impact_metering</f>
        <v>96.388303939633246</v>
      </c>
      <c r="L48" s="429">
        <f ca="1">INDEX(INDIRECT("SSW_WTPCore_DCE_"&amp;$C48&amp;"_UnitValues"),MATCH("COMBINED-HH",WTPCore_Group,0),MATCH("MEAN",LMH,0))</f>
        <v>0.44199999999999995</v>
      </c>
      <c r="M48" s="429">
        <f ca="1">-L48*(D48-$F48)</f>
        <v>0.44199999999999995</v>
      </c>
      <c r="N48" s="89">
        <f ca="1">L48</f>
        <v>0.44199999999999995</v>
      </c>
      <c r="O48" s="429">
        <f ca="1">-N48*(D48-$F48)</f>
        <v>0.44199999999999995</v>
      </c>
      <c r="P48" s="90">
        <f t="shared" ca="1" si="11"/>
        <v>0.88494403629728691</v>
      </c>
      <c r="Q48" s="23" t="s">
        <v>150</v>
      </c>
      <c r="R48" s="269">
        <f ca="1">(-P48/(D48-F48))</f>
        <v>0.88494403629728691</v>
      </c>
      <c r="T48" s="91">
        <f ca="1">INDEX(INDIRECT("CAM_WTPCore_"&amp;$C48&amp;"_Levels"),MATCH("COMBINED-HH",WTPCore_Group,0),MATCH(T$45,WTPCore_AttLevels,0))</f>
        <v>0</v>
      </c>
      <c r="U48" s="91"/>
      <c r="V48" s="91">
        <f ca="1">INDEX(INDIRECT("CAM_WTPCore_"&amp;$C48&amp;"_Levels"),MATCH("COMBINED-HH",WTPCore_Group,0),MATCH(V$45,WTPCore_AttLevels,0))</f>
        <v>1</v>
      </c>
      <c r="W48" s="89">
        <f ca="1">INDEX(INDIRECT("CAM_WTPCore_"&amp;$C48&amp;"_LevelValues"),MATCH("COMBINED-HH",WTPCore_Group,0),MATCH("S1 MEAN",WTPCore_LevelValues,0))</f>
        <v>1.133</v>
      </c>
      <c r="X48" s="89">
        <f ca="1">INDEX(INDIRECT("CAM_WTPCore_"&amp;$C48&amp;"_LevelValues"),MATCH("COMBINED-HH",WTPCore_Group,0),MATCH("S2 MEAN",WTPCore_LevelValues,0))</f>
        <v>1.7649999999999999</v>
      </c>
      <c r="Y48" s="89">
        <f ca="1">SUM(W48:X48)</f>
        <v>2.8979999999999997</v>
      </c>
      <c r="Z48" s="147">
        <f>VLOOKUP($A48,$A$26:$AI$34,COLUMN($AB$25),0)</f>
        <v>21.049187836356793</v>
      </c>
      <c r="AA48" s="266">
        <f>Z48*CAM_bill_impact_metering</f>
        <v>12.629512701814075</v>
      </c>
      <c r="AB48" s="429">
        <f ca="1">INDEX(INDIRECT("CAM_WTPCore_"&amp;$C48&amp;"_UnitValues"),MATCH("COMBINED-HH",WTPCore_Group,0),MATCH("MEAN",LMH,0))</f>
        <v>2.8979999999999997</v>
      </c>
      <c r="AC48" s="429">
        <f ca="1">-AB48*(T48-$V48)</f>
        <v>2.8979999999999997</v>
      </c>
      <c r="AD48" s="89">
        <f ca="1">AB48</f>
        <v>2.8979999999999997</v>
      </c>
      <c r="AE48" s="429">
        <f ca="1">-AD48*(T48-$V48)</f>
        <v>2.8979999999999997</v>
      </c>
      <c r="AF48" s="90">
        <f t="shared" ca="1" si="12"/>
        <v>0.647248916217667</v>
      </c>
      <c r="AG48" s="23" t="s">
        <v>150</v>
      </c>
      <c r="AH48" s="269">
        <f ca="1">(-AF48/(T48-V48))</f>
        <v>0.647248916217667</v>
      </c>
    </row>
    <row r="49" spans="1:34" ht="15" thickBot="1" x14ac:dyDescent="0.4">
      <c r="D49" s="194"/>
      <c r="E49" s="194"/>
      <c r="F49" s="194"/>
      <c r="G49" s="3"/>
      <c r="H49" s="3"/>
      <c r="I49" s="194">
        <f ca="1">SUM(I46:I48)</f>
        <v>6.6174013230933557</v>
      </c>
      <c r="J49" s="29">
        <f>SUM(J46:J48)</f>
        <v>49.9078704922348</v>
      </c>
      <c r="K49" s="29">
        <f>SUM(K46:K48)</f>
        <v>509.78093191056598</v>
      </c>
      <c r="M49" s="29">
        <f ca="1">SUM(M46:M48)</f>
        <v>2.7432280701754381</v>
      </c>
      <c r="N49" s="194"/>
      <c r="O49" s="264">
        <f ca="1">SUM(O46:O48)</f>
        <v>6.6174013230933557</v>
      </c>
      <c r="P49" s="194">
        <f ca="1">SUM(P46:P48)</f>
        <v>4.6803146966343974</v>
      </c>
      <c r="Q49" s="22"/>
      <c r="R49" s="300"/>
      <c r="S49" s="40"/>
      <c r="T49" s="194"/>
      <c r="U49" s="194"/>
      <c r="V49" s="194"/>
      <c r="W49" s="3"/>
      <c r="X49" s="3"/>
      <c r="Y49" s="194">
        <f ca="1">SUM(Y46:Y48)</f>
        <v>8.392274136683298</v>
      </c>
      <c r="Z49" s="29">
        <f>SUM(Z46:Z48)</f>
        <v>49.099504359347648</v>
      </c>
      <c r="AA49" s="29">
        <f>SUM(AA46:AA48)</f>
        <v>201.66545143462923</v>
      </c>
      <c r="AC49" s="29">
        <f ca="1">SUM(AC46:AC48)</f>
        <v>12.278</v>
      </c>
      <c r="AD49" s="194"/>
      <c r="AE49" s="264">
        <f ca="1">SUM(AE46:AE48)</f>
        <v>8.392274136683298</v>
      </c>
      <c r="AF49" s="194">
        <f ca="1">SUM(AF46:AF48)</f>
        <v>10.335137068341648</v>
      </c>
      <c r="AG49" s="22"/>
      <c r="AH49" s="300"/>
    </row>
    <row r="50" spans="1:34" customFormat="1" x14ac:dyDescent="0.35">
      <c r="A50" s="52" t="s">
        <v>362</v>
      </c>
      <c r="B50" s="50"/>
      <c r="C50" s="50"/>
      <c r="D50" s="52"/>
      <c r="E50" s="52"/>
      <c r="F50" s="52"/>
      <c r="G50" s="52"/>
      <c r="H50" s="52"/>
      <c r="I50" s="52"/>
      <c r="J50" s="84"/>
      <c r="K50" s="52"/>
      <c r="L50" s="52"/>
      <c r="M50" s="4" t="s">
        <v>361</v>
      </c>
      <c r="N50" s="639">
        <f ca="1">AVERAGE(M49,O49)</f>
        <v>4.6803146966343974</v>
      </c>
      <c r="O50" s="52"/>
      <c r="P50" s="52"/>
      <c r="Q50" s="52"/>
      <c r="R50" s="52"/>
      <c r="S50" s="32"/>
      <c r="T50" s="84"/>
      <c r="U50" s="52"/>
      <c r="V50" s="52"/>
      <c r="W50" s="52"/>
      <c r="X50" s="52"/>
      <c r="Y50" s="52"/>
      <c r="Z50" s="52"/>
      <c r="AA50" s="52"/>
      <c r="AB50" s="52"/>
      <c r="AC50" s="4" t="s">
        <v>361</v>
      </c>
      <c r="AD50" s="267">
        <f ca="1">AVERAGE(AC49,AE49)</f>
        <v>10.335137068341648</v>
      </c>
      <c r="AE50" s="52"/>
      <c r="AF50" s="52"/>
      <c r="AG50" s="52"/>
    </row>
    <row r="51" spans="1:34" x14ac:dyDescent="0.35">
      <c r="A51" s="7" t="s">
        <v>363</v>
      </c>
    </row>
    <row r="52" spans="1:34" x14ac:dyDescent="0.35">
      <c r="A52" s="7" t="s">
        <v>407</v>
      </c>
    </row>
    <row r="53" spans="1:34" x14ac:dyDescent="0.35"/>
  </sheetData>
  <mergeCells count="2">
    <mergeCell ref="K44:K45"/>
    <mergeCell ref="AA44:AA4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sheetPr>
  <dimension ref="A1:AM393"/>
  <sheetViews>
    <sheetView zoomScale="70" zoomScaleNormal="70" workbookViewId="0">
      <pane xSplit="4" ySplit="6" topLeftCell="P7" activePane="bottomRight" state="frozen"/>
      <selection pane="topRight"/>
      <selection pane="bottomLeft"/>
      <selection pane="bottomRight" activeCell="S8" sqref="S8"/>
    </sheetView>
  </sheetViews>
  <sheetFormatPr defaultColWidth="0" defaultRowHeight="14.5" zeroHeight="1" x14ac:dyDescent="0.35"/>
  <cols>
    <col min="1" max="1" width="27.7265625" style="133" customWidth="1"/>
    <col min="2" max="2" width="42" style="133" customWidth="1"/>
    <col min="3" max="3" width="22.453125" style="133" customWidth="1"/>
    <col min="4" max="4" width="19.453125" style="133" customWidth="1"/>
    <col min="5" max="20" width="14.1796875" style="133" customWidth="1"/>
    <col min="21" max="30" width="14.1796875" style="7" customWidth="1"/>
    <col min="31" max="36" width="14.1796875" style="133" customWidth="1"/>
    <col min="37" max="39" width="14.1796875" style="7" customWidth="1"/>
    <col min="40" max="16384" width="14.1796875" style="133" hidden="1"/>
  </cols>
  <sheetData>
    <row r="1" spans="1:39" ht="28.5" x14ac:dyDescent="0.65">
      <c r="A1" s="76" t="s">
        <v>408</v>
      </c>
      <c r="B1" s="77"/>
      <c r="C1" s="77"/>
      <c r="D1" s="77"/>
      <c r="E1" s="77"/>
      <c r="F1" s="77"/>
      <c r="G1" s="77"/>
      <c r="H1" s="77"/>
      <c r="I1" s="76"/>
      <c r="J1" s="76"/>
      <c r="K1" s="76"/>
      <c r="L1" s="76"/>
      <c r="M1" s="76"/>
      <c r="N1" s="76"/>
      <c r="O1" s="76"/>
      <c r="P1" s="76"/>
      <c r="Q1" s="76"/>
      <c r="R1" s="76"/>
      <c r="S1" s="76"/>
      <c r="T1" s="76"/>
      <c r="U1" s="77"/>
      <c r="V1" s="77"/>
      <c r="W1" s="77"/>
      <c r="X1" s="77"/>
      <c r="Y1" s="77"/>
      <c r="Z1" s="76"/>
      <c r="AA1" s="76"/>
      <c r="AB1" s="76"/>
      <c r="AC1" s="76"/>
      <c r="AD1" s="76"/>
      <c r="AE1" s="76"/>
      <c r="AF1" s="76"/>
      <c r="AG1" s="76"/>
      <c r="AH1" s="76"/>
      <c r="AI1" s="76"/>
      <c r="AJ1" s="76"/>
      <c r="AK1" s="76"/>
      <c r="AL1" s="76"/>
      <c r="AM1" s="76"/>
    </row>
    <row r="2" spans="1:39" s="7" customFormat="1" ht="21.5" thickBot="1" x14ac:dyDescent="0.55000000000000004">
      <c r="A2" s="85"/>
      <c r="B2" s="85"/>
      <c r="C2" s="85"/>
      <c r="D2" s="85"/>
      <c r="E2" s="126" t="s">
        <v>409</v>
      </c>
      <c r="F2" s="126"/>
      <c r="G2" s="126"/>
      <c r="H2" s="126"/>
      <c r="I2" s="126"/>
      <c r="J2" s="126"/>
      <c r="K2" s="126"/>
      <c r="L2" s="126"/>
      <c r="M2" s="126"/>
      <c r="N2" s="126"/>
      <c r="O2" s="126"/>
      <c r="P2" s="126"/>
      <c r="Q2" s="126"/>
      <c r="R2" s="126"/>
      <c r="S2" s="126"/>
      <c r="T2" s="126"/>
      <c r="U2" s="233" t="s">
        <v>47</v>
      </c>
      <c r="V2" s="125"/>
      <c r="W2" s="125"/>
      <c r="X2" s="125"/>
      <c r="Y2" s="125"/>
      <c r="Z2" s="125"/>
      <c r="AA2" s="125"/>
      <c r="AB2" s="125"/>
      <c r="AC2" s="125"/>
      <c r="AD2" s="125"/>
      <c r="AE2" s="125"/>
      <c r="AF2" s="125"/>
      <c r="AG2" s="125"/>
      <c r="AH2" s="125"/>
      <c r="AI2" s="125"/>
      <c r="AJ2" s="125"/>
      <c r="AK2" s="52"/>
      <c r="AL2" s="52"/>
      <c r="AM2" s="52"/>
    </row>
    <row r="3" spans="1:39" s="7" customFormat="1" ht="19.5" x14ac:dyDescent="0.45">
      <c r="A3" s="85"/>
      <c r="B3" s="85"/>
      <c r="C3" s="85"/>
      <c r="D3" s="85"/>
      <c r="E3" s="85"/>
      <c r="F3" s="85"/>
      <c r="G3" s="85"/>
      <c r="H3" s="85"/>
      <c r="I3" s="85"/>
      <c r="J3" s="85"/>
      <c r="K3" s="85"/>
      <c r="L3" s="85"/>
      <c r="M3" s="85"/>
      <c r="N3" s="85"/>
      <c r="O3" s="85"/>
      <c r="P3" s="85"/>
      <c r="Q3" s="85"/>
      <c r="R3" s="277"/>
      <c r="S3" s="278"/>
      <c r="T3" s="279"/>
      <c r="U3" s="85"/>
      <c r="V3" s="85"/>
      <c r="W3" s="85"/>
      <c r="X3" s="85"/>
      <c r="Y3" s="85"/>
      <c r="Z3" s="85"/>
      <c r="AA3" s="85"/>
      <c r="AB3" s="85"/>
      <c r="AC3" s="85"/>
      <c r="AD3" s="85"/>
      <c r="AE3" s="85"/>
      <c r="AF3" s="85"/>
      <c r="AG3" s="85"/>
      <c r="AH3" s="277"/>
      <c r="AI3" s="278"/>
      <c r="AJ3" s="279"/>
      <c r="AK3" s="52"/>
      <c r="AL3" s="52"/>
      <c r="AM3" s="52"/>
    </row>
    <row r="4" spans="1:39" s="7" customFormat="1" ht="15" customHeight="1" x14ac:dyDescent="0.35">
      <c r="A4" s="52"/>
      <c r="B4" s="52"/>
      <c r="C4" s="52"/>
      <c r="D4" s="52"/>
      <c r="E4" s="52" t="s">
        <v>410</v>
      </c>
      <c r="F4" s="52"/>
      <c r="G4" s="52"/>
      <c r="H4" s="572" t="s">
        <v>411</v>
      </c>
      <c r="I4" s="52" t="s">
        <v>412</v>
      </c>
      <c r="J4" s="52"/>
      <c r="K4" s="52"/>
      <c r="L4" s="52"/>
      <c r="M4" s="52"/>
      <c r="N4" s="52"/>
      <c r="O4" s="575" t="s">
        <v>413</v>
      </c>
      <c r="P4" s="98"/>
      <c r="Q4" s="196"/>
      <c r="R4" s="280" t="s">
        <v>414</v>
      </c>
      <c r="S4" s="575"/>
      <c r="T4" s="281"/>
      <c r="U4" s="52" t="s">
        <v>410</v>
      </c>
      <c r="V4" s="52"/>
      <c r="W4" s="52"/>
      <c r="X4" s="572" t="s">
        <v>411</v>
      </c>
      <c r="Y4" s="52" t="s">
        <v>412</v>
      </c>
      <c r="Z4" s="52"/>
      <c r="AA4" s="52"/>
      <c r="AB4" s="52"/>
      <c r="AC4" s="52"/>
      <c r="AD4" s="52"/>
      <c r="AE4" s="196" t="s">
        <v>415</v>
      </c>
      <c r="AF4" s="98"/>
      <c r="AG4" s="196"/>
      <c r="AH4" s="280" t="s">
        <v>414</v>
      </c>
      <c r="AI4" s="196"/>
      <c r="AJ4" s="281"/>
      <c r="AK4" s="52"/>
      <c r="AL4" s="52"/>
      <c r="AM4" s="52"/>
    </row>
    <row r="5" spans="1:39" x14ac:dyDescent="0.35">
      <c r="A5" s="52" t="s">
        <v>203</v>
      </c>
      <c r="B5" s="52" t="s">
        <v>416</v>
      </c>
      <c r="C5" s="52" t="s">
        <v>417</v>
      </c>
      <c r="D5" s="52" t="s">
        <v>418</v>
      </c>
      <c r="E5" s="82" t="s">
        <v>419</v>
      </c>
      <c r="F5" s="134"/>
      <c r="G5" s="134"/>
      <c r="H5" s="573"/>
      <c r="I5" s="82"/>
      <c r="J5" s="134"/>
      <c r="K5" s="134"/>
      <c r="L5" s="134"/>
      <c r="M5" s="134"/>
      <c r="N5" s="134"/>
      <c r="O5" s="54"/>
      <c r="P5" s="134"/>
      <c r="Q5" s="54"/>
      <c r="R5" s="282"/>
      <c r="S5" s="54"/>
      <c r="T5" s="283"/>
      <c r="U5" s="82" t="s">
        <v>419</v>
      </c>
      <c r="V5" s="134"/>
      <c r="W5" s="134"/>
      <c r="X5" s="573"/>
      <c r="Y5" s="82"/>
      <c r="Z5" s="134"/>
      <c r="AA5" s="134"/>
      <c r="AB5" s="134"/>
      <c r="AC5" s="134"/>
      <c r="AD5" s="134"/>
      <c r="AE5" s="54"/>
      <c r="AF5" s="134"/>
      <c r="AG5" s="54"/>
      <c r="AH5" s="282"/>
      <c r="AI5" s="54"/>
      <c r="AJ5" s="283"/>
      <c r="AK5" s="127"/>
      <c r="AL5" s="127"/>
      <c r="AM5" s="127"/>
    </row>
    <row r="6" spans="1:39" s="7" customFormat="1" ht="58" x14ac:dyDescent="0.35">
      <c r="A6" s="134"/>
      <c r="B6" s="82" t="s">
        <v>420</v>
      </c>
      <c r="C6" s="134"/>
      <c r="D6" s="134"/>
      <c r="E6" s="86" t="s">
        <v>350</v>
      </c>
      <c r="F6" s="128" t="s">
        <v>351</v>
      </c>
      <c r="G6" s="129" t="s">
        <v>352</v>
      </c>
      <c r="H6" s="574" t="s">
        <v>421</v>
      </c>
      <c r="I6" s="86" t="s">
        <v>422</v>
      </c>
      <c r="J6" s="86" t="s">
        <v>423</v>
      </c>
      <c r="K6" s="86" t="s">
        <v>424</v>
      </c>
      <c r="L6" s="86" t="s">
        <v>425</v>
      </c>
      <c r="M6" s="86" t="s">
        <v>426</v>
      </c>
      <c r="N6" s="86" t="s">
        <v>427</v>
      </c>
      <c r="O6" s="86" t="s">
        <v>428</v>
      </c>
      <c r="P6" s="86" t="s">
        <v>429</v>
      </c>
      <c r="Q6" s="86" t="s">
        <v>430</v>
      </c>
      <c r="R6" s="284" t="s">
        <v>428</v>
      </c>
      <c r="S6" s="86" t="s">
        <v>429</v>
      </c>
      <c r="T6" s="285" t="s">
        <v>430</v>
      </c>
      <c r="U6" s="86" t="s">
        <v>350</v>
      </c>
      <c r="V6" s="128" t="s">
        <v>351</v>
      </c>
      <c r="W6" s="129" t="s">
        <v>352</v>
      </c>
      <c r="X6" s="574" t="s">
        <v>421</v>
      </c>
      <c r="Y6" s="86" t="s">
        <v>422</v>
      </c>
      <c r="Z6" s="86" t="s">
        <v>423</v>
      </c>
      <c r="AA6" s="86" t="s">
        <v>424</v>
      </c>
      <c r="AB6" s="86" t="s">
        <v>425</v>
      </c>
      <c r="AC6" s="86" t="s">
        <v>426</v>
      </c>
      <c r="AD6" s="86" t="s">
        <v>427</v>
      </c>
      <c r="AE6" s="86" t="s">
        <v>428</v>
      </c>
      <c r="AF6" s="86" t="s">
        <v>429</v>
      </c>
      <c r="AG6" s="86" t="s">
        <v>430</v>
      </c>
      <c r="AH6" s="284" t="s">
        <v>428</v>
      </c>
      <c r="AI6" s="86" t="s">
        <v>429</v>
      </c>
      <c r="AJ6" s="285" t="s">
        <v>430</v>
      </c>
      <c r="AK6" s="130"/>
      <c r="AL6" s="130"/>
      <c r="AM6" s="130"/>
    </row>
    <row r="7" spans="1:39" x14ac:dyDescent="0.35">
      <c r="A7" s="7" t="s">
        <v>125</v>
      </c>
      <c r="B7" s="7" t="s">
        <v>431</v>
      </c>
      <c r="C7" s="7" t="s">
        <v>432</v>
      </c>
      <c r="D7" s="7" t="s">
        <v>433</v>
      </c>
      <c r="E7" s="103">
        <f>1/80</f>
        <v>1.2500000000000001E-2</v>
      </c>
      <c r="F7" s="103">
        <f>1/120</f>
        <v>8.3333333333333332E-3</v>
      </c>
      <c r="G7" s="103">
        <v>0</v>
      </c>
      <c r="H7" s="103" t="s">
        <v>351</v>
      </c>
      <c r="I7" s="31">
        <v>7.14</v>
      </c>
      <c r="J7" s="31">
        <v>8.6999999999999993</v>
      </c>
      <c r="K7" s="31">
        <v>10.25</v>
      </c>
      <c r="L7" s="31">
        <v>0.67</v>
      </c>
      <c r="M7" s="31">
        <v>0.82</v>
      </c>
      <c r="N7" s="31">
        <v>0.97</v>
      </c>
      <c r="O7" s="195">
        <f t="shared" ref="O7:Q8" si="0">HHProps_SSW*IF($H7="S1",I7,(I7+L7))</f>
        <v>3851580.1799999997</v>
      </c>
      <c r="P7" s="195">
        <f t="shared" si="0"/>
        <v>4693101.8999999994</v>
      </c>
      <c r="Q7" s="195">
        <f t="shared" si="0"/>
        <v>5529229.25</v>
      </c>
      <c r="R7" s="286">
        <f t="shared" ref="R7:T10" si="1">O7/(IF($H7="S1",($E7-$F7),($E7-$G7))*AllProps_SSW)</f>
        <v>1623.3555660534746</v>
      </c>
      <c r="S7" s="195">
        <f t="shared" si="1"/>
        <v>1978.0382947710405</v>
      </c>
      <c r="T7" s="287">
        <f t="shared" si="1"/>
        <v>2330.4474162532374</v>
      </c>
      <c r="U7" s="103">
        <f t="shared" ref="U7:X10" si="2">E7</f>
        <v>1.2500000000000001E-2</v>
      </c>
      <c r="V7" s="103">
        <f t="shared" si="2"/>
        <v>8.3333333333333332E-3</v>
      </c>
      <c r="W7" s="103">
        <f t="shared" si="2"/>
        <v>0</v>
      </c>
      <c r="X7" s="103" t="str">
        <f t="shared" si="2"/>
        <v>S1</v>
      </c>
      <c r="Y7" s="31">
        <v>6.07</v>
      </c>
      <c r="Z7" s="31">
        <v>7.13</v>
      </c>
      <c r="AA7" s="31">
        <v>8.19</v>
      </c>
      <c r="AB7" s="31">
        <v>0.56999999999999995</v>
      </c>
      <c r="AC7" s="31">
        <v>0.67</v>
      </c>
      <c r="AD7" s="31">
        <v>0.76</v>
      </c>
      <c r="AE7" s="195">
        <f t="shared" ref="AE7:AG8" si="3">HHProps_CAM*IF($H7="S1",Y7,(Y7+AB7))</f>
        <v>824803.74</v>
      </c>
      <c r="AF7" s="195">
        <f t="shared" si="3"/>
        <v>968838.66</v>
      </c>
      <c r="AG7" s="195">
        <f t="shared" si="3"/>
        <v>1112873.5799999998</v>
      </c>
      <c r="AH7" s="286">
        <f t="shared" ref="AH7:AJ10" si="4">AE7/(IF($H7="S1",($U7-$V7),($U7-$W7))*AllProps_CAM)</f>
        <v>1370.1627808463804</v>
      </c>
      <c r="AI7" s="195">
        <f t="shared" si="4"/>
        <v>1609.4333817849576</v>
      </c>
      <c r="AJ7" s="287">
        <f t="shared" si="4"/>
        <v>1848.7039827235344</v>
      </c>
      <c r="AK7" s="149"/>
      <c r="AL7" s="149"/>
      <c r="AM7" s="149"/>
    </row>
    <row r="8" spans="1:39" x14ac:dyDescent="0.35">
      <c r="A8" s="7"/>
      <c r="B8" s="7"/>
      <c r="C8" s="7" t="s">
        <v>434</v>
      </c>
      <c r="D8" s="7" t="s">
        <v>435</v>
      </c>
      <c r="E8" s="103">
        <f>1/80</f>
        <v>1.2500000000000001E-2</v>
      </c>
      <c r="F8" s="103">
        <f>1/120</f>
        <v>8.3333333333333332E-3</v>
      </c>
      <c r="G8" s="103">
        <v>0</v>
      </c>
      <c r="H8" s="103" t="s">
        <v>351</v>
      </c>
      <c r="I8" s="31">
        <v>2.92</v>
      </c>
      <c r="J8" s="31">
        <v>3.34</v>
      </c>
      <c r="K8" s="31">
        <v>3.76</v>
      </c>
      <c r="L8" s="31">
        <v>0.73</v>
      </c>
      <c r="M8" s="31">
        <v>0.83</v>
      </c>
      <c r="N8" s="31">
        <v>0.94</v>
      </c>
      <c r="O8" s="195">
        <f t="shared" si="0"/>
        <v>1575156.04</v>
      </c>
      <c r="P8" s="195">
        <f t="shared" si="0"/>
        <v>1801719.5799999998</v>
      </c>
      <c r="Q8" s="195">
        <f t="shared" si="0"/>
        <v>2028283.1199999999</v>
      </c>
      <c r="R8" s="286">
        <f t="shared" si="1"/>
        <v>663.89331272775166</v>
      </c>
      <c r="S8" s="195">
        <f t="shared" si="1"/>
        <v>759.38481661325</v>
      </c>
      <c r="T8" s="287">
        <f t="shared" si="1"/>
        <v>854.87632049874856</v>
      </c>
      <c r="U8" s="103">
        <f t="shared" si="2"/>
        <v>1.2500000000000001E-2</v>
      </c>
      <c r="V8" s="103">
        <f t="shared" si="2"/>
        <v>8.3333333333333332E-3</v>
      </c>
      <c r="W8" s="103">
        <f t="shared" si="2"/>
        <v>0</v>
      </c>
      <c r="X8" s="103" t="str">
        <f t="shared" si="2"/>
        <v>S1</v>
      </c>
      <c r="Y8" s="31">
        <v>1.86</v>
      </c>
      <c r="Z8" s="31">
        <v>2.2200000000000002</v>
      </c>
      <c r="AA8" s="31">
        <v>2.58</v>
      </c>
      <c r="AB8" s="31">
        <v>0.64</v>
      </c>
      <c r="AC8" s="31">
        <v>0.75</v>
      </c>
      <c r="AD8" s="31">
        <v>0.87</v>
      </c>
      <c r="AE8" s="195">
        <f t="shared" si="3"/>
        <v>252740.52000000002</v>
      </c>
      <c r="AF8" s="195">
        <f t="shared" si="3"/>
        <v>301658.04000000004</v>
      </c>
      <c r="AG8" s="195">
        <f t="shared" si="3"/>
        <v>350575.56</v>
      </c>
      <c r="AH8" s="286">
        <f t="shared" si="4"/>
        <v>419.85218655259763</v>
      </c>
      <c r="AI8" s="195">
        <f t="shared" si="4"/>
        <v>501.11390007890685</v>
      </c>
      <c r="AJ8" s="287">
        <f t="shared" si="4"/>
        <v>582.37561360521602</v>
      </c>
    </row>
    <row r="9" spans="1:39" x14ac:dyDescent="0.35">
      <c r="A9" s="7"/>
      <c r="B9" s="7"/>
      <c r="C9" s="7"/>
      <c r="D9" s="7" t="s">
        <v>436</v>
      </c>
      <c r="E9" s="103">
        <f>1/80</f>
        <v>1.2500000000000001E-2</v>
      </c>
      <c r="F9" s="103">
        <f>1/120</f>
        <v>8.3333333333333332E-3</v>
      </c>
      <c r="G9" s="103">
        <v>0</v>
      </c>
      <c r="H9" s="103" t="s">
        <v>351</v>
      </c>
      <c r="I9" s="105">
        <v>0.02</v>
      </c>
      <c r="J9" s="105">
        <v>2.3E-2</v>
      </c>
      <c r="K9" s="105">
        <v>2.5000000000000001E-2</v>
      </c>
      <c r="L9" s="105">
        <v>1E-3</v>
      </c>
      <c r="M9" s="105">
        <v>2E-3</v>
      </c>
      <c r="N9" s="105">
        <v>3.0000000000000001E-3</v>
      </c>
      <c r="O9" s="195">
        <f t="shared" ref="O9:Q10" si="5">NHHProps_SSW*AvgNHHBill_SSW*IF($H9="S1",I9,(I9+L9))</f>
        <v>2653338.2400000002</v>
      </c>
      <c r="P9" s="195">
        <f t="shared" si="5"/>
        <v>3051338.9759999998</v>
      </c>
      <c r="Q9" s="195">
        <f t="shared" si="5"/>
        <v>3316672.8000000003</v>
      </c>
      <c r="R9" s="286">
        <f t="shared" si="1"/>
        <v>1118.3231814549765</v>
      </c>
      <c r="S9" s="195">
        <f t="shared" si="1"/>
        <v>1286.0716586732228</v>
      </c>
      <c r="T9" s="287">
        <f t="shared" si="1"/>
        <v>1397.9039768187206</v>
      </c>
      <c r="U9" s="103">
        <f t="shared" si="2"/>
        <v>1.2500000000000001E-2</v>
      </c>
      <c r="V9" s="103">
        <f t="shared" si="2"/>
        <v>8.3333333333333332E-3</v>
      </c>
      <c r="W9" s="103">
        <f t="shared" si="2"/>
        <v>0</v>
      </c>
      <c r="X9" s="103" t="str">
        <f t="shared" si="2"/>
        <v>S1</v>
      </c>
      <c r="Y9" s="105">
        <v>8.7999999999999995E-2</v>
      </c>
      <c r="Z9" s="105">
        <v>0.109</v>
      </c>
      <c r="AA9" s="105">
        <v>0.129</v>
      </c>
      <c r="AB9" s="105">
        <v>7.0000000000000001E-3</v>
      </c>
      <c r="AC9" s="105">
        <v>8.0000000000000002E-3</v>
      </c>
      <c r="AD9" s="105">
        <v>0.01</v>
      </c>
      <c r="AE9" s="195">
        <f t="shared" ref="AE9:AG10" si="6">NHHProps_CAM*AvgNHHBill_CAM*IF($H9="S1",Y9,(Y9+AB9))</f>
        <v>3871211.5199999996</v>
      </c>
      <c r="AF9" s="195">
        <f t="shared" si="6"/>
        <v>4795023.3600000003</v>
      </c>
      <c r="AG9" s="195">
        <f t="shared" si="6"/>
        <v>5674844.1600000001</v>
      </c>
      <c r="AH9" s="286">
        <f t="shared" si="4"/>
        <v>6430.8509821836433</v>
      </c>
      <c r="AI9" s="195">
        <f t="shared" si="4"/>
        <v>7965.4858756592866</v>
      </c>
      <c r="AJ9" s="287">
        <f t="shared" si="4"/>
        <v>9427.0429170646603</v>
      </c>
    </row>
    <row r="10" spans="1:39" x14ac:dyDescent="0.35">
      <c r="A10" s="7"/>
      <c r="B10" s="7"/>
      <c r="C10" s="7"/>
      <c r="D10" s="7" t="s">
        <v>437</v>
      </c>
      <c r="E10" s="103">
        <f>1/80</f>
        <v>1.2500000000000001E-2</v>
      </c>
      <c r="F10" s="103">
        <f>1/120</f>
        <v>8.3333333333333332E-3</v>
      </c>
      <c r="G10" s="103">
        <v>0</v>
      </c>
      <c r="H10" s="103" t="s">
        <v>351</v>
      </c>
      <c r="I10" s="105">
        <v>0.01</v>
      </c>
      <c r="J10" s="105">
        <v>1.2E-2</v>
      </c>
      <c r="K10" s="105">
        <v>1.4E-2</v>
      </c>
      <c r="L10" s="105">
        <v>2E-3</v>
      </c>
      <c r="M10" s="105">
        <v>1E-3</v>
      </c>
      <c r="N10" s="105">
        <v>1E-3</v>
      </c>
      <c r="O10" s="195">
        <f t="shared" si="5"/>
        <v>1326669.1200000001</v>
      </c>
      <c r="P10" s="195">
        <f t="shared" si="5"/>
        <v>1592002.9440000001</v>
      </c>
      <c r="Q10" s="195">
        <f t="shared" si="5"/>
        <v>1857336.7679999999</v>
      </c>
      <c r="R10" s="286">
        <f t="shared" si="1"/>
        <v>559.16159072748826</v>
      </c>
      <c r="S10" s="195">
        <f t="shared" si="1"/>
        <v>670.99390887298591</v>
      </c>
      <c r="T10" s="287">
        <f t="shared" si="1"/>
        <v>782.82622701848345</v>
      </c>
      <c r="U10" s="103">
        <f t="shared" si="2"/>
        <v>1.2500000000000001E-2</v>
      </c>
      <c r="V10" s="103">
        <f t="shared" si="2"/>
        <v>8.3333333333333332E-3</v>
      </c>
      <c r="W10" s="103">
        <f t="shared" si="2"/>
        <v>0</v>
      </c>
      <c r="X10" s="103" t="str">
        <f t="shared" si="2"/>
        <v>S1</v>
      </c>
      <c r="Y10" s="105">
        <v>6.0000000000000001E-3</v>
      </c>
      <c r="Z10" s="105">
        <v>8.9999999999999993E-3</v>
      </c>
      <c r="AA10" s="105">
        <v>1.2E-2</v>
      </c>
      <c r="AB10" s="105">
        <v>3.0000000000000001E-3</v>
      </c>
      <c r="AC10" s="105">
        <v>3.0000000000000001E-3</v>
      </c>
      <c r="AD10" s="105">
        <v>3.0000000000000001E-3</v>
      </c>
      <c r="AE10" s="195">
        <f t="shared" si="6"/>
        <v>263946.23999999999</v>
      </c>
      <c r="AF10" s="195">
        <f t="shared" si="6"/>
        <v>395919.35999999999</v>
      </c>
      <c r="AG10" s="195">
        <f t="shared" si="6"/>
        <v>527892.47999999998</v>
      </c>
      <c r="AH10" s="286">
        <f t="shared" si="4"/>
        <v>438.46711242161206</v>
      </c>
      <c r="AI10" s="195">
        <f t="shared" si="4"/>
        <v>657.70066863241811</v>
      </c>
      <c r="AJ10" s="287">
        <f t="shared" si="4"/>
        <v>876.93422484322411</v>
      </c>
    </row>
    <row r="11" spans="1:39" x14ac:dyDescent="0.35">
      <c r="A11" s="7"/>
      <c r="B11" s="7"/>
      <c r="C11" s="7"/>
      <c r="D11" s="7" t="s">
        <v>438</v>
      </c>
      <c r="E11" s="150">
        <f>E8</f>
        <v>1.2500000000000001E-2</v>
      </c>
      <c r="F11" s="150">
        <f>F8</f>
        <v>8.3333333333333332E-3</v>
      </c>
      <c r="G11" s="150">
        <f>G8</f>
        <v>0</v>
      </c>
      <c r="H11" s="112"/>
      <c r="I11" s="151">
        <f t="shared" ref="I11:W11" si="7">I8</f>
        <v>2.92</v>
      </c>
      <c r="J11" s="151">
        <f t="shared" si="7"/>
        <v>3.34</v>
      </c>
      <c r="K11" s="151">
        <f t="shared" si="7"/>
        <v>3.76</v>
      </c>
      <c r="L11" s="151">
        <f t="shared" si="7"/>
        <v>0.73</v>
      </c>
      <c r="M11" s="151">
        <f t="shared" si="7"/>
        <v>0.83</v>
      </c>
      <c r="N11" s="151">
        <f t="shared" si="7"/>
        <v>0.94</v>
      </c>
      <c r="O11" s="197">
        <f t="shared" si="7"/>
        <v>1575156.04</v>
      </c>
      <c r="P11" s="197">
        <f t="shared" si="7"/>
        <v>1801719.5799999998</v>
      </c>
      <c r="Q11" s="197">
        <f t="shared" si="7"/>
        <v>2028283.1199999999</v>
      </c>
      <c r="R11" s="288">
        <f t="shared" si="7"/>
        <v>663.89331272775166</v>
      </c>
      <c r="S11" s="198">
        <f t="shared" si="7"/>
        <v>759.38481661325</v>
      </c>
      <c r="T11" s="289">
        <f t="shared" si="7"/>
        <v>854.87632049874856</v>
      </c>
      <c r="U11" s="150">
        <f t="shared" si="7"/>
        <v>1.2500000000000001E-2</v>
      </c>
      <c r="V11" s="150">
        <f t="shared" si="7"/>
        <v>8.3333333333333332E-3</v>
      </c>
      <c r="W11" s="150">
        <f t="shared" si="7"/>
        <v>0</v>
      </c>
      <c r="X11" s="150"/>
      <c r="Y11" s="151">
        <f t="shared" ref="Y11:AJ11" si="8">Y8</f>
        <v>1.86</v>
      </c>
      <c r="Z11" s="151">
        <f t="shared" si="8"/>
        <v>2.2200000000000002</v>
      </c>
      <c r="AA11" s="151">
        <f t="shared" si="8"/>
        <v>2.58</v>
      </c>
      <c r="AB11" s="151">
        <f t="shared" si="8"/>
        <v>0.64</v>
      </c>
      <c r="AC11" s="151">
        <f t="shared" si="8"/>
        <v>0.75</v>
      </c>
      <c r="AD11" s="151">
        <f t="shared" si="8"/>
        <v>0.87</v>
      </c>
      <c r="AE11" s="197">
        <f t="shared" si="8"/>
        <v>252740.52000000002</v>
      </c>
      <c r="AF11" s="197">
        <f t="shared" si="8"/>
        <v>301658.04000000004</v>
      </c>
      <c r="AG11" s="197">
        <f t="shared" si="8"/>
        <v>350575.56</v>
      </c>
      <c r="AH11" s="288">
        <f t="shared" si="8"/>
        <v>419.85218655259763</v>
      </c>
      <c r="AI11" s="198">
        <f t="shared" si="8"/>
        <v>501.11390007890685</v>
      </c>
      <c r="AJ11" s="289">
        <f t="shared" si="8"/>
        <v>582.37561360521602</v>
      </c>
    </row>
    <row r="12" spans="1:39" x14ac:dyDescent="0.35">
      <c r="A12" s="7"/>
      <c r="B12" s="7"/>
      <c r="C12" s="7"/>
      <c r="D12" s="7" t="s">
        <v>439</v>
      </c>
      <c r="E12" s="150">
        <f>E10</f>
        <v>1.2500000000000001E-2</v>
      </c>
      <c r="F12" s="150">
        <f>F10</f>
        <v>8.3333333333333332E-3</v>
      </c>
      <c r="G12" s="150">
        <f>G10</f>
        <v>0</v>
      </c>
      <c r="H12" s="112"/>
      <c r="I12" s="150">
        <f t="shared" ref="I12:W12" si="9">I10</f>
        <v>0.01</v>
      </c>
      <c r="J12" s="150">
        <f t="shared" si="9"/>
        <v>1.2E-2</v>
      </c>
      <c r="K12" s="150">
        <f t="shared" si="9"/>
        <v>1.4E-2</v>
      </c>
      <c r="L12" s="150">
        <f t="shared" si="9"/>
        <v>2E-3</v>
      </c>
      <c r="M12" s="150">
        <f t="shared" si="9"/>
        <v>1E-3</v>
      </c>
      <c r="N12" s="150">
        <f t="shared" si="9"/>
        <v>1E-3</v>
      </c>
      <c r="O12" s="197">
        <f t="shared" si="9"/>
        <v>1326669.1200000001</v>
      </c>
      <c r="P12" s="197">
        <f t="shared" si="9"/>
        <v>1592002.9440000001</v>
      </c>
      <c r="Q12" s="197">
        <f t="shared" si="9"/>
        <v>1857336.7679999999</v>
      </c>
      <c r="R12" s="288">
        <f t="shared" si="9"/>
        <v>559.16159072748826</v>
      </c>
      <c r="S12" s="198">
        <f t="shared" si="9"/>
        <v>670.99390887298591</v>
      </c>
      <c r="T12" s="289">
        <f t="shared" si="9"/>
        <v>782.82622701848345</v>
      </c>
      <c r="U12" s="150">
        <f t="shared" si="9"/>
        <v>1.2500000000000001E-2</v>
      </c>
      <c r="V12" s="150">
        <f t="shared" si="9"/>
        <v>8.3333333333333332E-3</v>
      </c>
      <c r="W12" s="150">
        <f t="shared" si="9"/>
        <v>0</v>
      </c>
      <c r="X12" s="150"/>
      <c r="Y12" s="150">
        <f t="shared" ref="Y12:AJ12" si="10">Y10</f>
        <v>6.0000000000000001E-3</v>
      </c>
      <c r="Z12" s="150">
        <f t="shared" si="10"/>
        <v>8.9999999999999993E-3</v>
      </c>
      <c r="AA12" s="150">
        <f t="shared" si="10"/>
        <v>1.2E-2</v>
      </c>
      <c r="AB12" s="150">
        <f t="shared" si="10"/>
        <v>3.0000000000000001E-3</v>
      </c>
      <c r="AC12" s="150">
        <f t="shared" si="10"/>
        <v>3.0000000000000001E-3</v>
      </c>
      <c r="AD12" s="150">
        <f t="shared" si="10"/>
        <v>3.0000000000000001E-3</v>
      </c>
      <c r="AE12" s="197">
        <f t="shared" si="10"/>
        <v>263946.23999999999</v>
      </c>
      <c r="AF12" s="197">
        <f t="shared" si="10"/>
        <v>395919.35999999999</v>
      </c>
      <c r="AG12" s="197">
        <f t="shared" si="10"/>
        <v>527892.47999999998</v>
      </c>
      <c r="AH12" s="288">
        <f t="shared" si="10"/>
        <v>438.46711242161206</v>
      </c>
      <c r="AI12" s="198">
        <f t="shared" si="10"/>
        <v>657.70066863241811</v>
      </c>
      <c r="AJ12" s="289">
        <f t="shared" si="10"/>
        <v>876.93422484322411</v>
      </c>
      <c r="AK12" s="111"/>
      <c r="AL12" s="111"/>
      <c r="AM12" s="111"/>
    </row>
    <row r="13" spans="1:39" x14ac:dyDescent="0.35">
      <c r="A13" s="7"/>
      <c r="B13" s="7"/>
      <c r="C13" s="7"/>
      <c r="D13" s="7" t="s">
        <v>440</v>
      </c>
      <c r="E13" s="134"/>
      <c r="F13" s="134"/>
      <c r="G13" s="134"/>
      <c r="H13" s="134"/>
      <c r="I13" s="152"/>
      <c r="J13" s="139"/>
      <c r="K13" s="153"/>
      <c r="L13" s="154"/>
      <c r="M13" s="155"/>
      <c r="N13" s="155"/>
      <c r="O13" s="197">
        <f t="shared" ref="O13:T13" si="11">SUM(O11:O12)</f>
        <v>2901825.16</v>
      </c>
      <c r="P13" s="197">
        <f t="shared" si="11"/>
        <v>3393722.5240000002</v>
      </c>
      <c r="Q13" s="197">
        <f t="shared" si="11"/>
        <v>3885619.8879999998</v>
      </c>
      <c r="R13" s="290">
        <f t="shared" si="11"/>
        <v>1223.05490345524</v>
      </c>
      <c r="S13" s="291">
        <f t="shared" si="11"/>
        <v>1430.3787254862359</v>
      </c>
      <c r="T13" s="292">
        <f t="shared" si="11"/>
        <v>1637.702547517232</v>
      </c>
      <c r="U13" s="134"/>
      <c r="V13" s="134"/>
      <c r="W13" s="134"/>
      <c r="X13" s="134"/>
      <c r="Y13" s="152"/>
      <c r="Z13" s="139"/>
      <c r="AA13" s="156"/>
      <c r="AB13" s="154"/>
      <c r="AC13" s="152"/>
      <c r="AD13" s="139"/>
      <c r="AE13" s="197">
        <f t="shared" ref="AE13:AJ13" si="12">SUM(AE11:AE12)</f>
        <v>516686.76</v>
      </c>
      <c r="AF13" s="197">
        <f t="shared" si="12"/>
        <v>697577.4</v>
      </c>
      <c r="AG13" s="197">
        <f t="shared" si="12"/>
        <v>878468.04</v>
      </c>
      <c r="AH13" s="290">
        <f t="shared" si="12"/>
        <v>858.31929897420969</v>
      </c>
      <c r="AI13" s="291">
        <f t="shared" si="12"/>
        <v>1158.8145687113249</v>
      </c>
      <c r="AJ13" s="292">
        <f t="shared" si="12"/>
        <v>1459.3098384484401</v>
      </c>
      <c r="AK13" s="111"/>
      <c r="AL13" s="111"/>
      <c r="AM13" s="111"/>
    </row>
    <row r="14" spans="1:39" x14ac:dyDescent="0.35">
      <c r="A14" s="7" t="s">
        <v>129</v>
      </c>
      <c r="B14" s="7" t="s">
        <v>441</v>
      </c>
      <c r="C14" s="7" t="s">
        <v>432</v>
      </c>
      <c r="D14" s="7" t="s">
        <v>433</v>
      </c>
      <c r="E14" s="103">
        <f>1/15</f>
        <v>6.6666666666666666E-2</v>
      </c>
      <c r="F14" s="103">
        <f>1/25</f>
        <v>0.04</v>
      </c>
      <c r="G14" s="103">
        <v>0</v>
      </c>
      <c r="H14" s="103" t="s">
        <v>351</v>
      </c>
      <c r="I14" s="31">
        <v>1.28</v>
      </c>
      <c r="J14" s="31">
        <v>1.56</v>
      </c>
      <c r="K14" s="31">
        <v>1.84</v>
      </c>
      <c r="L14" s="31">
        <v>4.12</v>
      </c>
      <c r="M14" s="31">
        <v>5.0199999999999996</v>
      </c>
      <c r="N14" s="31">
        <v>5.92</v>
      </c>
      <c r="O14" s="195">
        <f t="shared" ref="O14:Q15" si="13">HHProps_SSW*IF($H14="S1",I14,(I14+L14))</f>
        <v>690479.36</v>
      </c>
      <c r="P14" s="195">
        <f t="shared" si="13"/>
        <v>841521.72</v>
      </c>
      <c r="Q14" s="195">
        <f t="shared" si="13"/>
        <v>992564.08000000007</v>
      </c>
      <c r="R14" s="286">
        <f t="shared" ref="R14:T17" si="14">O14/(IF($H14="S1",($E14-$F14),($E14-$G14))*AllProps_SSW)</f>
        <v>45.472144707380252</v>
      </c>
      <c r="S14" s="195">
        <f t="shared" si="14"/>
        <v>55.419176362119686</v>
      </c>
      <c r="T14" s="287">
        <f t="shared" si="14"/>
        <v>65.366208016859119</v>
      </c>
      <c r="U14" s="103">
        <f>1/45</f>
        <v>2.2222222222222223E-2</v>
      </c>
      <c r="V14" s="103">
        <f>1/65</f>
        <v>1.5384615384615385E-2</v>
      </c>
      <c r="W14" s="103">
        <v>0</v>
      </c>
      <c r="X14" s="103" t="str">
        <f>H14</f>
        <v>S1</v>
      </c>
      <c r="Y14" s="31">
        <v>2.86</v>
      </c>
      <c r="Z14" s="31">
        <v>3.34</v>
      </c>
      <c r="AA14" s="31">
        <v>3.83</v>
      </c>
      <c r="AB14" s="31">
        <v>1.87</v>
      </c>
      <c r="AC14" s="31">
        <v>2.1800000000000002</v>
      </c>
      <c r="AD14" s="31">
        <v>2.5</v>
      </c>
      <c r="AE14" s="195">
        <f t="shared" ref="AE14:AG15" si="15">HHProps_CAM*IF($H14="S1",Y14,(Y14+AB14))</f>
        <v>388622.51999999996</v>
      </c>
      <c r="AF14" s="195">
        <f t="shared" si="15"/>
        <v>453845.88</v>
      </c>
      <c r="AG14" s="195">
        <f t="shared" si="15"/>
        <v>520428.06</v>
      </c>
      <c r="AH14" s="286">
        <f t="shared" ref="AH14:AJ17" si="16">AE14/(IF($H14="S1",($U14-$V14),($U14-$W14))*AllProps_CAM)</f>
        <v>393.39980584741886</v>
      </c>
      <c r="AI14" s="195">
        <f t="shared" si="16"/>
        <v>459.42494808754515</v>
      </c>
      <c r="AJ14" s="287">
        <f t="shared" si="16"/>
        <v>526.82561412434063</v>
      </c>
      <c r="AK14" s="149"/>
      <c r="AL14" s="149"/>
      <c r="AM14" s="149"/>
    </row>
    <row r="15" spans="1:39" x14ac:dyDescent="0.35">
      <c r="A15" s="7"/>
      <c r="B15" s="7"/>
      <c r="C15" s="7" t="s">
        <v>434</v>
      </c>
      <c r="D15" s="7" t="s">
        <v>435</v>
      </c>
      <c r="E15" s="103">
        <f>34600/552000</f>
        <v>6.2681159420289859E-2</v>
      </c>
      <c r="F15" s="103">
        <f>17300/552000</f>
        <v>3.1340579710144929E-2</v>
      </c>
      <c r="G15" s="103">
        <v>0</v>
      </c>
      <c r="H15" s="103" t="s">
        <v>351</v>
      </c>
      <c r="I15" s="31">
        <v>0.81</v>
      </c>
      <c r="J15" s="31">
        <v>0.93</v>
      </c>
      <c r="K15" s="31">
        <v>1.05</v>
      </c>
      <c r="L15" s="31">
        <v>2.0499999999999998</v>
      </c>
      <c r="M15" s="31">
        <v>2.33</v>
      </c>
      <c r="N15" s="31">
        <v>2.62</v>
      </c>
      <c r="O15" s="195">
        <f t="shared" si="13"/>
        <v>436943.97000000003</v>
      </c>
      <c r="P15" s="195">
        <f t="shared" si="13"/>
        <v>501676.41000000003</v>
      </c>
      <c r="Q15" s="195">
        <f t="shared" si="13"/>
        <v>566408.85</v>
      </c>
      <c r="R15" s="286">
        <f t="shared" si="14"/>
        <v>24.483990054869771</v>
      </c>
      <c r="S15" s="195">
        <f t="shared" si="14"/>
        <v>28.111247840776404</v>
      </c>
      <c r="T15" s="287">
        <f t="shared" si="14"/>
        <v>31.738505626683036</v>
      </c>
      <c r="U15" s="103">
        <f>2800/131000</f>
        <v>2.1374045801526718E-2</v>
      </c>
      <c r="V15" s="103">
        <f>1400/131000</f>
        <v>1.0687022900763359E-2</v>
      </c>
      <c r="W15" s="103">
        <v>0</v>
      </c>
      <c r="X15" s="103" t="str">
        <f>H15</f>
        <v>S1</v>
      </c>
      <c r="Y15" s="31">
        <v>2.94</v>
      </c>
      <c r="Z15" s="31">
        <v>3.51</v>
      </c>
      <c r="AA15" s="31">
        <v>4.09</v>
      </c>
      <c r="AB15" s="31">
        <v>0.88</v>
      </c>
      <c r="AC15" s="31">
        <v>1.05</v>
      </c>
      <c r="AD15" s="31">
        <v>1.22</v>
      </c>
      <c r="AE15" s="195">
        <f t="shared" si="15"/>
        <v>399493.08</v>
      </c>
      <c r="AF15" s="195">
        <f t="shared" si="15"/>
        <v>476945.81999999995</v>
      </c>
      <c r="AG15" s="195">
        <f t="shared" si="15"/>
        <v>555757.38</v>
      </c>
      <c r="AH15" s="286">
        <f t="shared" si="16"/>
        <v>258.73955313758876</v>
      </c>
      <c r="AI15" s="195">
        <f t="shared" si="16"/>
        <v>308.90334405201918</v>
      </c>
      <c r="AJ15" s="287">
        <f t="shared" si="16"/>
        <v>359.94720147372044</v>
      </c>
    </row>
    <row r="16" spans="1:39" x14ac:dyDescent="0.35">
      <c r="A16" s="7"/>
      <c r="B16" s="7"/>
      <c r="C16" s="7"/>
      <c r="D16" s="7" t="s">
        <v>436</v>
      </c>
      <c r="E16" s="103">
        <f>1/15</f>
        <v>6.6666666666666666E-2</v>
      </c>
      <c r="F16" s="103">
        <f>1/25</f>
        <v>0.04</v>
      </c>
      <c r="G16" s="103">
        <v>0</v>
      </c>
      <c r="H16" s="103" t="s">
        <v>351</v>
      </c>
      <c r="I16" s="105">
        <v>5.0000000000000001E-3</v>
      </c>
      <c r="J16" s="105">
        <v>5.0000000000000001E-3</v>
      </c>
      <c r="K16" s="105">
        <v>6.0000000000000001E-3</v>
      </c>
      <c r="L16" s="105">
        <v>6.0000000000000001E-3</v>
      </c>
      <c r="M16" s="105">
        <v>7.0000000000000001E-3</v>
      </c>
      <c r="N16" s="105">
        <v>7.0000000000000001E-3</v>
      </c>
      <c r="O16" s="195">
        <f t="shared" ref="O16:Q17" si="17">NHHProps_SSW*AvgNHHBill_SSW*IF($H16="S1",I16,(I16+L16))</f>
        <v>663334.56000000006</v>
      </c>
      <c r="P16" s="195">
        <f t="shared" si="17"/>
        <v>663334.56000000006</v>
      </c>
      <c r="Q16" s="195">
        <f t="shared" si="17"/>
        <v>796001.47200000007</v>
      </c>
      <c r="R16" s="286">
        <f t="shared" si="14"/>
        <v>43.684499275585026</v>
      </c>
      <c r="S16" s="195">
        <f t="shared" si="14"/>
        <v>43.684499275585026</v>
      </c>
      <c r="T16" s="287">
        <f t="shared" si="14"/>
        <v>52.421399130702028</v>
      </c>
      <c r="U16" s="103">
        <f>1/45</f>
        <v>2.2222222222222223E-2</v>
      </c>
      <c r="V16" s="103">
        <f>1/65</f>
        <v>1.5384615384615385E-2</v>
      </c>
      <c r="W16" s="103">
        <v>0</v>
      </c>
      <c r="X16" s="103" t="str">
        <f>H16</f>
        <v>S1</v>
      </c>
      <c r="Y16" s="105">
        <v>2.5999999999999999E-2</v>
      </c>
      <c r="Z16" s="105">
        <v>3.3000000000000002E-2</v>
      </c>
      <c r="AA16" s="105">
        <v>0.04</v>
      </c>
      <c r="AB16" s="105">
        <v>3.3000000000000002E-2</v>
      </c>
      <c r="AC16" s="105">
        <v>3.9E-2</v>
      </c>
      <c r="AD16" s="105">
        <v>4.3999999999999997E-2</v>
      </c>
      <c r="AE16" s="195">
        <f t="shared" ref="AE16:AG17" si="18">NHHProps_CAM*AvgNHHBill_CAM*IF($H16="S1",Y16,(Y16+AB16))</f>
        <v>1143767.04</v>
      </c>
      <c r="AF16" s="195">
        <f t="shared" si="18"/>
        <v>1451704.3200000001</v>
      </c>
      <c r="AG16" s="195">
        <f t="shared" si="18"/>
        <v>1759641.6000000001</v>
      </c>
      <c r="AH16" s="286">
        <f t="shared" si="16"/>
        <v>1157.8272187383197</v>
      </c>
      <c r="AI16" s="195">
        <f t="shared" si="16"/>
        <v>1469.5499314755596</v>
      </c>
      <c r="AJ16" s="287">
        <f t="shared" si="16"/>
        <v>1781.2726442127996</v>
      </c>
    </row>
    <row r="17" spans="1:39" x14ac:dyDescent="0.35">
      <c r="A17" s="7"/>
      <c r="B17" s="7"/>
      <c r="C17" s="7"/>
      <c r="D17" s="7" t="s">
        <v>437</v>
      </c>
      <c r="E17" s="103">
        <f>2320/37000</f>
        <v>6.2702702702702701E-2</v>
      </c>
      <c r="F17" s="103">
        <f>1160/37000</f>
        <v>3.135135135135135E-2</v>
      </c>
      <c r="G17" s="103">
        <v>0</v>
      </c>
      <c r="H17" s="103" t="s">
        <v>351</v>
      </c>
      <c r="I17" s="105">
        <v>5.0000000000000001E-3</v>
      </c>
      <c r="J17" s="105">
        <v>5.0000000000000001E-3</v>
      </c>
      <c r="K17" s="105">
        <v>6.0000000000000001E-3</v>
      </c>
      <c r="L17" s="105">
        <v>8.9999999999999993E-3</v>
      </c>
      <c r="M17" s="105">
        <v>1.0999999999999999E-2</v>
      </c>
      <c r="N17" s="105">
        <v>1.2999999999999999E-2</v>
      </c>
      <c r="O17" s="195">
        <f t="shared" si="17"/>
        <v>663334.56000000006</v>
      </c>
      <c r="P17" s="195">
        <f t="shared" si="17"/>
        <v>663334.56000000006</v>
      </c>
      <c r="Q17" s="195">
        <f t="shared" si="17"/>
        <v>796001.47200000007</v>
      </c>
      <c r="R17" s="286">
        <f t="shared" si="14"/>
        <v>37.156930418313699</v>
      </c>
      <c r="S17" s="195">
        <f t="shared" si="14"/>
        <v>37.156930418313699</v>
      </c>
      <c r="T17" s="287">
        <f t="shared" si="14"/>
        <v>44.588316501976436</v>
      </c>
      <c r="U17" s="103">
        <f>210/10000</f>
        <v>2.1000000000000001E-2</v>
      </c>
      <c r="V17" s="103">
        <f>110/10000</f>
        <v>1.0999999999999999E-2</v>
      </c>
      <c r="W17" s="103">
        <v>0</v>
      </c>
      <c r="X17" s="103" t="str">
        <f>H17</f>
        <v>S1</v>
      </c>
      <c r="Y17" s="105">
        <v>6.0000000000000001E-3</v>
      </c>
      <c r="Z17" s="105">
        <v>8.0000000000000002E-3</v>
      </c>
      <c r="AA17" s="105">
        <v>8.9999999999999993E-3</v>
      </c>
      <c r="AB17" s="105">
        <v>3.0000000000000001E-3</v>
      </c>
      <c r="AC17" s="105">
        <v>3.0000000000000001E-3</v>
      </c>
      <c r="AD17" s="105">
        <v>3.0000000000000001E-3</v>
      </c>
      <c r="AE17" s="195">
        <f t="shared" si="18"/>
        <v>263946.23999999999</v>
      </c>
      <c r="AF17" s="195">
        <f t="shared" si="18"/>
        <v>351928.32000000001</v>
      </c>
      <c r="AG17" s="195">
        <f t="shared" si="18"/>
        <v>395919.35999999999</v>
      </c>
      <c r="AH17" s="286">
        <f t="shared" si="16"/>
        <v>182.6946301756717</v>
      </c>
      <c r="AI17" s="195">
        <f t="shared" si="16"/>
        <v>243.59284023422896</v>
      </c>
      <c r="AJ17" s="287">
        <f t="shared" si="16"/>
        <v>274.04194526350756</v>
      </c>
    </row>
    <row r="18" spans="1:39" x14ac:dyDescent="0.35">
      <c r="A18" s="7"/>
      <c r="B18" s="7"/>
      <c r="C18" s="7"/>
      <c r="D18" s="7" t="s">
        <v>438</v>
      </c>
      <c r="E18" s="150">
        <f>E15</f>
        <v>6.2681159420289859E-2</v>
      </c>
      <c r="F18" s="150">
        <f>F15</f>
        <v>3.1340579710144929E-2</v>
      </c>
      <c r="G18" s="150">
        <f>G15</f>
        <v>0</v>
      </c>
      <c r="H18" s="150"/>
      <c r="I18" s="151">
        <f t="shared" ref="I18:W18" si="19">I15</f>
        <v>0.81</v>
      </c>
      <c r="J18" s="151">
        <f t="shared" si="19"/>
        <v>0.93</v>
      </c>
      <c r="K18" s="151">
        <f t="shared" si="19"/>
        <v>1.05</v>
      </c>
      <c r="L18" s="151">
        <f t="shared" si="19"/>
        <v>2.0499999999999998</v>
      </c>
      <c r="M18" s="151">
        <f t="shared" si="19"/>
        <v>2.33</v>
      </c>
      <c r="N18" s="151">
        <f t="shared" si="19"/>
        <v>2.62</v>
      </c>
      <c r="O18" s="197">
        <f t="shared" si="19"/>
        <v>436943.97000000003</v>
      </c>
      <c r="P18" s="197">
        <f t="shared" si="19"/>
        <v>501676.41000000003</v>
      </c>
      <c r="Q18" s="197">
        <f t="shared" si="19"/>
        <v>566408.85</v>
      </c>
      <c r="R18" s="288">
        <f t="shared" si="19"/>
        <v>24.483990054869771</v>
      </c>
      <c r="S18" s="198">
        <f t="shared" si="19"/>
        <v>28.111247840776404</v>
      </c>
      <c r="T18" s="289">
        <f t="shared" si="19"/>
        <v>31.738505626683036</v>
      </c>
      <c r="U18" s="150">
        <f t="shared" si="19"/>
        <v>2.1374045801526718E-2</v>
      </c>
      <c r="V18" s="150">
        <f t="shared" si="19"/>
        <v>1.0687022900763359E-2</v>
      </c>
      <c r="W18" s="150">
        <f t="shared" si="19"/>
        <v>0</v>
      </c>
      <c r="X18" s="150"/>
      <c r="Y18" s="151">
        <f t="shared" ref="Y18:AJ18" si="20">Y15</f>
        <v>2.94</v>
      </c>
      <c r="Z18" s="151">
        <f t="shared" si="20"/>
        <v>3.51</v>
      </c>
      <c r="AA18" s="151">
        <f t="shared" si="20"/>
        <v>4.09</v>
      </c>
      <c r="AB18" s="151">
        <f t="shared" si="20"/>
        <v>0.88</v>
      </c>
      <c r="AC18" s="151">
        <f t="shared" si="20"/>
        <v>1.05</v>
      </c>
      <c r="AD18" s="151">
        <f t="shared" si="20"/>
        <v>1.22</v>
      </c>
      <c r="AE18" s="197">
        <f t="shared" si="20"/>
        <v>399493.08</v>
      </c>
      <c r="AF18" s="197">
        <f t="shared" si="20"/>
        <v>476945.81999999995</v>
      </c>
      <c r="AG18" s="197">
        <f t="shared" si="20"/>
        <v>555757.38</v>
      </c>
      <c r="AH18" s="288">
        <f t="shared" si="20"/>
        <v>258.73955313758876</v>
      </c>
      <c r="AI18" s="198">
        <f t="shared" si="20"/>
        <v>308.90334405201918</v>
      </c>
      <c r="AJ18" s="289">
        <f t="shared" si="20"/>
        <v>359.94720147372044</v>
      </c>
    </row>
    <row r="19" spans="1:39" x14ac:dyDescent="0.35">
      <c r="A19" s="7"/>
      <c r="B19" s="7"/>
      <c r="C19" s="7"/>
      <c r="D19" s="7" t="s">
        <v>439</v>
      </c>
      <c r="E19" s="150">
        <f>E17</f>
        <v>6.2702702702702701E-2</v>
      </c>
      <c r="F19" s="150">
        <f>F17</f>
        <v>3.135135135135135E-2</v>
      </c>
      <c r="G19" s="150">
        <f>G17</f>
        <v>0</v>
      </c>
      <c r="H19" s="150"/>
      <c r="I19" s="150">
        <f t="shared" ref="I19:W19" si="21">I17</f>
        <v>5.0000000000000001E-3</v>
      </c>
      <c r="J19" s="150">
        <f t="shared" si="21"/>
        <v>5.0000000000000001E-3</v>
      </c>
      <c r="K19" s="150">
        <f t="shared" si="21"/>
        <v>6.0000000000000001E-3</v>
      </c>
      <c r="L19" s="150">
        <f t="shared" si="21"/>
        <v>8.9999999999999993E-3</v>
      </c>
      <c r="M19" s="150">
        <f t="shared" si="21"/>
        <v>1.0999999999999999E-2</v>
      </c>
      <c r="N19" s="150">
        <f t="shared" si="21"/>
        <v>1.2999999999999999E-2</v>
      </c>
      <c r="O19" s="197">
        <f t="shared" si="21"/>
        <v>663334.56000000006</v>
      </c>
      <c r="P19" s="197">
        <f t="shared" si="21"/>
        <v>663334.56000000006</v>
      </c>
      <c r="Q19" s="197">
        <f t="shared" si="21"/>
        <v>796001.47200000007</v>
      </c>
      <c r="R19" s="288">
        <f t="shared" si="21"/>
        <v>37.156930418313699</v>
      </c>
      <c r="S19" s="198">
        <f t="shared" si="21"/>
        <v>37.156930418313699</v>
      </c>
      <c r="T19" s="289">
        <f t="shared" si="21"/>
        <v>44.588316501976436</v>
      </c>
      <c r="U19" s="150">
        <f t="shared" si="21"/>
        <v>2.1000000000000001E-2</v>
      </c>
      <c r="V19" s="150">
        <f t="shared" si="21"/>
        <v>1.0999999999999999E-2</v>
      </c>
      <c r="W19" s="150">
        <f t="shared" si="21"/>
        <v>0</v>
      </c>
      <c r="X19" s="150"/>
      <c r="Y19" s="150">
        <f t="shared" ref="Y19:AJ19" si="22">Y17</f>
        <v>6.0000000000000001E-3</v>
      </c>
      <c r="Z19" s="150">
        <f t="shared" si="22"/>
        <v>8.0000000000000002E-3</v>
      </c>
      <c r="AA19" s="150">
        <f t="shared" si="22"/>
        <v>8.9999999999999993E-3</v>
      </c>
      <c r="AB19" s="150">
        <f t="shared" si="22"/>
        <v>3.0000000000000001E-3</v>
      </c>
      <c r="AC19" s="150">
        <f t="shared" si="22"/>
        <v>3.0000000000000001E-3</v>
      </c>
      <c r="AD19" s="150">
        <f t="shared" si="22"/>
        <v>3.0000000000000001E-3</v>
      </c>
      <c r="AE19" s="197">
        <f t="shared" si="22"/>
        <v>263946.23999999999</v>
      </c>
      <c r="AF19" s="197">
        <f t="shared" si="22"/>
        <v>351928.32000000001</v>
      </c>
      <c r="AG19" s="197">
        <f t="shared" si="22"/>
        <v>395919.35999999999</v>
      </c>
      <c r="AH19" s="288">
        <f t="shared" si="22"/>
        <v>182.6946301756717</v>
      </c>
      <c r="AI19" s="198">
        <f t="shared" si="22"/>
        <v>243.59284023422896</v>
      </c>
      <c r="AJ19" s="289">
        <f t="shared" si="22"/>
        <v>274.04194526350756</v>
      </c>
      <c r="AK19" s="111"/>
      <c r="AL19" s="111"/>
      <c r="AM19" s="111"/>
    </row>
    <row r="20" spans="1:39" x14ac:dyDescent="0.35">
      <c r="A20" s="7"/>
      <c r="B20" s="7"/>
      <c r="C20" s="7"/>
      <c r="D20" s="7" t="s">
        <v>440</v>
      </c>
      <c r="E20" s="134"/>
      <c r="F20" s="134"/>
      <c r="G20" s="134"/>
      <c r="H20" s="134"/>
      <c r="I20" s="152"/>
      <c r="J20" s="139"/>
      <c r="K20" s="153"/>
      <c r="L20" s="154"/>
      <c r="M20" s="155"/>
      <c r="N20" s="155"/>
      <c r="O20" s="197">
        <f t="shared" ref="O20:T20" si="23">SUM(O18:O19)</f>
        <v>1100278.53</v>
      </c>
      <c r="P20" s="197">
        <f t="shared" si="23"/>
        <v>1165010.9700000002</v>
      </c>
      <c r="Q20" s="197">
        <f t="shared" si="23"/>
        <v>1362410.3220000002</v>
      </c>
      <c r="R20" s="290">
        <f t="shared" si="23"/>
        <v>61.640920473183471</v>
      </c>
      <c r="S20" s="291">
        <f t="shared" si="23"/>
        <v>65.268178259090107</v>
      </c>
      <c r="T20" s="292">
        <f t="shared" si="23"/>
        <v>76.326822128659472</v>
      </c>
      <c r="U20" s="134"/>
      <c r="V20" s="134"/>
      <c r="W20" s="134"/>
      <c r="X20" s="134"/>
      <c r="Y20" s="152"/>
      <c r="Z20" s="139"/>
      <c r="AA20" s="156"/>
      <c r="AB20" s="154"/>
      <c r="AC20" s="152"/>
      <c r="AD20" s="139"/>
      <c r="AE20" s="197">
        <f t="shared" ref="AE20:AJ20" si="24">SUM(AE18:AE19)</f>
        <v>663439.32000000007</v>
      </c>
      <c r="AF20" s="197">
        <f t="shared" si="24"/>
        <v>828874.1399999999</v>
      </c>
      <c r="AG20" s="197">
        <f t="shared" si="24"/>
        <v>951676.74</v>
      </c>
      <c r="AH20" s="290">
        <f t="shared" si="24"/>
        <v>441.43418331326046</v>
      </c>
      <c r="AI20" s="291">
        <f t="shared" si="24"/>
        <v>552.49618428624808</v>
      </c>
      <c r="AJ20" s="292">
        <f t="shared" si="24"/>
        <v>633.989146737228</v>
      </c>
      <c r="AK20" s="111"/>
      <c r="AL20" s="111"/>
      <c r="AM20" s="111"/>
    </row>
    <row r="21" spans="1:39" x14ac:dyDescent="0.35">
      <c r="A21" s="7" t="s">
        <v>131</v>
      </c>
      <c r="B21" s="7" t="s">
        <v>442</v>
      </c>
      <c r="C21" s="7" t="s">
        <v>432</v>
      </c>
      <c r="D21" s="7" t="s">
        <v>433</v>
      </c>
      <c r="E21" s="103">
        <f>1/60</f>
        <v>1.6666666666666666E-2</v>
      </c>
      <c r="F21" s="104">
        <f>1/90</f>
        <v>1.1111111111111112E-2</v>
      </c>
      <c r="G21" s="104">
        <v>0</v>
      </c>
      <c r="H21" s="103" t="s">
        <v>351</v>
      </c>
      <c r="I21" s="31">
        <v>1.28</v>
      </c>
      <c r="J21" s="31">
        <v>1.56</v>
      </c>
      <c r="K21" s="31">
        <v>1.84</v>
      </c>
      <c r="L21" s="31">
        <v>2.39</v>
      </c>
      <c r="M21" s="31">
        <v>2.91</v>
      </c>
      <c r="N21" s="31">
        <v>3.43</v>
      </c>
      <c r="O21" s="195">
        <f t="shared" ref="O21:Q22" si="25">HHProps_SSW*IF($H21="S1",I21,(I21+L21))</f>
        <v>690479.36</v>
      </c>
      <c r="P21" s="195">
        <f t="shared" si="25"/>
        <v>841521.72</v>
      </c>
      <c r="Q21" s="195">
        <f t="shared" si="25"/>
        <v>992564.08000000007</v>
      </c>
      <c r="R21" s="286">
        <f t="shared" ref="R21:T24" si="26">O21/(IF($H21="S1",($E21-$F21),($E21-$G21))*AllProps_SSW)</f>
        <v>218.26629459542525</v>
      </c>
      <c r="S21" s="195">
        <f t="shared" si="26"/>
        <v>266.0120465381745</v>
      </c>
      <c r="T21" s="287">
        <f t="shared" si="26"/>
        <v>313.75779848092384</v>
      </c>
      <c r="U21" s="103">
        <f>1/70</f>
        <v>1.4285714285714285E-2</v>
      </c>
      <c r="V21" s="103">
        <f>1/100</f>
        <v>0.01</v>
      </c>
      <c r="W21" s="103">
        <v>0</v>
      </c>
      <c r="X21" s="103" t="str">
        <f>H21</f>
        <v>S1</v>
      </c>
      <c r="Y21" s="31">
        <v>1.73</v>
      </c>
      <c r="Z21" s="31">
        <v>2.02</v>
      </c>
      <c r="AA21" s="31">
        <v>2.3199999999999998</v>
      </c>
      <c r="AB21" s="31">
        <v>1.5</v>
      </c>
      <c r="AC21" s="31">
        <v>1.75</v>
      </c>
      <c r="AD21" s="31">
        <v>2.0099999999999998</v>
      </c>
      <c r="AE21" s="195">
        <f t="shared" ref="AE21:AG22" si="27">HHProps_CAM*IF($H21="S1",Y21,(Y21+AB21))</f>
        <v>235075.86</v>
      </c>
      <c r="AF21" s="195">
        <f t="shared" si="27"/>
        <v>274481.64</v>
      </c>
      <c r="AG21" s="195">
        <f t="shared" si="27"/>
        <v>315246.24</v>
      </c>
      <c r="AH21" s="286">
        <f t="shared" ref="AH21:AJ24" si="28">AE21/(IF($H21="S1",($U21-$V21),($U21-$W21))*AllProps_CAM)</f>
        <v>379.66024336558831</v>
      </c>
      <c r="AI21" s="195">
        <f t="shared" si="28"/>
        <v>443.30271190664075</v>
      </c>
      <c r="AJ21" s="287">
        <f t="shared" si="28"/>
        <v>509.13974832841905</v>
      </c>
      <c r="AK21" s="111"/>
      <c r="AL21" s="111"/>
      <c r="AM21" s="111"/>
    </row>
    <row r="22" spans="1:39" x14ac:dyDescent="0.35">
      <c r="A22" s="7"/>
      <c r="B22" s="7"/>
      <c r="C22" s="7" t="s">
        <v>434</v>
      </c>
      <c r="D22" s="7" t="s">
        <v>435</v>
      </c>
      <c r="E22" s="103">
        <f>8400/552000</f>
        <v>1.5217391304347827E-2</v>
      </c>
      <c r="F22" s="104">
        <f>4700/552000</f>
        <v>8.5144927536231884E-3</v>
      </c>
      <c r="G22" s="104">
        <v>0</v>
      </c>
      <c r="H22" s="103" t="s">
        <v>351</v>
      </c>
      <c r="I22" s="31">
        <v>1.07</v>
      </c>
      <c r="J22" s="31">
        <v>1.23</v>
      </c>
      <c r="K22" s="31">
        <v>1.38</v>
      </c>
      <c r="L22" s="31">
        <v>1.5</v>
      </c>
      <c r="M22" s="31">
        <v>1.72</v>
      </c>
      <c r="N22" s="31">
        <v>1.93</v>
      </c>
      <c r="O22" s="195">
        <f t="shared" si="25"/>
        <v>577197.59000000008</v>
      </c>
      <c r="P22" s="195">
        <f t="shared" si="25"/>
        <v>663507.51</v>
      </c>
      <c r="Q22" s="195">
        <f t="shared" si="25"/>
        <v>744423.05999999994</v>
      </c>
      <c r="R22" s="286">
        <f t="shared" si="26"/>
        <v>151.22560557413894</v>
      </c>
      <c r="S22" s="195">
        <f t="shared" si="26"/>
        <v>173.83878023943072</v>
      </c>
      <c r="T22" s="287">
        <f t="shared" si="26"/>
        <v>195.03863148814176</v>
      </c>
      <c r="U22" s="103">
        <f>2800/131000</f>
        <v>2.1374045801526718E-2</v>
      </c>
      <c r="V22" s="103">
        <f>1400/131000</f>
        <v>1.0687022900763359E-2</v>
      </c>
      <c r="W22" s="103">
        <v>0</v>
      </c>
      <c r="X22" s="103" t="str">
        <f>H22</f>
        <v>S1</v>
      </c>
      <c r="Y22" s="31">
        <v>1.98</v>
      </c>
      <c r="Z22" s="31">
        <v>2.36</v>
      </c>
      <c r="AA22" s="31">
        <v>2.74</v>
      </c>
      <c r="AB22" s="31">
        <v>2.44</v>
      </c>
      <c r="AC22" s="31">
        <v>2.91</v>
      </c>
      <c r="AD22" s="31">
        <v>3.4</v>
      </c>
      <c r="AE22" s="195">
        <f t="shared" si="27"/>
        <v>269046.36</v>
      </c>
      <c r="AF22" s="195">
        <f t="shared" si="27"/>
        <v>320681.51999999996</v>
      </c>
      <c r="AG22" s="195">
        <f t="shared" si="27"/>
        <v>372316.68000000005</v>
      </c>
      <c r="AH22" s="286">
        <f t="shared" si="28"/>
        <v>174.25316843960059</v>
      </c>
      <c r="AI22" s="195">
        <f t="shared" si="28"/>
        <v>207.69569571588755</v>
      </c>
      <c r="AJ22" s="287">
        <f t="shared" si="28"/>
        <v>241.1382229921746</v>
      </c>
      <c r="AK22" s="111"/>
      <c r="AL22" s="111"/>
      <c r="AM22" s="111"/>
    </row>
    <row r="23" spans="1:39" x14ac:dyDescent="0.35">
      <c r="A23" s="7"/>
      <c r="B23" s="7"/>
      <c r="C23" s="7"/>
      <c r="D23" s="7" t="s">
        <v>436</v>
      </c>
      <c r="E23" s="103">
        <f>1/60</f>
        <v>1.6666666666666666E-2</v>
      </c>
      <c r="F23" s="104">
        <f>1/90</f>
        <v>1.1111111111111112E-2</v>
      </c>
      <c r="G23" s="104">
        <v>0</v>
      </c>
      <c r="H23" s="103" t="s">
        <v>351</v>
      </c>
      <c r="I23" s="105">
        <v>6.0000000000000001E-3</v>
      </c>
      <c r="J23" s="105">
        <v>7.0000000000000001E-3</v>
      </c>
      <c r="K23" s="105">
        <v>7.0000000000000001E-3</v>
      </c>
      <c r="L23" s="105">
        <v>0.01</v>
      </c>
      <c r="M23" s="105">
        <v>1.0999999999999999E-2</v>
      </c>
      <c r="N23" s="105">
        <v>1.2E-2</v>
      </c>
      <c r="O23" s="195">
        <f t="shared" ref="O23:Q24" si="29">NHHProps_SSW*AvgNHHBill_SSW*IF($H23="S1",I23,(I23+L23))</f>
        <v>796001.47200000007</v>
      </c>
      <c r="P23" s="195">
        <f t="shared" si="29"/>
        <v>928668.38399999996</v>
      </c>
      <c r="Q23" s="195">
        <f t="shared" si="29"/>
        <v>928668.38399999996</v>
      </c>
      <c r="R23" s="286">
        <f t="shared" si="26"/>
        <v>251.62271582736977</v>
      </c>
      <c r="S23" s="195">
        <f t="shared" si="26"/>
        <v>293.55983513193138</v>
      </c>
      <c r="T23" s="287">
        <f t="shared" si="26"/>
        <v>293.55983513193138</v>
      </c>
      <c r="U23" s="103">
        <f>1/70</f>
        <v>1.4285714285714285E-2</v>
      </c>
      <c r="V23" s="103">
        <f>1/100</f>
        <v>0.01</v>
      </c>
      <c r="W23" s="103">
        <v>0</v>
      </c>
      <c r="X23" s="103" t="str">
        <f>H23</f>
        <v>S1</v>
      </c>
      <c r="Y23" s="105">
        <v>1.7000000000000001E-2</v>
      </c>
      <c r="Z23" s="105">
        <v>2.1999999999999999E-2</v>
      </c>
      <c r="AA23" s="105">
        <v>2.5999999999999999E-2</v>
      </c>
      <c r="AB23" s="105">
        <v>4.4999999999999998E-2</v>
      </c>
      <c r="AC23" s="105">
        <v>5.6000000000000001E-2</v>
      </c>
      <c r="AD23" s="105">
        <v>6.8000000000000005E-2</v>
      </c>
      <c r="AE23" s="195">
        <f t="shared" ref="AE23:AG24" si="30">NHHProps_CAM*AvgNHHBill_CAM*IF($H23="S1",Y23,(Y23+AB23))</f>
        <v>747847.68000000005</v>
      </c>
      <c r="AF23" s="195">
        <f t="shared" si="30"/>
        <v>967802.87999999989</v>
      </c>
      <c r="AG23" s="195">
        <f t="shared" si="30"/>
        <v>1143767.04</v>
      </c>
      <c r="AH23" s="286">
        <f t="shared" si="28"/>
        <v>1207.814499494719</v>
      </c>
      <c r="AI23" s="195">
        <f t="shared" si="28"/>
        <v>1563.0540581696362</v>
      </c>
      <c r="AJ23" s="287">
        <f t="shared" si="28"/>
        <v>1847.2457051095703</v>
      </c>
      <c r="AK23" s="111"/>
      <c r="AL23" s="111"/>
      <c r="AM23" s="111"/>
    </row>
    <row r="24" spans="1:39" x14ac:dyDescent="0.35">
      <c r="A24" s="7"/>
      <c r="B24" s="7"/>
      <c r="C24" s="7"/>
      <c r="D24" s="7" t="s">
        <v>437</v>
      </c>
      <c r="E24" s="103">
        <f>2320/37000</f>
        <v>6.2702702702702701E-2</v>
      </c>
      <c r="F24" s="104">
        <f>1160/37000</f>
        <v>3.135135135135135E-2</v>
      </c>
      <c r="G24" s="104">
        <v>0</v>
      </c>
      <c r="H24" s="103" t="s">
        <v>351</v>
      </c>
      <c r="I24" s="105">
        <v>6.0000000000000001E-3</v>
      </c>
      <c r="J24" s="105">
        <v>8.0000000000000002E-3</v>
      </c>
      <c r="K24" s="105">
        <v>8.9999999999999993E-3</v>
      </c>
      <c r="L24" s="105">
        <v>4.0000000000000001E-3</v>
      </c>
      <c r="M24" s="105">
        <v>4.0000000000000001E-3</v>
      </c>
      <c r="N24" s="105">
        <v>5.0000000000000001E-3</v>
      </c>
      <c r="O24" s="195">
        <f t="shared" si="29"/>
        <v>796001.47200000007</v>
      </c>
      <c r="P24" s="195">
        <f t="shared" si="29"/>
        <v>1061335.2960000001</v>
      </c>
      <c r="Q24" s="195">
        <f t="shared" si="29"/>
        <v>1194002.2079999999</v>
      </c>
      <c r="R24" s="286">
        <f t="shared" si="26"/>
        <v>44.588316501976436</v>
      </c>
      <c r="S24" s="195">
        <f t="shared" si="26"/>
        <v>59.451088669301917</v>
      </c>
      <c r="T24" s="287">
        <f t="shared" si="26"/>
        <v>66.88247475296464</v>
      </c>
      <c r="U24" s="103">
        <f>210/10000</f>
        <v>2.1000000000000001E-2</v>
      </c>
      <c r="V24" s="103">
        <f>110/10000</f>
        <v>1.0999999999999999E-2</v>
      </c>
      <c r="W24" s="103">
        <v>0</v>
      </c>
      <c r="X24" s="103" t="str">
        <f>H24</f>
        <v>S1</v>
      </c>
      <c r="Y24" s="105">
        <v>4.0000000000000001E-3</v>
      </c>
      <c r="Z24" s="105">
        <v>5.0000000000000001E-3</v>
      </c>
      <c r="AA24" s="105">
        <v>5.0000000000000001E-3</v>
      </c>
      <c r="AB24" s="105">
        <v>2E-3</v>
      </c>
      <c r="AC24" s="105">
        <v>3.0000000000000001E-3</v>
      </c>
      <c r="AD24" s="105">
        <v>3.0000000000000001E-3</v>
      </c>
      <c r="AE24" s="195">
        <f t="shared" si="30"/>
        <v>175964.16</v>
      </c>
      <c r="AF24" s="195">
        <f t="shared" si="30"/>
        <v>219955.20000000001</v>
      </c>
      <c r="AG24" s="195">
        <f t="shared" si="30"/>
        <v>219955.20000000001</v>
      </c>
      <c r="AH24" s="286">
        <f t="shared" si="28"/>
        <v>121.79642011711448</v>
      </c>
      <c r="AI24" s="195">
        <f t="shared" si="28"/>
        <v>152.24552514639311</v>
      </c>
      <c r="AJ24" s="287">
        <f t="shared" si="28"/>
        <v>152.24552514639311</v>
      </c>
      <c r="AK24" s="111"/>
      <c r="AL24" s="111"/>
      <c r="AM24" s="111"/>
    </row>
    <row r="25" spans="1:39" x14ac:dyDescent="0.35">
      <c r="A25" s="7"/>
      <c r="B25" s="7"/>
      <c r="C25" s="7"/>
      <c r="D25" s="7" t="s">
        <v>438</v>
      </c>
      <c r="E25" s="150">
        <f>E22</f>
        <v>1.5217391304347827E-2</v>
      </c>
      <c r="F25" s="150">
        <f>F22</f>
        <v>8.5144927536231884E-3</v>
      </c>
      <c r="G25" s="150">
        <f>G22</f>
        <v>0</v>
      </c>
      <c r="H25" s="150"/>
      <c r="I25" s="151">
        <f t="shared" ref="I25:W25" si="31">I22</f>
        <v>1.07</v>
      </c>
      <c r="J25" s="151">
        <f t="shared" si="31"/>
        <v>1.23</v>
      </c>
      <c r="K25" s="151">
        <f t="shared" si="31"/>
        <v>1.38</v>
      </c>
      <c r="L25" s="151">
        <f t="shared" si="31"/>
        <v>1.5</v>
      </c>
      <c r="M25" s="151">
        <f t="shared" si="31"/>
        <v>1.72</v>
      </c>
      <c r="N25" s="151">
        <f t="shared" si="31"/>
        <v>1.93</v>
      </c>
      <c r="O25" s="197">
        <f t="shared" si="31"/>
        <v>577197.59000000008</v>
      </c>
      <c r="P25" s="197">
        <f t="shared" si="31"/>
        <v>663507.51</v>
      </c>
      <c r="Q25" s="197">
        <f t="shared" si="31"/>
        <v>744423.05999999994</v>
      </c>
      <c r="R25" s="288">
        <f t="shared" si="31"/>
        <v>151.22560557413894</v>
      </c>
      <c r="S25" s="198">
        <f t="shared" si="31"/>
        <v>173.83878023943072</v>
      </c>
      <c r="T25" s="289">
        <f t="shared" si="31"/>
        <v>195.03863148814176</v>
      </c>
      <c r="U25" s="150">
        <f t="shared" si="31"/>
        <v>2.1374045801526718E-2</v>
      </c>
      <c r="V25" s="150">
        <f t="shared" si="31"/>
        <v>1.0687022900763359E-2</v>
      </c>
      <c r="W25" s="150">
        <f t="shared" si="31"/>
        <v>0</v>
      </c>
      <c r="X25" s="150"/>
      <c r="Y25" s="151">
        <f t="shared" ref="Y25:AJ25" si="32">Y22</f>
        <v>1.98</v>
      </c>
      <c r="Z25" s="151">
        <f t="shared" si="32"/>
        <v>2.36</v>
      </c>
      <c r="AA25" s="151">
        <f t="shared" si="32"/>
        <v>2.74</v>
      </c>
      <c r="AB25" s="151">
        <f t="shared" si="32"/>
        <v>2.44</v>
      </c>
      <c r="AC25" s="151">
        <f t="shared" si="32"/>
        <v>2.91</v>
      </c>
      <c r="AD25" s="151">
        <f t="shared" si="32"/>
        <v>3.4</v>
      </c>
      <c r="AE25" s="197">
        <f t="shared" si="32"/>
        <v>269046.36</v>
      </c>
      <c r="AF25" s="197">
        <f t="shared" si="32"/>
        <v>320681.51999999996</v>
      </c>
      <c r="AG25" s="197">
        <f t="shared" si="32"/>
        <v>372316.68000000005</v>
      </c>
      <c r="AH25" s="288">
        <f t="shared" si="32"/>
        <v>174.25316843960059</v>
      </c>
      <c r="AI25" s="198">
        <f t="shared" si="32"/>
        <v>207.69569571588755</v>
      </c>
      <c r="AJ25" s="289">
        <f t="shared" si="32"/>
        <v>241.1382229921746</v>
      </c>
      <c r="AK25" s="111"/>
      <c r="AL25" s="111"/>
      <c r="AM25" s="111"/>
    </row>
    <row r="26" spans="1:39" x14ac:dyDescent="0.35">
      <c r="A26" s="7"/>
      <c r="B26" s="7"/>
      <c r="C26" s="7"/>
      <c r="D26" s="7" t="s">
        <v>439</v>
      </c>
      <c r="E26" s="150">
        <f>E24</f>
        <v>6.2702702702702701E-2</v>
      </c>
      <c r="F26" s="150">
        <f>F24</f>
        <v>3.135135135135135E-2</v>
      </c>
      <c r="G26" s="150">
        <f>G24</f>
        <v>0</v>
      </c>
      <c r="H26" s="150"/>
      <c r="I26" s="150">
        <f t="shared" ref="I26:W26" si="33">I24</f>
        <v>6.0000000000000001E-3</v>
      </c>
      <c r="J26" s="150">
        <f t="shared" si="33"/>
        <v>8.0000000000000002E-3</v>
      </c>
      <c r="K26" s="150">
        <f t="shared" si="33"/>
        <v>8.9999999999999993E-3</v>
      </c>
      <c r="L26" s="150">
        <f t="shared" si="33"/>
        <v>4.0000000000000001E-3</v>
      </c>
      <c r="M26" s="150">
        <f t="shared" si="33"/>
        <v>4.0000000000000001E-3</v>
      </c>
      <c r="N26" s="150">
        <f t="shared" si="33"/>
        <v>5.0000000000000001E-3</v>
      </c>
      <c r="O26" s="197">
        <f t="shared" si="33"/>
        <v>796001.47200000007</v>
      </c>
      <c r="P26" s="197">
        <f t="shared" si="33"/>
        <v>1061335.2960000001</v>
      </c>
      <c r="Q26" s="197">
        <f t="shared" si="33"/>
        <v>1194002.2079999999</v>
      </c>
      <c r="R26" s="288">
        <f t="shared" si="33"/>
        <v>44.588316501976436</v>
      </c>
      <c r="S26" s="198">
        <f t="shared" si="33"/>
        <v>59.451088669301917</v>
      </c>
      <c r="T26" s="289">
        <f t="shared" si="33"/>
        <v>66.88247475296464</v>
      </c>
      <c r="U26" s="150">
        <f t="shared" si="33"/>
        <v>2.1000000000000001E-2</v>
      </c>
      <c r="V26" s="150">
        <f t="shared" si="33"/>
        <v>1.0999999999999999E-2</v>
      </c>
      <c r="W26" s="150">
        <f t="shared" si="33"/>
        <v>0</v>
      </c>
      <c r="X26" s="150"/>
      <c r="Y26" s="150">
        <f t="shared" ref="Y26:AJ26" si="34">Y24</f>
        <v>4.0000000000000001E-3</v>
      </c>
      <c r="Z26" s="150">
        <f t="shared" si="34"/>
        <v>5.0000000000000001E-3</v>
      </c>
      <c r="AA26" s="150">
        <f t="shared" si="34"/>
        <v>5.0000000000000001E-3</v>
      </c>
      <c r="AB26" s="150">
        <f t="shared" si="34"/>
        <v>2E-3</v>
      </c>
      <c r="AC26" s="150">
        <f t="shared" si="34"/>
        <v>3.0000000000000001E-3</v>
      </c>
      <c r="AD26" s="150">
        <f t="shared" si="34"/>
        <v>3.0000000000000001E-3</v>
      </c>
      <c r="AE26" s="197">
        <f t="shared" si="34"/>
        <v>175964.16</v>
      </c>
      <c r="AF26" s="197">
        <f t="shared" si="34"/>
        <v>219955.20000000001</v>
      </c>
      <c r="AG26" s="197">
        <f t="shared" si="34"/>
        <v>219955.20000000001</v>
      </c>
      <c r="AH26" s="288">
        <f t="shared" si="34"/>
        <v>121.79642011711448</v>
      </c>
      <c r="AI26" s="198">
        <f t="shared" si="34"/>
        <v>152.24552514639311</v>
      </c>
      <c r="AJ26" s="289">
        <f t="shared" si="34"/>
        <v>152.24552514639311</v>
      </c>
      <c r="AK26" s="111"/>
      <c r="AL26" s="111"/>
      <c r="AM26" s="111"/>
    </row>
    <row r="27" spans="1:39" x14ac:dyDescent="0.35">
      <c r="A27" s="7"/>
      <c r="B27" s="7"/>
      <c r="C27" s="7"/>
      <c r="D27" s="7" t="s">
        <v>440</v>
      </c>
      <c r="E27" s="134"/>
      <c r="F27" s="134"/>
      <c r="G27" s="134"/>
      <c r="H27" s="134"/>
      <c r="I27" s="152"/>
      <c r="J27" s="139"/>
      <c r="K27" s="153"/>
      <c r="L27" s="154"/>
      <c r="M27" s="155"/>
      <c r="N27" s="155"/>
      <c r="O27" s="197">
        <f t="shared" ref="O27:T27" si="35">SUM(O25:O26)</f>
        <v>1373199.0620000002</v>
      </c>
      <c r="P27" s="197">
        <f t="shared" si="35"/>
        <v>1724842.8060000001</v>
      </c>
      <c r="Q27" s="197">
        <f t="shared" si="35"/>
        <v>1938425.2679999997</v>
      </c>
      <c r="R27" s="290">
        <f t="shared" si="35"/>
        <v>195.81392207611538</v>
      </c>
      <c r="S27" s="291">
        <f t="shared" si="35"/>
        <v>233.28986890873264</v>
      </c>
      <c r="T27" s="292">
        <f t="shared" si="35"/>
        <v>261.92110624110637</v>
      </c>
      <c r="U27" s="134"/>
      <c r="V27" s="134"/>
      <c r="W27" s="134"/>
      <c r="X27" s="134"/>
      <c r="Y27" s="152"/>
      <c r="Z27" s="139"/>
      <c r="AA27" s="156"/>
      <c r="AB27" s="154"/>
      <c r="AC27" s="152"/>
      <c r="AD27" s="139"/>
      <c r="AE27" s="197">
        <f t="shared" ref="AE27:AJ27" si="36">SUM(AE25:AE26)</f>
        <v>445010.52</v>
      </c>
      <c r="AF27" s="197">
        <f t="shared" si="36"/>
        <v>540636.72</v>
      </c>
      <c r="AG27" s="197">
        <f t="shared" si="36"/>
        <v>592271.88000000012</v>
      </c>
      <c r="AH27" s="290">
        <f t="shared" si="36"/>
        <v>296.04958855671509</v>
      </c>
      <c r="AI27" s="291">
        <f t="shared" si="36"/>
        <v>359.94122086228066</v>
      </c>
      <c r="AJ27" s="292">
        <f t="shared" si="36"/>
        <v>393.38374813856774</v>
      </c>
      <c r="AK27" s="111"/>
      <c r="AL27" s="111"/>
      <c r="AM27" s="111"/>
    </row>
    <row r="28" spans="1:39" x14ac:dyDescent="0.35">
      <c r="A28" s="7" t="s">
        <v>133</v>
      </c>
      <c r="B28" s="7" t="s">
        <v>443</v>
      </c>
      <c r="C28" s="7" t="s">
        <v>432</v>
      </c>
      <c r="D28" s="7" t="s">
        <v>433</v>
      </c>
      <c r="E28" s="103">
        <f>1/3</f>
        <v>0.33333333333333331</v>
      </c>
      <c r="F28" s="103"/>
      <c r="G28" s="103">
        <v>0</v>
      </c>
      <c r="H28" s="103" t="s">
        <v>352</v>
      </c>
      <c r="I28" s="31">
        <v>7.18</v>
      </c>
      <c r="J28" s="31">
        <v>8.73</v>
      </c>
      <c r="K28" s="31">
        <v>10.29</v>
      </c>
      <c r="L28" s="31">
        <v>5.1100000000000003</v>
      </c>
      <c r="M28" s="31">
        <v>4.57</v>
      </c>
      <c r="N28" s="31">
        <v>4.03</v>
      </c>
      <c r="O28" s="195">
        <f t="shared" ref="O28:Q29" si="37">HHProps_SSW*IF($H28="S1",I28,(I28+L28))</f>
        <v>6629680.7299999995</v>
      </c>
      <c r="P28" s="195">
        <f t="shared" si="37"/>
        <v>7174512.1000000006</v>
      </c>
      <c r="Q28" s="195">
        <f t="shared" si="37"/>
        <v>7724737.8399999999</v>
      </c>
      <c r="R28" s="286">
        <f t="shared" ref="R28:T31" si="38">O28/(IF($H28="S1",($E28-$F28),($E28-$G28))*AllProps_SSW)</f>
        <v>34.928291153356454</v>
      </c>
      <c r="S28" s="195">
        <f t="shared" si="38"/>
        <v>37.798720288009839</v>
      </c>
      <c r="T28" s="287">
        <f t="shared" si="38"/>
        <v>40.697569513105329</v>
      </c>
      <c r="U28" s="103">
        <f>1/3</f>
        <v>0.33333333333333331</v>
      </c>
      <c r="V28" s="103"/>
      <c r="W28" s="103">
        <v>0</v>
      </c>
      <c r="X28" s="103" t="str">
        <f>H28</f>
        <v>S2</v>
      </c>
      <c r="Y28" s="31">
        <v>8.5</v>
      </c>
      <c r="Z28" s="31">
        <v>9.9499999999999993</v>
      </c>
      <c r="AA28" s="31">
        <v>11.04</v>
      </c>
      <c r="AB28" s="31">
        <v>4.32</v>
      </c>
      <c r="AC28" s="31">
        <v>4.96</v>
      </c>
      <c r="AD28" s="31">
        <v>5.6</v>
      </c>
      <c r="AE28" s="195">
        <f t="shared" ref="AE28:AG29" si="39">HHProps_CAM*IF($H28="S1",Y28,(Y28+AB28))</f>
        <v>1742007.24</v>
      </c>
      <c r="AF28" s="195">
        <f t="shared" si="39"/>
        <v>2026000.62</v>
      </c>
      <c r="AG28" s="195">
        <f t="shared" si="39"/>
        <v>2261076.48</v>
      </c>
      <c r="AH28" s="286">
        <f t="shared" ref="AH28:AJ31" si="40">AE28/(IF($H28="S1",($U28-$V28),($U28-$W28))*AllProps_CAM)</f>
        <v>36.172748868308481</v>
      </c>
      <c r="AI28" s="195">
        <f t="shared" si="40"/>
        <v>42.069866273516347</v>
      </c>
      <c r="AJ28" s="287">
        <f t="shared" si="40"/>
        <v>46.951212259645331</v>
      </c>
      <c r="AK28" s="111"/>
      <c r="AL28" s="111"/>
      <c r="AM28" s="111"/>
    </row>
    <row r="29" spans="1:39" x14ac:dyDescent="0.35">
      <c r="A29" s="7"/>
      <c r="B29" s="7"/>
      <c r="C29" s="7" t="s">
        <v>434</v>
      </c>
      <c r="D29" s="7" t="s">
        <v>435</v>
      </c>
      <c r="E29" s="103">
        <f>1/3</f>
        <v>0.33333333333333331</v>
      </c>
      <c r="F29" s="103"/>
      <c r="G29" s="103">
        <v>0</v>
      </c>
      <c r="H29" s="103" t="s">
        <v>352</v>
      </c>
      <c r="I29" s="31">
        <v>5.0599999999999996</v>
      </c>
      <c r="J29" s="31">
        <v>5.78</v>
      </c>
      <c r="K29" s="31">
        <v>6.5</v>
      </c>
      <c r="L29" s="31">
        <v>2.84</v>
      </c>
      <c r="M29" s="31">
        <v>3.24</v>
      </c>
      <c r="N29" s="31">
        <v>3.64</v>
      </c>
      <c r="O29" s="195">
        <f t="shared" si="37"/>
        <v>4261552.3</v>
      </c>
      <c r="P29" s="195">
        <f t="shared" si="37"/>
        <v>4865721.74</v>
      </c>
      <c r="Q29" s="195">
        <f t="shared" si="37"/>
        <v>5469891.1800000006</v>
      </c>
      <c r="R29" s="286">
        <f t="shared" si="38"/>
        <v>22.451871449268999</v>
      </c>
      <c r="S29" s="195">
        <f t="shared" si="38"/>
        <v>25.634921578785622</v>
      </c>
      <c r="T29" s="287">
        <f t="shared" si="38"/>
        <v>28.817971708302242</v>
      </c>
      <c r="U29" s="103">
        <f>1/3</f>
        <v>0.33333333333333331</v>
      </c>
      <c r="V29" s="103"/>
      <c r="W29" s="103">
        <v>0</v>
      </c>
      <c r="X29" s="103" t="str">
        <f>H29</f>
        <v>S2</v>
      </c>
      <c r="Y29" s="31">
        <v>5.29</v>
      </c>
      <c r="Z29" s="31">
        <v>6.3</v>
      </c>
      <c r="AA29" s="31">
        <v>7.31</v>
      </c>
      <c r="AB29" s="31">
        <v>2.2200000000000002</v>
      </c>
      <c r="AC29" s="31">
        <v>2.65</v>
      </c>
      <c r="AD29" s="31">
        <v>3.08</v>
      </c>
      <c r="AE29" s="195">
        <f t="shared" si="39"/>
        <v>1020473.82</v>
      </c>
      <c r="AF29" s="195">
        <f t="shared" si="39"/>
        <v>1216143.8999999999</v>
      </c>
      <c r="AG29" s="195">
        <f t="shared" si="39"/>
        <v>1411813.98</v>
      </c>
      <c r="AH29" s="286">
        <f t="shared" si="40"/>
        <v>21.190120436895217</v>
      </c>
      <c r="AI29" s="195">
        <f t="shared" si="40"/>
        <v>25.25320611321068</v>
      </c>
      <c r="AJ29" s="287">
        <f t="shared" si="40"/>
        <v>29.316291789526144</v>
      </c>
      <c r="AK29" s="111"/>
      <c r="AL29" s="111"/>
      <c r="AM29" s="111"/>
    </row>
    <row r="30" spans="1:39" x14ac:dyDescent="0.35">
      <c r="A30" s="7"/>
      <c r="B30" s="7"/>
      <c r="C30" s="7"/>
      <c r="D30" s="7" t="s">
        <v>436</v>
      </c>
      <c r="E30" s="103">
        <f>1/3</f>
        <v>0.33333333333333331</v>
      </c>
      <c r="F30" s="103"/>
      <c r="G30" s="103">
        <v>0</v>
      </c>
      <c r="H30" s="103" t="s">
        <v>352</v>
      </c>
      <c r="I30" s="105">
        <v>2.8000000000000001E-2</v>
      </c>
      <c r="J30" s="105">
        <v>3.1E-2</v>
      </c>
      <c r="K30" s="105">
        <v>3.4000000000000002E-2</v>
      </c>
      <c r="L30" s="105">
        <v>1.2E-2</v>
      </c>
      <c r="M30" s="105">
        <v>1.2E-2</v>
      </c>
      <c r="N30" s="105">
        <v>1.2999999999999999E-2</v>
      </c>
      <c r="O30" s="195">
        <f t="shared" ref="O30:Q31" si="41">NHHProps_SSW*AvgNHHBill_SSW*IF($H30="S1",I30,(I30+L30))</f>
        <v>5306676.4800000004</v>
      </c>
      <c r="P30" s="195">
        <f t="shared" si="41"/>
        <v>5704677.2159999991</v>
      </c>
      <c r="Q30" s="195">
        <f t="shared" si="41"/>
        <v>6235344.8640000001</v>
      </c>
      <c r="R30" s="286">
        <f t="shared" si="38"/>
        <v>27.958079536374417</v>
      </c>
      <c r="S30" s="195">
        <f t="shared" si="38"/>
        <v>30.054935501602493</v>
      </c>
      <c r="T30" s="287">
        <f t="shared" si="38"/>
        <v>32.850743455239936</v>
      </c>
      <c r="U30" s="103">
        <f>1/3</f>
        <v>0.33333333333333331</v>
      </c>
      <c r="V30" s="103"/>
      <c r="W30" s="103">
        <v>0</v>
      </c>
      <c r="X30" s="103" t="str">
        <f>H30</f>
        <v>S2</v>
      </c>
      <c r="Y30" s="105">
        <v>0.112</v>
      </c>
      <c r="Z30" s="105">
        <v>0.13900000000000001</v>
      </c>
      <c r="AA30" s="105">
        <v>0.16600000000000001</v>
      </c>
      <c r="AB30" s="105">
        <v>0.03</v>
      </c>
      <c r="AC30" s="105">
        <v>3.5000000000000003E-2</v>
      </c>
      <c r="AD30" s="105">
        <v>4.1000000000000002E-2</v>
      </c>
      <c r="AE30" s="195">
        <f t="shared" ref="AE30:AG31" si="42">NHHProps_CAM*AvgNHHBill_CAM*IF($H30="S1",Y30,(Y30+AB30))</f>
        <v>6246727.6800000006</v>
      </c>
      <c r="AF30" s="195">
        <f t="shared" si="42"/>
        <v>7654440.9600000009</v>
      </c>
      <c r="AG30" s="195">
        <f t="shared" si="42"/>
        <v>9106145.2800000012</v>
      </c>
      <c r="AH30" s="286">
        <f t="shared" si="40"/>
        <v>129.71318742472695</v>
      </c>
      <c r="AI30" s="195">
        <f t="shared" si="40"/>
        <v>158.94432825283445</v>
      </c>
      <c r="AJ30" s="287">
        <f t="shared" si="40"/>
        <v>189.08894223182028</v>
      </c>
      <c r="AK30" s="111"/>
      <c r="AL30" s="111"/>
      <c r="AM30" s="111"/>
    </row>
    <row r="31" spans="1:39" x14ac:dyDescent="0.35">
      <c r="A31" s="7"/>
      <c r="B31" s="7"/>
      <c r="C31" s="7"/>
      <c r="D31" s="7" t="s">
        <v>437</v>
      </c>
      <c r="E31" s="103">
        <f>1/3</f>
        <v>0.33333333333333331</v>
      </c>
      <c r="F31" s="103"/>
      <c r="G31" s="103">
        <v>0</v>
      </c>
      <c r="H31" s="103" t="s">
        <v>352</v>
      </c>
      <c r="I31" s="105">
        <v>2.5000000000000001E-2</v>
      </c>
      <c r="J31" s="105">
        <v>2.8000000000000001E-2</v>
      </c>
      <c r="K31" s="105">
        <v>3.1E-2</v>
      </c>
      <c r="L31" s="105">
        <v>8.0000000000000002E-3</v>
      </c>
      <c r="M31" s="105">
        <v>8.9999999999999993E-3</v>
      </c>
      <c r="N31" s="105">
        <v>0.01</v>
      </c>
      <c r="O31" s="195">
        <f t="shared" si="41"/>
        <v>4378008.0959999999</v>
      </c>
      <c r="P31" s="195">
        <f t="shared" si="41"/>
        <v>4908675.7439999999</v>
      </c>
      <c r="Q31" s="195">
        <f t="shared" si="41"/>
        <v>5439343.392</v>
      </c>
      <c r="R31" s="286">
        <f t="shared" si="38"/>
        <v>23.065415617508894</v>
      </c>
      <c r="S31" s="195">
        <f t="shared" si="38"/>
        <v>25.861223571146333</v>
      </c>
      <c r="T31" s="287">
        <f t="shared" si="38"/>
        <v>28.657031524783775</v>
      </c>
      <c r="U31" s="103">
        <f>1/3</f>
        <v>0.33333333333333331</v>
      </c>
      <c r="V31" s="103"/>
      <c r="W31" s="103">
        <v>0</v>
      </c>
      <c r="X31" s="103" t="str">
        <f>H31</f>
        <v>S2</v>
      </c>
      <c r="Y31" s="105">
        <v>1.4E-2</v>
      </c>
      <c r="Z31" s="105">
        <v>1.7000000000000001E-2</v>
      </c>
      <c r="AA31" s="105">
        <v>0.02</v>
      </c>
      <c r="AB31" s="105">
        <v>4.0000000000000001E-3</v>
      </c>
      <c r="AC31" s="105">
        <v>4.0000000000000001E-3</v>
      </c>
      <c r="AD31" s="105">
        <v>5.0000000000000001E-3</v>
      </c>
      <c r="AE31" s="195">
        <f t="shared" si="42"/>
        <v>791838.72000000009</v>
      </c>
      <c r="AF31" s="195">
        <f t="shared" si="42"/>
        <v>923811.84000000008</v>
      </c>
      <c r="AG31" s="195">
        <f t="shared" si="42"/>
        <v>1099776</v>
      </c>
      <c r="AH31" s="286">
        <f t="shared" si="40"/>
        <v>16.442516715810459</v>
      </c>
      <c r="AI31" s="195">
        <f t="shared" si="40"/>
        <v>19.182936168445536</v>
      </c>
      <c r="AJ31" s="287">
        <f t="shared" si="40"/>
        <v>22.836828771958967</v>
      </c>
      <c r="AK31" s="111"/>
      <c r="AL31" s="111"/>
      <c r="AM31" s="111"/>
    </row>
    <row r="32" spans="1:39" x14ac:dyDescent="0.35">
      <c r="A32" s="7"/>
      <c r="B32" s="7"/>
      <c r="C32" s="7"/>
      <c r="D32" s="7" t="s">
        <v>438</v>
      </c>
      <c r="E32" s="150">
        <f>E29</f>
        <v>0.33333333333333331</v>
      </c>
      <c r="F32" s="150"/>
      <c r="G32" s="150">
        <f>G29</f>
        <v>0</v>
      </c>
      <c r="H32" s="150"/>
      <c r="I32" s="151">
        <f t="shared" ref="I32:U32" si="43">I29</f>
        <v>5.0599999999999996</v>
      </c>
      <c r="J32" s="151">
        <f t="shared" si="43"/>
        <v>5.78</v>
      </c>
      <c r="K32" s="151">
        <f t="shared" si="43"/>
        <v>6.5</v>
      </c>
      <c r="L32" s="151">
        <f t="shared" si="43"/>
        <v>2.84</v>
      </c>
      <c r="M32" s="151">
        <f t="shared" si="43"/>
        <v>3.24</v>
      </c>
      <c r="N32" s="151">
        <f t="shared" si="43"/>
        <v>3.64</v>
      </c>
      <c r="O32" s="197">
        <f t="shared" si="43"/>
        <v>4261552.3</v>
      </c>
      <c r="P32" s="197">
        <f t="shared" si="43"/>
        <v>4865721.74</v>
      </c>
      <c r="Q32" s="197">
        <f t="shared" si="43"/>
        <v>5469891.1800000006</v>
      </c>
      <c r="R32" s="288">
        <f t="shared" si="43"/>
        <v>22.451871449268999</v>
      </c>
      <c r="S32" s="198">
        <f t="shared" si="43"/>
        <v>25.634921578785622</v>
      </c>
      <c r="T32" s="289">
        <f t="shared" si="43"/>
        <v>28.817971708302242</v>
      </c>
      <c r="U32" s="150">
        <f t="shared" si="43"/>
        <v>0.33333333333333331</v>
      </c>
      <c r="V32" s="150"/>
      <c r="W32" s="150">
        <f>W29</f>
        <v>0</v>
      </c>
      <c r="X32" s="150"/>
      <c r="Y32" s="151">
        <f t="shared" ref="Y32:AJ32" si="44">Y29</f>
        <v>5.29</v>
      </c>
      <c r="Z32" s="151">
        <f t="shared" si="44"/>
        <v>6.3</v>
      </c>
      <c r="AA32" s="151">
        <f t="shared" si="44"/>
        <v>7.31</v>
      </c>
      <c r="AB32" s="151">
        <f t="shared" si="44"/>
        <v>2.2200000000000002</v>
      </c>
      <c r="AC32" s="151">
        <f t="shared" si="44"/>
        <v>2.65</v>
      </c>
      <c r="AD32" s="151">
        <f t="shared" si="44"/>
        <v>3.08</v>
      </c>
      <c r="AE32" s="197">
        <f t="shared" si="44"/>
        <v>1020473.82</v>
      </c>
      <c r="AF32" s="197">
        <f t="shared" si="44"/>
        <v>1216143.8999999999</v>
      </c>
      <c r="AG32" s="197">
        <f t="shared" si="44"/>
        <v>1411813.98</v>
      </c>
      <c r="AH32" s="288">
        <f t="shared" si="44"/>
        <v>21.190120436895217</v>
      </c>
      <c r="AI32" s="198">
        <f t="shared" si="44"/>
        <v>25.25320611321068</v>
      </c>
      <c r="AJ32" s="289">
        <f t="shared" si="44"/>
        <v>29.316291789526144</v>
      </c>
      <c r="AK32" s="111"/>
      <c r="AL32" s="111"/>
      <c r="AM32" s="111"/>
    </row>
    <row r="33" spans="1:39" x14ac:dyDescent="0.35">
      <c r="A33" s="7"/>
      <c r="B33" s="7"/>
      <c r="C33" s="7"/>
      <c r="D33" s="7" t="s">
        <v>439</v>
      </c>
      <c r="E33" s="150">
        <f>E31</f>
        <v>0.33333333333333331</v>
      </c>
      <c r="F33" s="150"/>
      <c r="G33" s="150">
        <f>G31</f>
        <v>0</v>
      </c>
      <c r="H33" s="150"/>
      <c r="I33" s="150">
        <f t="shared" ref="I33:U33" si="45">I31</f>
        <v>2.5000000000000001E-2</v>
      </c>
      <c r="J33" s="150">
        <f t="shared" si="45"/>
        <v>2.8000000000000001E-2</v>
      </c>
      <c r="K33" s="150">
        <f t="shared" si="45"/>
        <v>3.1E-2</v>
      </c>
      <c r="L33" s="150">
        <f t="shared" si="45"/>
        <v>8.0000000000000002E-3</v>
      </c>
      <c r="M33" s="150">
        <f t="shared" si="45"/>
        <v>8.9999999999999993E-3</v>
      </c>
      <c r="N33" s="150">
        <f t="shared" si="45"/>
        <v>0.01</v>
      </c>
      <c r="O33" s="197">
        <f t="shared" si="45"/>
        <v>4378008.0959999999</v>
      </c>
      <c r="P33" s="197">
        <f t="shared" si="45"/>
        <v>4908675.7439999999</v>
      </c>
      <c r="Q33" s="197">
        <f t="shared" si="45"/>
        <v>5439343.392</v>
      </c>
      <c r="R33" s="288">
        <f t="shared" si="45"/>
        <v>23.065415617508894</v>
      </c>
      <c r="S33" s="198">
        <f t="shared" si="45"/>
        <v>25.861223571146333</v>
      </c>
      <c r="T33" s="289">
        <f t="shared" si="45"/>
        <v>28.657031524783775</v>
      </c>
      <c r="U33" s="150">
        <f t="shared" si="45"/>
        <v>0.33333333333333331</v>
      </c>
      <c r="V33" s="150"/>
      <c r="W33" s="150">
        <f>W31</f>
        <v>0</v>
      </c>
      <c r="X33" s="150"/>
      <c r="Y33" s="150">
        <f t="shared" ref="Y33:AJ33" si="46">Y31</f>
        <v>1.4E-2</v>
      </c>
      <c r="Z33" s="150">
        <f t="shared" si="46"/>
        <v>1.7000000000000001E-2</v>
      </c>
      <c r="AA33" s="150">
        <f t="shared" si="46"/>
        <v>0.02</v>
      </c>
      <c r="AB33" s="150">
        <f t="shared" si="46"/>
        <v>4.0000000000000001E-3</v>
      </c>
      <c r="AC33" s="150">
        <f t="shared" si="46"/>
        <v>4.0000000000000001E-3</v>
      </c>
      <c r="AD33" s="150">
        <f t="shared" si="46"/>
        <v>5.0000000000000001E-3</v>
      </c>
      <c r="AE33" s="197">
        <f t="shared" si="46"/>
        <v>791838.72000000009</v>
      </c>
      <c r="AF33" s="197">
        <f t="shared" si="46"/>
        <v>923811.84000000008</v>
      </c>
      <c r="AG33" s="197">
        <f t="shared" si="46"/>
        <v>1099776</v>
      </c>
      <c r="AH33" s="288">
        <f t="shared" si="46"/>
        <v>16.442516715810459</v>
      </c>
      <c r="AI33" s="198">
        <f t="shared" si="46"/>
        <v>19.182936168445536</v>
      </c>
      <c r="AJ33" s="289">
        <f t="shared" si="46"/>
        <v>22.836828771958967</v>
      </c>
      <c r="AK33" s="111"/>
      <c r="AL33" s="111"/>
      <c r="AM33" s="111"/>
    </row>
    <row r="34" spans="1:39" x14ac:dyDescent="0.35">
      <c r="A34" s="7"/>
      <c r="B34" s="7"/>
      <c r="C34" s="7"/>
      <c r="D34" s="7" t="s">
        <v>440</v>
      </c>
      <c r="E34" s="134"/>
      <c r="F34" s="134"/>
      <c r="G34" s="134"/>
      <c r="H34" s="134"/>
      <c r="I34" s="152"/>
      <c r="J34" s="139"/>
      <c r="K34" s="153"/>
      <c r="L34" s="154"/>
      <c r="M34" s="155"/>
      <c r="N34" s="155"/>
      <c r="O34" s="197">
        <f t="shared" ref="O34:T34" si="47">SUM(O32:O33)</f>
        <v>8639560.3959999997</v>
      </c>
      <c r="P34" s="197">
        <f t="shared" si="47"/>
        <v>9774397.4840000011</v>
      </c>
      <c r="Q34" s="197">
        <f t="shared" si="47"/>
        <v>10909234.572000001</v>
      </c>
      <c r="R34" s="290">
        <f t="shared" si="47"/>
        <v>45.517287066777897</v>
      </c>
      <c r="S34" s="291">
        <f t="shared" si="47"/>
        <v>51.496145149931955</v>
      </c>
      <c r="T34" s="292">
        <f t="shared" si="47"/>
        <v>57.475003233086014</v>
      </c>
      <c r="U34" s="134"/>
      <c r="V34" s="134"/>
      <c r="W34" s="134"/>
      <c r="X34" s="134"/>
      <c r="Y34" s="152"/>
      <c r="Z34" s="139"/>
      <c r="AA34" s="156"/>
      <c r="AB34" s="154"/>
      <c r="AC34" s="152"/>
      <c r="AD34" s="139"/>
      <c r="AE34" s="197">
        <f t="shared" ref="AE34:AJ34" si="48">SUM(AE32:AE33)</f>
        <v>1812312.54</v>
      </c>
      <c r="AF34" s="197">
        <f t="shared" si="48"/>
        <v>2139955.7400000002</v>
      </c>
      <c r="AG34" s="197">
        <f t="shared" si="48"/>
        <v>2511589.98</v>
      </c>
      <c r="AH34" s="290">
        <f t="shared" si="48"/>
        <v>37.632637152705676</v>
      </c>
      <c r="AI34" s="291">
        <f t="shared" si="48"/>
        <v>44.436142281656217</v>
      </c>
      <c r="AJ34" s="292">
        <f t="shared" si="48"/>
        <v>52.15312056148511</v>
      </c>
      <c r="AK34" s="111"/>
      <c r="AL34" s="111"/>
      <c r="AM34" s="111"/>
    </row>
    <row r="35" spans="1:39" x14ac:dyDescent="0.35">
      <c r="A35" s="7" t="s">
        <v>135</v>
      </c>
      <c r="B35" s="7" t="s">
        <v>444</v>
      </c>
      <c r="C35" s="7" t="s">
        <v>432</v>
      </c>
      <c r="D35" s="7" t="s">
        <v>433</v>
      </c>
      <c r="E35" s="103">
        <v>1</v>
      </c>
      <c r="F35" s="103"/>
      <c r="G35" s="103">
        <v>0</v>
      </c>
      <c r="H35" s="103" t="s">
        <v>352</v>
      </c>
      <c r="I35" s="31"/>
      <c r="J35" s="31"/>
      <c r="K35" s="31"/>
      <c r="L35" s="31">
        <v>12.11</v>
      </c>
      <c r="M35" s="31">
        <v>13.11</v>
      </c>
      <c r="N35" s="31">
        <v>14.12</v>
      </c>
      <c r="O35" s="195">
        <f t="shared" ref="O35:Q36" si="49">HHProps_SSW*IF($H35="S1",I35,(I35+L35))</f>
        <v>6532582.0699999994</v>
      </c>
      <c r="P35" s="195">
        <f t="shared" si="49"/>
        <v>7072019.0699999994</v>
      </c>
      <c r="Q35" s="195">
        <f t="shared" si="49"/>
        <v>7616850.4399999995</v>
      </c>
      <c r="R35" s="286">
        <f t="shared" ref="R35:T38" si="50">O35/(IF($H35="S1",($E35-$F35),($E35-$G35))*AllProps_SSW)</f>
        <v>11.472243175132808</v>
      </c>
      <c r="S35" s="195">
        <f t="shared" si="50"/>
        <v>12.419579523203231</v>
      </c>
      <c r="T35" s="287">
        <f t="shared" si="50"/>
        <v>13.376389234754356</v>
      </c>
      <c r="U35" s="103">
        <v>1</v>
      </c>
      <c r="V35" s="103"/>
      <c r="W35" s="103">
        <v>0</v>
      </c>
      <c r="X35" s="103" t="str">
        <f>H35</f>
        <v>S2</v>
      </c>
      <c r="Y35" s="31"/>
      <c r="Z35" s="31"/>
      <c r="AA35" s="31"/>
      <c r="AB35" s="31">
        <v>7.92</v>
      </c>
      <c r="AC35" s="31">
        <v>9.2899999999999991</v>
      </c>
      <c r="AD35" s="31">
        <v>10.65</v>
      </c>
      <c r="AE35" s="195">
        <f t="shared" ref="AE35:AG36" si="51">HHProps_CAM*IF($H35="S1",Y35,(Y35+AB35))</f>
        <v>1076185.44</v>
      </c>
      <c r="AF35" s="195">
        <f t="shared" si="51"/>
        <v>1262343.7799999998</v>
      </c>
      <c r="AG35" s="195">
        <f t="shared" si="51"/>
        <v>1447143.3</v>
      </c>
      <c r="AH35" s="286">
        <f t="shared" ref="AH35:AJ38" si="52">AE35/(IF($H35="S1",($U35-$V35),($U35-$W35))*AllProps_CAM)</f>
        <v>7.4489904065783463</v>
      </c>
      <c r="AI35" s="195">
        <f t="shared" si="52"/>
        <v>8.73751526226172</v>
      </c>
      <c r="AJ35" s="287">
        <f t="shared" si="52"/>
        <v>10.016634827027701</v>
      </c>
      <c r="AK35" s="111"/>
      <c r="AL35" s="111"/>
      <c r="AM35" s="111"/>
    </row>
    <row r="36" spans="1:39" x14ac:dyDescent="0.35">
      <c r="A36" s="7"/>
      <c r="B36" s="7"/>
      <c r="C36" s="7" t="s">
        <v>434</v>
      </c>
      <c r="D36" s="7" t="s">
        <v>435</v>
      </c>
      <c r="E36" s="103">
        <v>1</v>
      </c>
      <c r="F36" s="103"/>
      <c r="G36" s="103">
        <v>0</v>
      </c>
      <c r="H36" s="103" t="s">
        <v>352</v>
      </c>
      <c r="I36" s="31"/>
      <c r="J36" s="31"/>
      <c r="K36" s="31"/>
      <c r="L36" s="31">
        <v>5.71</v>
      </c>
      <c r="M36" s="31">
        <v>6.53</v>
      </c>
      <c r="N36" s="31">
        <v>7.34</v>
      </c>
      <c r="O36" s="195">
        <f t="shared" si="49"/>
        <v>3080185.27</v>
      </c>
      <c r="P36" s="195">
        <f t="shared" si="49"/>
        <v>3522523.6100000003</v>
      </c>
      <c r="Q36" s="195">
        <f t="shared" si="49"/>
        <v>3959467.58</v>
      </c>
      <c r="R36" s="286">
        <f t="shared" si="50"/>
        <v>5.4092905474821089</v>
      </c>
      <c r="S36" s="168">
        <f t="shared" si="50"/>
        <v>6.1861063528998557</v>
      </c>
      <c r="T36" s="287">
        <f t="shared" si="50"/>
        <v>6.9534487948368966</v>
      </c>
      <c r="U36" s="103">
        <v>1</v>
      </c>
      <c r="V36" s="103"/>
      <c r="W36" s="103">
        <v>0</v>
      </c>
      <c r="X36" s="103" t="str">
        <f>H36</f>
        <v>S2</v>
      </c>
      <c r="Y36" s="31"/>
      <c r="Z36" s="31"/>
      <c r="AA36" s="31"/>
      <c r="AB36" s="31">
        <v>5.08</v>
      </c>
      <c r="AC36" s="31">
        <v>6.05</v>
      </c>
      <c r="AD36" s="31">
        <v>7.02</v>
      </c>
      <c r="AE36" s="195">
        <f t="shared" si="51"/>
        <v>690280.56</v>
      </c>
      <c r="AF36" s="195">
        <f t="shared" si="51"/>
        <v>822086.1</v>
      </c>
      <c r="AG36" s="195">
        <f t="shared" si="51"/>
        <v>953891.6399999999</v>
      </c>
      <c r="AH36" s="286">
        <f t="shared" si="52"/>
        <v>4.7778877860376268</v>
      </c>
      <c r="AI36" s="195">
        <f t="shared" si="52"/>
        <v>5.6902010050251253</v>
      </c>
      <c r="AJ36" s="287">
        <f t="shared" si="52"/>
        <v>6.6025142240126247</v>
      </c>
      <c r="AK36" s="111"/>
      <c r="AL36" s="111"/>
      <c r="AM36" s="111"/>
    </row>
    <row r="37" spans="1:39" x14ac:dyDescent="0.35">
      <c r="A37" s="7"/>
      <c r="B37" s="7"/>
      <c r="C37" s="7"/>
      <c r="D37" s="7" t="s">
        <v>436</v>
      </c>
      <c r="E37" s="103">
        <v>1</v>
      </c>
      <c r="F37" s="103"/>
      <c r="G37" s="103">
        <v>0</v>
      </c>
      <c r="H37" s="103" t="s">
        <v>352</v>
      </c>
      <c r="I37" s="105"/>
      <c r="J37" s="105"/>
      <c r="K37" s="105"/>
      <c r="L37" s="105">
        <v>0.03</v>
      </c>
      <c r="M37" s="105">
        <v>3.2000000000000001E-2</v>
      </c>
      <c r="N37" s="105">
        <v>3.5000000000000003E-2</v>
      </c>
      <c r="O37" s="195">
        <f t="shared" ref="O37:Q38" si="53">NHHProps_SSW*AvgNHHBill_SSW*IF($H37="S1",I37,(I37+L37))</f>
        <v>3980007.36</v>
      </c>
      <c r="P37" s="195">
        <f t="shared" si="53"/>
        <v>4245341.1840000004</v>
      </c>
      <c r="Q37" s="195">
        <f t="shared" si="53"/>
        <v>4643341.9200000009</v>
      </c>
      <c r="R37" s="286">
        <f t="shared" si="50"/>
        <v>6.9895198840936033</v>
      </c>
      <c r="S37" s="195">
        <f t="shared" si="50"/>
        <v>7.4554878763665107</v>
      </c>
      <c r="T37" s="287">
        <f t="shared" si="50"/>
        <v>8.1544398647758722</v>
      </c>
      <c r="U37" s="103">
        <v>1</v>
      </c>
      <c r="V37" s="103"/>
      <c r="W37" s="103">
        <v>0</v>
      </c>
      <c r="X37" s="103" t="str">
        <f>H37</f>
        <v>S2</v>
      </c>
      <c r="Y37" s="105"/>
      <c r="Z37" s="105"/>
      <c r="AA37" s="105"/>
      <c r="AB37" s="105">
        <v>0.107</v>
      </c>
      <c r="AC37" s="105">
        <v>0.14199999999999999</v>
      </c>
      <c r="AD37" s="105">
        <v>0.17699999999999999</v>
      </c>
      <c r="AE37" s="195">
        <f t="shared" ref="AE37:AG38" si="54">NHHProps_CAM*AvgNHHBill_CAM*IF($H37="S1",Y37,(Y37+AB37))</f>
        <v>4707041.2800000003</v>
      </c>
      <c r="AF37" s="195">
        <f t="shared" si="54"/>
        <v>6246727.6799999997</v>
      </c>
      <c r="AG37" s="195">
        <f t="shared" si="54"/>
        <v>7786414.0799999991</v>
      </c>
      <c r="AH37" s="286">
        <f t="shared" si="52"/>
        <v>32.580542381328129</v>
      </c>
      <c r="AI37" s="195">
        <f t="shared" si="52"/>
        <v>43.237729141575642</v>
      </c>
      <c r="AJ37" s="287">
        <f t="shared" si="52"/>
        <v>53.894915901823161</v>
      </c>
      <c r="AK37" s="111"/>
      <c r="AL37" s="111"/>
      <c r="AM37" s="111"/>
    </row>
    <row r="38" spans="1:39" x14ac:dyDescent="0.35">
      <c r="A38" s="7"/>
      <c r="B38" s="7"/>
      <c r="C38" s="7"/>
      <c r="D38" s="7" t="s">
        <v>437</v>
      </c>
      <c r="E38" s="103">
        <v>1</v>
      </c>
      <c r="F38" s="103"/>
      <c r="G38" s="103">
        <v>0</v>
      </c>
      <c r="H38" s="103" t="s">
        <v>352</v>
      </c>
      <c r="I38" s="105"/>
      <c r="J38" s="105"/>
      <c r="K38" s="105"/>
      <c r="L38" s="105">
        <v>3.1E-2</v>
      </c>
      <c r="M38" s="105">
        <v>3.5000000000000003E-2</v>
      </c>
      <c r="N38" s="105">
        <v>3.9E-2</v>
      </c>
      <c r="O38" s="195">
        <f t="shared" si="53"/>
        <v>4112674.2719999999</v>
      </c>
      <c r="P38" s="195">
        <f t="shared" si="53"/>
        <v>4643341.9200000009</v>
      </c>
      <c r="Q38" s="195">
        <f t="shared" si="53"/>
        <v>5174009.568</v>
      </c>
      <c r="R38" s="286">
        <f t="shared" si="50"/>
        <v>7.2225038802300565</v>
      </c>
      <c r="S38" s="195">
        <f t="shared" si="50"/>
        <v>8.1544398647758722</v>
      </c>
      <c r="T38" s="287">
        <f t="shared" si="50"/>
        <v>9.0863758493216835</v>
      </c>
      <c r="U38" s="103">
        <v>1</v>
      </c>
      <c r="V38" s="103"/>
      <c r="W38" s="103">
        <v>0</v>
      </c>
      <c r="X38" s="103" t="str">
        <f>H38</f>
        <v>S2</v>
      </c>
      <c r="Y38" s="105"/>
      <c r="Z38" s="105"/>
      <c r="AA38" s="105"/>
      <c r="AB38" s="105">
        <v>1.2999999999999999E-2</v>
      </c>
      <c r="AC38" s="105">
        <v>1.6E-2</v>
      </c>
      <c r="AD38" s="105">
        <v>1.9E-2</v>
      </c>
      <c r="AE38" s="195">
        <f t="shared" si="54"/>
        <v>571883.52000000002</v>
      </c>
      <c r="AF38" s="195">
        <f t="shared" si="54"/>
        <v>703856.64000000001</v>
      </c>
      <c r="AG38" s="195">
        <f t="shared" si="54"/>
        <v>835829.76000000001</v>
      </c>
      <c r="AH38" s="286">
        <f t="shared" si="52"/>
        <v>3.9583836538062211</v>
      </c>
      <c r="AI38" s="195">
        <f t="shared" si="52"/>
        <v>4.8718568046845796</v>
      </c>
      <c r="AJ38" s="287">
        <f t="shared" si="52"/>
        <v>5.7853299555629389</v>
      </c>
      <c r="AK38" s="111"/>
      <c r="AL38" s="111"/>
      <c r="AM38" s="111"/>
    </row>
    <row r="39" spans="1:39" x14ac:dyDescent="0.35">
      <c r="A39" s="7"/>
      <c r="B39" s="7"/>
      <c r="C39" s="7"/>
      <c r="D39" s="7" t="s">
        <v>438</v>
      </c>
      <c r="E39" s="150">
        <f>E36</f>
        <v>1</v>
      </c>
      <c r="F39" s="150"/>
      <c r="G39" s="150">
        <f>G36</f>
        <v>0</v>
      </c>
      <c r="H39" s="150"/>
      <c r="I39" s="151">
        <f t="shared" ref="I39:U39" si="55">I36</f>
        <v>0</v>
      </c>
      <c r="J39" s="151">
        <f t="shared" si="55"/>
        <v>0</v>
      </c>
      <c r="K39" s="151">
        <f t="shared" si="55"/>
        <v>0</v>
      </c>
      <c r="L39" s="151">
        <f t="shared" si="55"/>
        <v>5.71</v>
      </c>
      <c r="M39" s="151">
        <f t="shared" si="55"/>
        <v>6.53</v>
      </c>
      <c r="N39" s="151">
        <f t="shared" si="55"/>
        <v>7.34</v>
      </c>
      <c r="O39" s="197">
        <f t="shared" si="55"/>
        <v>3080185.27</v>
      </c>
      <c r="P39" s="197">
        <f t="shared" si="55"/>
        <v>3522523.6100000003</v>
      </c>
      <c r="Q39" s="197">
        <f t="shared" si="55"/>
        <v>3959467.58</v>
      </c>
      <c r="R39" s="288">
        <f t="shared" si="55"/>
        <v>5.4092905474821089</v>
      </c>
      <c r="S39" s="198">
        <f t="shared" si="55"/>
        <v>6.1861063528998557</v>
      </c>
      <c r="T39" s="289">
        <f t="shared" si="55"/>
        <v>6.9534487948368966</v>
      </c>
      <c r="U39" s="150">
        <f t="shared" si="55"/>
        <v>1</v>
      </c>
      <c r="V39" s="150"/>
      <c r="W39" s="150">
        <f>W36</f>
        <v>0</v>
      </c>
      <c r="X39" s="150"/>
      <c r="Y39" s="151">
        <f t="shared" ref="Y39:AJ39" si="56">Y36</f>
        <v>0</v>
      </c>
      <c r="Z39" s="151">
        <f t="shared" si="56"/>
        <v>0</v>
      </c>
      <c r="AA39" s="151">
        <f t="shared" si="56"/>
        <v>0</v>
      </c>
      <c r="AB39" s="151">
        <f t="shared" si="56"/>
        <v>5.08</v>
      </c>
      <c r="AC39" s="151">
        <f t="shared" si="56"/>
        <v>6.05</v>
      </c>
      <c r="AD39" s="151">
        <f t="shared" si="56"/>
        <v>7.02</v>
      </c>
      <c r="AE39" s="197">
        <f t="shared" si="56"/>
        <v>690280.56</v>
      </c>
      <c r="AF39" s="197">
        <f t="shared" si="56"/>
        <v>822086.1</v>
      </c>
      <c r="AG39" s="197">
        <f t="shared" si="56"/>
        <v>953891.6399999999</v>
      </c>
      <c r="AH39" s="288">
        <f t="shared" si="56"/>
        <v>4.7778877860376268</v>
      </c>
      <c r="AI39" s="198">
        <f t="shared" si="56"/>
        <v>5.6902010050251253</v>
      </c>
      <c r="AJ39" s="289">
        <f t="shared" si="56"/>
        <v>6.6025142240126247</v>
      </c>
      <c r="AK39" s="111"/>
      <c r="AL39" s="111"/>
      <c r="AM39" s="111"/>
    </row>
    <row r="40" spans="1:39" x14ac:dyDescent="0.35">
      <c r="A40" s="7"/>
      <c r="B40" s="7"/>
      <c r="C40" s="7"/>
      <c r="D40" s="7" t="s">
        <v>439</v>
      </c>
      <c r="E40" s="150">
        <f>E38</f>
        <v>1</v>
      </c>
      <c r="F40" s="150"/>
      <c r="G40" s="150">
        <f>G38</f>
        <v>0</v>
      </c>
      <c r="H40" s="150"/>
      <c r="I40" s="150">
        <f t="shared" ref="I40:U40" si="57">I38</f>
        <v>0</v>
      </c>
      <c r="J40" s="150">
        <f t="shared" si="57"/>
        <v>0</v>
      </c>
      <c r="K40" s="150">
        <f t="shared" si="57"/>
        <v>0</v>
      </c>
      <c r="L40" s="150">
        <f t="shared" si="57"/>
        <v>3.1E-2</v>
      </c>
      <c r="M40" s="150">
        <f t="shared" si="57"/>
        <v>3.5000000000000003E-2</v>
      </c>
      <c r="N40" s="150">
        <f t="shared" si="57"/>
        <v>3.9E-2</v>
      </c>
      <c r="O40" s="197">
        <f t="shared" si="57"/>
        <v>4112674.2719999999</v>
      </c>
      <c r="P40" s="197">
        <f t="shared" si="57"/>
        <v>4643341.9200000009</v>
      </c>
      <c r="Q40" s="197">
        <f t="shared" si="57"/>
        <v>5174009.568</v>
      </c>
      <c r="R40" s="288">
        <f t="shared" si="57"/>
        <v>7.2225038802300565</v>
      </c>
      <c r="S40" s="198">
        <f t="shared" si="57"/>
        <v>8.1544398647758722</v>
      </c>
      <c r="T40" s="289">
        <f t="shared" si="57"/>
        <v>9.0863758493216835</v>
      </c>
      <c r="U40" s="150">
        <f t="shared" si="57"/>
        <v>1</v>
      </c>
      <c r="V40" s="150"/>
      <c r="W40" s="150">
        <f>W38</f>
        <v>0</v>
      </c>
      <c r="X40" s="150"/>
      <c r="Y40" s="150">
        <f t="shared" ref="Y40:AJ40" si="58">Y38</f>
        <v>0</v>
      </c>
      <c r="Z40" s="150">
        <f t="shared" si="58"/>
        <v>0</v>
      </c>
      <c r="AA40" s="150">
        <f t="shared" si="58"/>
        <v>0</v>
      </c>
      <c r="AB40" s="150">
        <f t="shared" si="58"/>
        <v>1.2999999999999999E-2</v>
      </c>
      <c r="AC40" s="150">
        <f t="shared" si="58"/>
        <v>1.6E-2</v>
      </c>
      <c r="AD40" s="150">
        <f t="shared" si="58"/>
        <v>1.9E-2</v>
      </c>
      <c r="AE40" s="197">
        <f t="shared" si="58"/>
        <v>571883.52000000002</v>
      </c>
      <c r="AF40" s="197">
        <f t="shared" si="58"/>
        <v>703856.64000000001</v>
      </c>
      <c r="AG40" s="197">
        <f t="shared" si="58"/>
        <v>835829.76000000001</v>
      </c>
      <c r="AH40" s="288">
        <f t="shared" si="58"/>
        <v>3.9583836538062211</v>
      </c>
      <c r="AI40" s="198">
        <f t="shared" si="58"/>
        <v>4.8718568046845796</v>
      </c>
      <c r="AJ40" s="289">
        <f t="shared" si="58"/>
        <v>5.7853299555629389</v>
      </c>
      <c r="AK40" s="111"/>
      <c r="AL40" s="111"/>
      <c r="AM40" s="111"/>
    </row>
    <row r="41" spans="1:39" x14ac:dyDescent="0.35">
      <c r="A41" s="7"/>
      <c r="B41" s="7"/>
      <c r="C41" s="7"/>
      <c r="D41" s="7" t="s">
        <v>440</v>
      </c>
      <c r="E41" s="134"/>
      <c r="F41" s="134"/>
      <c r="G41" s="134"/>
      <c r="H41" s="134"/>
      <c r="I41" s="152"/>
      <c r="J41" s="139"/>
      <c r="K41" s="153"/>
      <c r="L41" s="154"/>
      <c r="M41" s="155"/>
      <c r="N41" s="155"/>
      <c r="O41" s="197">
        <f t="shared" ref="O41:T41" si="59">SUM(O39:O40)</f>
        <v>7192859.5419999994</v>
      </c>
      <c r="P41" s="197">
        <f t="shared" si="59"/>
        <v>8165865.5300000012</v>
      </c>
      <c r="Q41" s="197">
        <f t="shared" si="59"/>
        <v>9133477.148</v>
      </c>
      <c r="R41" s="290">
        <f t="shared" si="59"/>
        <v>12.631794427712165</v>
      </c>
      <c r="S41" s="291">
        <f t="shared" si="59"/>
        <v>14.340546217675728</v>
      </c>
      <c r="T41" s="292">
        <f t="shared" si="59"/>
        <v>16.039824644158578</v>
      </c>
      <c r="U41" s="134"/>
      <c r="V41" s="134"/>
      <c r="W41" s="134"/>
      <c r="X41" s="134"/>
      <c r="Y41" s="152"/>
      <c r="Z41" s="139"/>
      <c r="AA41" s="156"/>
      <c r="AB41" s="154"/>
      <c r="AC41" s="152"/>
      <c r="AD41" s="139"/>
      <c r="AE41" s="197">
        <f t="shared" ref="AE41:AJ41" si="60">SUM(AE39:AE40)</f>
        <v>1262164.08</v>
      </c>
      <c r="AF41" s="197">
        <f t="shared" si="60"/>
        <v>1525942.74</v>
      </c>
      <c r="AG41" s="197">
        <f t="shared" si="60"/>
        <v>1789721.4</v>
      </c>
      <c r="AH41" s="290">
        <f t="shared" si="60"/>
        <v>8.736271439843847</v>
      </c>
      <c r="AI41" s="291">
        <f t="shared" si="60"/>
        <v>10.562057809709705</v>
      </c>
      <c r="AJ41" s="292">
        <f t="shared" si="60"/>
        <v>12.387844179575563</v>
      </c>
      <c r="AK41" s="111"/>
      <c r="AL41" s="111"/>
      <c r="AM41" s="111"/>
    </row>
    <row r="42" spans="1:39" x14ac:dyDescent="0.35">
      <c r="A42" s="7" t="s">
        <v>445</v>
      </c>
      <c r="B42" s="7" t="s">
        <v>446</v>
      </c>
      <c r="C42" s="7" t="s">
        <v>432</v>
      </c>
      <c r="D42" s="7" t="s">
        <v>433</v>
      </c>
      <c r="E42" s="103">
        <f>1/70</f>
        <v>1.4285714285714285E-2</v>
      </c>
      <c r="F42" s="103">
        <f>1/105</f>
        <v>9.5238095238095247E-3</v>
      </c>
      <c r="G42" s="103">
        <v>0</v>
      </c>
      <c r="H42" s="103" t="s">
        <v>351</v>
      </c>
      <c r="I42" s="31">
        <v>1.49</v>
      </c>
      <c r="J42" s="31">
        <v>1.67</v>
      </c>
      <c r="K42" s="31">
        <v>1.84</v>
      </c>
      <c r="L42" s="31">
        <v>1.92</v>
      </c>
      <c r="M42" s="31">
        <v>2.13</v>
      </c>
      <c r="N42" s="31">
        <v>2.35</v>
      </c>
      <c r="O42" s="195">
        <f t="shared" ref="O42:Q43" si="61">HHProps_SSW*IF($H42="S1",I42,(I42+L42))</f>
        <v>803761.13</v>
      </c>
      <c r="P42" s="195">
        <f t="shared" si="61"/>
        <v>900859.78999999992</v>
      </c>
      <c r="Q42" s="195">
        <f t="shared" si="61"/>
        <v>992564.08000000007</v>
      </c>
      <c r="R42" s="286">
        <f t="shared" ref="R42:T45" si="62">O42/(IF($H42="S1",($E42-$F42),($E42-$G42))*AllProps_SSW)</f>
        <v>296.4215433112351</v>
      </c>
      <c r="S42" s="195">
        <f t="shared" si="62"/>
        <v>332.23085726829703</v>
      </c>
      <c r="T42" s="287">
        <f t="shared" si="62"/>
        <v>366.05076489441115</v>
      </c>
      <c r="U42" s="103">
        <f>1/40</f>
        <v>2.5000000000000001E-2</v>
      </c>
      <c r="V42" s="103">
        <f>1/60</f>
        <v>1.6666666666666666E-2</v>
      </c>
      <c r="W42" s="103">
        <v>0</v>
      </c>
      <c r="X42" s="103" t="str">
        <f>H42</f>
        <v>S1</v>
      </c>
      <c r="Y42" s="31">
        <v>0.22</v>
      </c>
      <c r="Z42" s="31">
        <v>0.25</v>
      </c>
      <c r="AA42" s="31">
        <v>0.28000000000000003</v>
      </c>
      <c r="AB42" s="31">
        <v>1.35</v>
      </c>
      <c r="AC42" s="31">
        <v>1.52</v>
      </c>
      <c r="AD42" s="31">
        <v>1.69</v>
      </c>
      <c r="AE42" s="195">
        <f t="shared" ref="AE42:AG43" si="63">HHProps_CAM*IF($H42="S1",Y42,(Y42+AB42))</f>
        <v>29894.04</v>
      </c>
      <c r="AF42" s="195">
        <f t="shared" si="63"/>
        <v>33970.5</v>
      </c>
      <c r="AG42" s="195">
        <f t="shared" si="63"/>
        <v>38046.960000000006</v>
      </c>
      <c r="AH42" s="286">
        <f t="shared" ref="AH42:AJ45" si="64">AE42/(IF($H42="S1",($U42-$V42),($U42-$W42))*AllProps_CAM)</f>
        <v>24.829968021927815</v>
      </c>
      <c r="AI42" s="195">
        <f t="shared" si="64"/>
        <v>28.215872752190698</v>
      </c>
      <c r="AJ42" s="287">
        <f t="shared" si="64"/>
        <v>31.601777482453588</v>
      </c>
    </row>
    <row r="43" spans="1:39" x14ac:dyDescent="0.35">
      <c r="A43" s="7"/>
      <c r="B43" s="7"/>
      <c r="C43" s="7" t="s">
        <v>434</v>
      </c>
      <c r="D43" s="7" t="s">
        <v>435</v>
      </c>
      <c r="E43" s="103">
        <f>8000/552000</f>
        <v>1.4492753623188406E-2</v>
      </c>
      <c r="F43" s="103">
        <f>4000/552000</f>
        <v>7.246376811594203E-3</v>
      </c>
      <c r="G43" s="103">
        <v>0</v>
      </c>
      <c r="H43" s="103" t="s">
        <v>351</v>
      </c>
      <c r="I43" s="31">
        <v>1.1000000000000001</v>
      </c>
      <c r="J43" s="31">
        <v>1.24</v>
      </c>
      <c r="K43" s="31">
        <v>1.38</v>
      </c>
      <c r="L43" s="31">
        <v>3.07</v>
      </c>
      <c r="M43" s="31">
        <v>3.47</v>
      </c>
      <c r="N43" s="31">
        <v>3.86</v>
      </c>
      <c r="O43" s="195">
        <f t="shared" si="61"/>
        <v>593380.70000000007</v>
      </c>
      <c r="P43" s="195">
        <f t="shared" si="61"/>
        <v>668901.88</v>
      </c>
      <c r="Q43" s="195">
        <f t="shared" si="61"/>
        <v>744423.05999999994</v>
      </c>
      <c r="R43" s="286">
        <f t="shared" si="62"/>
        <v>143.80565763709006</v>
      </c>
      <c r="S43" s="195">
        <f t="shared" si="62"/>
        <v>162.10819588181059</v>
      </c>
      <c r="T43" s="287">
        <f t="shared" si="62"/>
        <v>180.41073412653114</v>
      </c>
      <c r="U43" s="103">
        <f>3300/131000</f>
        <v>2.5190839694656488E-2</v>
      </c>
      <c r="V43" s="103">
        <f>1600/131000</f>
        <v>1.2213740458015267E-2</v>
      </c>
      <c r="W43" s="103">
        <v>0</v>
      </c>
      <c r="X43" s="103" t="str">
        <f>H43</f>
        <v>S1</v>
      </c>
      <c r="Y43" s="31">
        <v>0.34</v>
      </c>
      <c r="Z43" s="31">
        <v>0.39</v>
      </c>
      <c r="AA43" s="31">
        <v>0.44</v>
      </c>
      <c r="AB43" s="31">
        <v>2.11</v>
      </c>
      <c r="AC43" s="31">
        <v>2.38</v>
      </c>
      <c r="AD43" s="31">
        <v>2.64</v>
      </c>
      <c r="AE43" s="195">
        <f t="shared" si="63"/>
        <v>46199.880000000005</v>
      </c>
      <c r="AF43" s="195">
        <f t="shared" si="63"/>
        <v>52993.98</v>
      </c>
      <c r="AG43" s="195">
        <f t="shared" si="63"/>
        <v>59788.08</v>
      </c>
      <c r="AH43" s="286">
        <f t="shared" si="64"/>
        <v>24.641862203579887</v>
      </c>
      <c r="AI43" s="195">
        <f t="shared" si="64"/>
        <v>28.26566546881222</v>
      </c>
      <c r="AJ43" s="287">
        <f t="shared" si="64"/>
        <v>31.889468734044556</v>
      </c>
    </row>
    <row r="44" spans="1:39" x14ac:dyDescent="0.35">
      <c r="A44" s="7"/>
      <c r="B44" s="7"/>
      <c r="C44" s="7"/>
      <c r="D44" s="7" t="s">
        <v>436</v>
      </c>
      <c r="E44" s="103">
        <f>1/70</f>
        <v>1.4285714285714285E-2</v>
      </c>
      <c r="F44" s="103">
        <f>1/105</f>
        <v>9.5238095238095247E-3</v>
      </c>
      <c r="G44" s="103">
        <v>0</v>
      </c>
      <c r="H44" s="103" t="s">
        <v>351</v>
      </c>
      <c r="I44" s="105">
        <v>0.01</v>
      </c>
      <c r="J44" s="105">
        <v>1.2E-2</v>
      </c>
      <c r="K44" s="105">
        <v>1.2999999999999999E-2</v>
      </c>
      <c r="L44" s="105">
        <v>4.3999999999999997E-2</v>
      </c>
      <c r="M44" s="105">
        <v>4.8000000000000001E-2</v>
      </c>
      <c r="N44" s="105">
        <v>5.2999999999999999E-2</v>
      </c>
      <c r="O44" s="195">
        <f t="shared" ref="O44:Q45" si="65">NHHProps_SSW*AvgNHHBill_SSW*IF($H44="S1",I44,(I44+L44))</f>
        <v>1326669.1200000001</v>
      </c>
      <c r="P44" s="195">
        <f t="shared" si="65"/>
        <v>1592002.9440000001</v>
      </c>
      <c r="Q44" s="195">
        <f t="shared" si="65"/>
        <v>1724669.8559999999</v>
      </c>
      <c r="R44" s="286">
        <f t="shared" si="62"/>
        <v>489.26639188655241</v>
      </c>
      <c r="S44" s="195">
        <f t="shared" si="62"/>
        <v>587.11967026386287</v>
      </c>
      <c r="T44" s="287">
        <f t="shared" si="62"/>
        <v>636.04630945251802</v>
      </c>
      <c r="U44" s="103">
        <f>1/40</f>
        <v>2.5000000000000001E-2</v>
      </c>
      <c r="V44" s="103">
        <f>1/60</f>
        <v>1.6666666666666666E-2</v>
      </c>
      <c r="W44" s="103">
        <v>0</v>
      </c>
      <c r="X44" s="103" t="str">
        <f>H44</f>
        <v>S1</v>
      </c>
      <c r="Y44" s="105">
        <v>4.0000000000000001E-3</v>
      </c>
      <c r="Z44" s="105">
        <v>6.0000000000000001E-3</v>
      </c>
      <c r="AA44" s="105">
        <v>7.0000000000000001E-3</v>
      </c>
      <c r="AB44" s="105">
        <v>1.0999999999999999E-2</v>
      </c>
      <c r="AC44" s="105">
        <v>1.2E-2</v>
      </c>
      <c r="AD44" s="105">
        <v>1.2999999999999999E-2</v>
      </c>
      <c r="AE44" s="195">
        <f t="shared" ref="AE44:AG45" si="66">NHHProps_CAM*AvgNHHBill_CAM*IF($H44="S1",Y44,(Y44+AB44))</f>
        <v>175964.16</v>
      </c>
      <c r="AF44" s="195">
        <f t="shared" si="66"/>
        <v>263946.23999999999</v>
      </c>
      <c r="AG44" s="195">
        <f t="shared" si="66"/>
        <v>307937.28000000003</v>
      </c>
      <c r="AH44" s="286">
        <f t="shared" si="64"/>
        <v>146.15570414053738</v>
      </c>
      <c r="AI44" s="195">
        <f t="shared" si="64"/>
        <v>219.23355621080603</v>
      </c>
      <c r="AJ44" s="287">
        <f t="shared" si="64"/>
        <v>255.77248224594041</v>
      </c>
    </row>
    <row r="45" spans="1:39" x14ac:dyDescent="0.35">
      <c r="A45" s="7"/>
      <c r="B45" s="7"/>
      <c r="C45" s="7"/>
      <c r="D45" s="7" t="s">
        <v>437</v>
      </c>
      <c r="E45" s="103">
        <f>530/37000</f>
        <v>1.4324324324324324E-2</v>
      </c>
      <c r="F45" s="103">
        <f>265/37000</f>
        <v>7.1621621621621619E-3</v>
      </c>
      <c r="G45" s="103">
        <v>0</v>
      </c>
      <c r="H45" s="103" t="s">
        <v>351</v>
      </c>
      <c r="I45" s="105">
        <v>7.0000000000000001E-3</v>
      </c>
      <c r="J45" s="105">
        <v>8.0000000000000002E-3</v>
      </c>
      <c r="K45" s="105">
        <v>8.9999999999999993E-3</v>
      </c>
      <c r="L45" s="105">
        <v>1.4E-2</v>
      </c>
      <c r="M45" s="105">
        <v>1.6E-2</v>
      </c>
      <c r="N45" s="105">
        <v>1.7000000000000001E-2</v>
      </c>
      <c r="O45" s="195">
        <f t="shared" si="65"/>
        <v>928668.38399999996</v>
      </c>
      <c r="P45" s="195">
        <f t="shared" si="65"/>
        <v>1061335.2960000001</v>
      </c>
      <c r="Q45" s="195">
        <f t="shared" si="65"/>
        <v>1194002.2079999999</v>
      </c>
      <c r="R45" s="286">
        <f t="shared" si="62"/>
        <v>227.70888678996769</v>
      </c>
      <c r="S45" s="195">
        <f t="shared" si="62"/>
        <v>260.23872775996313</v>
      </c>
      <c r="T45" s="287">
        <f t="shared" si="62"/>
        <v>292.76856872995842</v>
      </c>
      <c r="U45" s="103">
        <f>250/10000</f>
        <v>2.5000000000000001E-2</v>
      </c>
      <c r="V45" s="103">
        <f>130/10000</f>
        <v>1.2999999999999999E-2</v>
      </c>
      <c r="W45" s="103">
        <v>0</v>
      </c>
      <c r="X45" s="103" t="str">
        <f>H45</f>
        <v>S1</v>
      </c>
      <c r="Y45" s="105">
        <v>2E-3</v>
      </c>
      <c r="Z45" s="105">
        <v>3.0000000000000001E-3</v>
      </c>
      <c r="AA45" s="105">
        <v>3.0000000000000001E-3</v>
      </c>
      <c r="AB45" s="105">
        <v>1.4E-2</v>
      </c>
      <c r="AC45" s="105">
        <v>1.4999999999999999E-2</v>
      </c>
      <c r="AD45" s="105">
        <v>1.7000000000000001E-2</v>
      </c>
      <c r="AE45" s="195">
        <f t="shared" si="66"/>
        <v>87982.080000000002</v>
      </c>
      <c r="AF45" s="195">
        <f t="shared" si="66"/>
        <v>131973.12</v>
      </c>
      <c r="AG45" s="195">
        <f t="shared" si="66"/>
        <v>131973.12</v>
      </c>
      <c r="AH45" s="286">
        <f t="shared" si="64"/>
        <v>50.748508382131035</v>
      </c>
      <c r="AI45" s="195">
        <f t="shared" si="64"/>
        <v>76.122762573196539</v>
      </c>
      <c r="AJ45" s="287">
        <f t="shared" si="64"/>
        <v>76.122762573196539</v>
      </c>
    </row>
    <row r="46" spans="1:39" x14ac:dyDescent="0.35">
      <c r="A46" s="7"/>
      <c r="B46" s="7"/>
      <c r="C46" s="7"/>
      <c r="D46" s="7" t="s">
        <v>438</v>
      </c>
      <c r="E46" s="150">
        <f>E43</f>
        <v>1.4492753623188406E-2</v>
      </c>
      <c r="F46" s="150">
        <f>F43</f>
        <v>7.246376811594203E-3</v>
      </c>
      <c r="G46" s="150">
        <f>G43</f>
        <v>0</v>
      </c>
      <c r="H46" s="150"/>
      <c r="I46" s="151">
        <f t="shared" ref="I46:W46" si="67">I43</f>
        <v>1.1000000000000001</v>
      </c>
      <c r="J46" s="151">
        <f t="shared" si="67"/>
        <v>1.24</v>
      </c>
      <c r="K46" s="151">
        <f t="shared" si="67"/>
        <v>1.38</v>
      </c>
      <c r="L46" s="151">
        <f t="shared" si="67"/>
        <v>3.07</v>
      </c>
      <c r="M46" s="151">
        <f t="shared" si="67"/>
        <v>3.47</v>
      </c>
      <c r="N46" s="151">
        <f t="shared" si="67"/>
        <v>3.86</v>
      </c>
      <c r="O46" s="197">
        <f t="shared" si="67"/>
        <v>593380.70000000007</v>
      </c>
      <c r="P46" s="197">
        <f t="shared" si="67"/>
        <v>668901.88</v>
      </c>
      <c r="Q46" s="197">
        <f t="shared" si="67"/>
        <v>744423.05999999994</v>
      </c>
      <c r="R46" s="288">
        <f t="shared" si="67"/>
        <v>143.80565763709006</v>
      </c>
      <c r="S46" s="198">
        <f t="shared" si="67"/>
        <v>162.10819588181059</v>
      </c>
      <c r="T46" s="289">
        <f t="shared" si="67"/>
        <v>180.41073412653114</v>
      </c>
      <c r="U46" s="150">
        <f t="shared" si="67"/>
        <v>2.5190839694656488E-2</v>
      </c>
      <c r="V46" s="150">
        <f t="shared" si="67"/>
        <v>1.2213740458015267E-2</v>
      </c>
      <c r="W46" s="150">
        <f t="shared" si="67"/>
        <v>0</v>
      </c>
      <c r="X46" s="150"/>
      <c r="Y46" s="151">
        <f t="shared" ref="Y46:AJ46" si="68">Y43</f>
        <v>0.34</v>
      </c>
      <c r="Z46" s="151">
        <f t="shared" si="68"/>
        <v>0.39</v>
      </c>
      <c r="AA46" s="151">
        <f t="shared" si="68"/>
        <v>0.44</v>
      </c>
      <c r="AB46" s="151">
        <f t="shared" si="68"/>
        <v>2.11</v>
      </c>
      <c r="AC46" s="151">
        <f t="shared" si="68"/>
        <v>2.38</v>
      </c>
      <c r="AD46" s="151">
        <f t="shared" si="68"/>
        <v>2.64</v>
      </c>
      <c r="AE46" s="197">
        <f t="shared" si="68"/>
        <v>46199.880000000005</v>
      </c>
      <c r="AF46" s="197">
        <f t="shared" si="68"/>
        <v>52993.98</v>
      </c>
      <c r="AG46" s="197">
        <f t="shared" si="68"/>
        <v>59788.08</v>
      </c>
      <c r="AH46" s="288">
        <f t="shared" si="68"/>
        <v>24.641862203579887</v>
      </c>
      <c r="AI46" s="198">
        <f t="shared" si="68"/>
        <v>28.26566546881222</v>
      </c>
      <c r="AJ46" s="289">
        <f t="shared" si="68"/>
        <v>31.889468734044556</v>
      </c>
    </row>
    <row r="47" spans="1:39" x14ac:dyDescent="0.35">
      <c r="A47" s="7"/>
      <c r="B47" s="7"/>
      <c r="C47" s="7"/>
      <c r="D47" s="7" t="s">
        <v>439</v>
      </c>
      <c r="E47" s="150">
        <f>E45</f>
        <v>1.4324324324324324E-2</v>
      </c>
      <c r="F47" s="150">
        <f>F45</f>
        <v>7.1621621621621619E-3</v>
      </c>
      <c r="G47" s="150">
        <f>G45</f>
        <v>0</v>
      </c>
      <c r="H47" s="150"/>
      <c r="I47" s="150">
        <f t="shared" ref="I47:W47" si="69">I45</f>
        <v>7.0000000000000001E-3</v>
      </c>
      <c r="J47" s="150">
        <f t="shared" si="69"/>
        <v>8.0000000000000002E-3</v>
      </c>
      <c r="K47" s="150">
        <f t="shared" si="69"/>
        <v>8.9999999999999993E-3</v>
      </c>
      <c r="L47" s="150">
        <f t="shared" si="69"/>
        <v>1.4E-2</v>
      </c>
      <c r="M47" s="150">
        <f t="shared" si="69"/>
        <v>1.6E-2</v>
      </c>
      <c r="N47" s="150">
        <f t="shared" si="69"/>
        <v>1.7000000000000001E-2</v>
      </c>
      <c r="O47" s="197">
        <f t="shared" si="69"/>
        <v>928668.38399999996</v>
      </c>
      <c r="P47" s="197">
        <f t="shared" si="69"/>
        <v>1061335.2960000001</v>
      </c>
      <c r="Q47" s="197">
        <f t="shared" si="69"/>
        <v>1194002.2079999999</v>
      </c>
      <c r="R47" s="288">
        <f t="shared" si="69"/>
        <v>227.70888678996769</v>
      </c>
      <c r="S47" s="198">
        <f t="shared" si="69"/>
        <v>260.23872775996313</v>
      </c>
      <c r="T47" s="289">
        <f t="shared" si="69"/>
        <v>292.76856872995842</v>
      </c>
      <c r="U47" s="150">
        <f t="shared" si="69"/>
        <v>2.5000000000000001E-2</v>
      </c>
      <c r="V47" s="150">
        <f t="shared" si="69"/>
        <v>1.2999999999999999E-2</v>
      </c>
      <c r="W47" s="150">
        <f t="shared" si="69"/>
        <v>0</v>
      </c>
      <c r="X47" s="150"/>
      <c r="Y47" s="150">
        <f t="shared" ref="Y47:AJ47" si="70">Y45</f>
        <v>2E-3</v>
      </c>
      <c r="Z47" s="150">
        <f t="shared" si="70"/>
        <v>3.0000000000000001E-3</v>
      </c>
      <c r="AA47" s="150">
        <f t="shared" si="70"/>
        <v>3.0000000000000001E-3</v>
      </c>
      <c r="AB47" s="150">
        <f t="shared" si="70"/>
        <v>1.4E-2</v>
      </c>
      <c r="AC47" s="150">
        <f t="shared" si="70"/>
        <v>1.4999999999999999E-2</v>
      </c>
      <c r="AD47" s="150">
        <f t="shared" si="70"/>
        <v>1.7000000000000001E-2</v>
      </c>
      <c r="AE47" s="197">
        <f t="shared" si="70"/>
        <v>87982.080000000002</v>
      </c>
      <c r="AF47" s="197">
        <f t="shared" si="70"/>
        <v>131973.12</v>
      </c>
      <c r="AG47" s="197">
        <f t="shared" si="70"/>
        <v>131973.12</v>
      </c>
      <c r="AH47" s="288">
        <f t="shared" si="70"/>
        <v>50.748508382131035</v>
      </c>
      <c r="AI47" s="198">
        <f t="shared" si="70"/>
        <v>76.122762573196539</v>
      </c>
      <c r="AJ47" s="289">
        <f t="shared" si="70"/>
        <v>76.122762573196539</v>
      </c>
    </row>
    <row r="48" spans="1:39" x14ac:dyDescent="0.35">
      <c r="A48" s="7"/>
      <c r="B48" s="7"/>
      <c r="C48" s="7"/>
      <c r="D48" s="7" t="s">
        <v>440</v>
      </c>
      <c r="E48" s="134"/>
      <c r="F48" s="134"/>
      <c r="G48" s="134"/>
      <c r="H48" s="134"/>
      <c r="I48" s="152"/>
      <c r="J48" s="139"/>
      <c r="K48" s="153"/>
      <c r="L48" s="154"/>
      <c r="M48" s="155"/>
      <c r="N48" s="155"/>
      <c r="O48" s="197">
        <f t="shared" ref="O48:T48" si="71">SUM(O46:O47)</f>
        <v>1522049.084</v>
      </c>
      <c r="P48" s="197">
        <f t="shared" si="71"/>
        <v>1730237.176</v>
      </c>
      <c r="Q48" s="197">
        <f t="shared" si="71"/>
        <v>1938425.2679999997</v>
      </c>
      <c r="R48" s="290">
        <f t="shared" si="71"/>
        <v>371.51454442705779</v>
      </c>
      <c r="S48" s="291">
        <f t="shared" si="71"/>
        <v>422.34692364177374</v>
      </c>
      <c r="T48" s="292">
        <f t="shared" si="71"/>
        <v>473.17930285648958</v>
      </c>
      <c r="U48" s="134"/>
      <c r="V48" s="134"/>
      <c r="W48" s="134"/>
      <c r="X48" s="134"/>
      <c r="Y48" s="152"/>
      <c r="Z48" s="139"/>
      <c r="AA48" s="156"/>
      <c r="AB48" s="154"/>
      <c r="AC48" s="152"/>
      <c r="AD48" s="139"/>
      <c r="AE48" s="197">
        <f t="shared" ref="AE48:AJ48" si="72">SUM(AE46:AE47)</f>
        <v>134181.96000000002</v>
      </c>
      <c r="AF48" s="197">
        <f t="shared" si="72"/>
        <v>184967.1</v>
      </c>
      <c r="AG48" s="197">
        <f t="shared" si="72"/>
        <v>191761.2</v>
      </c>
      <c r="AH48" s="290">
        <f t="shared" si="72"/>
        <v>75.390370585710926</v>
      </c>
      <c r="AI48" s="291">
        <f t="shared" si="72"/>
        <v>104.38842804200875</v>
      </c>
      <c r="AJ48" s="292">
        <f t="shared" si="72"/>
        <v>108.01223130724109</v>
      </c>
    </row>
    <row r="49" spans="1:39" x14ac:dyDescent="0.35">
      <c r="A49" s="7" t="s">
        <v>143</v>
      </c>
      <c r="B49" s="7" t="s">
        <v>447</v>
      </c>
      <c r="C49" s="7" t="s">
        <v>432</v>
      </c>
      <c r="D49" s="7" t="s">
        <v>433</v>
      </c>
      <c r="E49" s="103">
        <f>1/40</f>
        <v>2.5000000000000001E-2</v>
      </c>
      <c r="F49" s="103">
        <f>1/60</f>
        <v>1.6666666666666666E-2</v>
      </c>
      <c r="G49" s="103">
        <v>0</v>
      </c>
      <c r="H49" s="103" t="s">
        <v>351</v>
      </c>
      <c r="I49" s="31">
        <v>0.45</v>
      </c>
      <c r="J49" s="31">
        <v>0.5</v>
      </c>
      <c r="K49" s="31">
        <v>0.56000000000000005</v>
      </c>
      <c r="L49" s="31">
        <v>2.27</v>
      </c>
      <c r="M49" s="31">
        <v>2.5299999999999998</v>
      </c>
      <c r="N49" s="31">
        <v>2.79</v>
      </c>
      <c r="O49" s="195">
        <f t="shared" ref="O49:Q50" si="73">HHProps_SSW*IF($H49="S1",I49,(I49+L49))</f>
        <v>242746.65</v>
      </c>
      <c r="P49" s="195">
        <f t="shared" si="73"/>
        <v>269718.5</v>
      </c>
      <c r="Q49" s="195">
        <f t="shared" si="73"/>
        <v>302084.72000000003</v>
      </c>
      <c r="R49" s="286">
        <f t="shared" ref="R49:T52" si="74">O49/(IF($H49="S1",($E49-$F49),($E49-$G49))*100)</f>
        <v>291295.97999999992</v>
      </c>
      <c r="S49" s="195">
        <f t="shared" si="74"/>
        <v>323662.19999999995</v>
      </c>
      <c r="T49" s="287">
        <f t="shared" si="74"/>
        <v>362501.66399999999</v>
      </c>
      <c r="U49" s="103">
        <f>1/80</f>
        <v>1.2500000000000001E-2</v>
      </c>
      <c r="V49" s="103">
        <f>1/120</f>
        <v>8.3333333333333332E-3</v>
      </c>
      <c r="W49" s="103">
        <v>0</v>
      </c>
      <c r="X49" s="103" t="str">
        <f>H49</f>
        <v>S1</v>
      </c>
      <c r="Y49" s="31">
        <v>1.31</v>
      </c>
      <c r="Z49" s="31">
        <v>1.47</v>
      </c>
      <c r="AA49" s="31">
        <v>1.64</v>
      </c>
      <c r="AB49" s="31">
        <v>0.37</v>
      </c>
      <c r="AC49" s="31">
        <v>0.42</v>
      </c>
      <c r="AD49" s="31">
        <v>0.46</v>
      </c>
      <c r="AE49" s="195">
        <f t="shared" ref="AE49:AG50" si="75">HHProps_CAM*IF($H49="S1",Y49,(Y49+AB49))</f>
        <v>178005.42</v>
      </c>
      <c r="AF49" s="195">
        <f t="shared" si="75"/>
        <v>199746.54</v>
      </c>
      <c r="AG49" s="195">
        <f t="shared" si="75"/>
        <v>222846.47999999998</v>
      </c>
      <c r="AH49" s="286">
        <f t="shared" ref="AH49:AJ52" si="76">AE49/(IF($H49="S1",($U49-$V49),($U49-$W49))*100)</f>
        <v>427213.00799999997</v>
      </c>
      <c r="AI49" s="195">
        <f t="shared" si="76"/>
        <v>479391.69599999994</v>
      </c>
      <c r="AJ49" s="287">
        <f t="shared" si="76"/>
        <v>534831.55199999991</v>
      </c>
    </row>
    <row r="50" spans="1:39" x14ac:dyDescent="0.35">
      <c r="A50" s="7"/>
      <c r="B50" s="7"/>
      <c r="C50" s="123" t="s">
        <v>448</v>
      </c>
      <c r="D50" s="7" t="s">
        <v>435</v>
      </c>
      <c r="E50" s="103">
        <f>1/40</f>
        <v>2.5000000000000001E-2</v>
      </c>
      <c r="F50" s="103">
        <f>1/60</f>
        <v>1.6666666666666666E-2</v>
      </c>
      <c r="G50" s="103">
        <v>0</v>
      </c>
      <c r="H50" s="103" t="s">
        <v>351</v>
      </c>
      <c r="I50" s="31">
        <v>0.34</v>
      </c>
      <c r="J50" s="31">
        <v>0.38</v>
      </c>
      <c r="K50" s="31">
        <v>0.43</v>
      </c>
      <c r="L50" s="31">
        <v>1.78</v>
      </c>
      <c r="M50" s="31">
        <v>2.0099999999999998</v>
      </c>
      <c r="N50" s="31">
        <v>2.23</v>
      </c>
      <c r="O50" s="195">
        <f t="shared" si="73"/>
        <v>183408.58000000002</v>
      </c>
      <c r="P50" s="195">
        <f t="shared" si="73"/>
        <v>204986.06</v>
      </c>
      <c r="Q50" s="195">
        <f t="shared" si="73"/>
        <v>231957.91</v>
      </c>
      <c r="R50" s="286">
        <f t="shared" si="74"/>
        <v>220090.29599999997</v>
      </c>
      <c r="S50" s="195">
        <f t="shared" si="74"/>
        <v>245983.27199999994</v>
      </c>
      <c r="T50" s="287">
        <f t="shared" si="74"/>
        <v>278349.49199999997</v>
      </c>
      <c r="U50" s="103">
        <f>1/80</f>
        <v>1.2500000000000001E-2</v>
      </c>
      <c r="V50" s="103">
        <f>1/120</f>
        <v>8.3333333333333332E-3</v>
      </c>
      <c r="W50" s="103">
        <v>0</v>
      </c>
      <c r="X50" s="103" t="str">
        <f>H50</f>
        <v>S1</v>
      </c>
      <c r="Y50" s="31">
        <v>1.28</v>
      </c>
      <c r="Z50" s="31">
        <v>1.44</v>
      </c>
      <c r="AA50" s="31">
        <v>1.61</v>
      </c>
      <c r="AB50" s="31">
        <v>0.49</v>
      </c>
      <c r="AC50" s="31">
        <v>0.55000000000000004</v>
      </c>
      <c r="AD50" s="31">
        <v>0.61</v>
      </c>
      <c r="AE50" s="195">
        <f t="shared" si="75"/>
        <v>173928.95999999999</v>
      </c>
      <c r="AF50" s="195">
        <f t="shared" si="75"/>
        <v>195670.08</v>
      </c>
      <c r="AG50" s="195">
        <f t="shared" si="75"/>
        <v>218770.02000000002</v>
      </c>
      <c r="AH50" s="286">
        <f t="shared" si="76"/>
        <v>417429.5039999999</v>
      </c>
      <c r="AI50" s="195">
        <f t="shared" si="76"/>
        <v>469608.19199999986</v>
      </c>
      <c r="AJ50" s="287">
        <f t="shared" si="76"/>
        <v>525048.04799999995</v>
      </c>
    </row>
    <row r="51" spans="1:39" x14ac:dyDescent="0.35">
      <c r="A51" s="7"/>
      <c r="B51" s="7"/>
      <c r="C51" s="7"/>
      <c r="D51" s="7" t="s">
        <v>436</v>
      </c>
      <c r="E51" s="103">
        <f>1/40</f>
        <v>2.5000000000000001E-2</v>
      </c>
      <c r="F51" s="103">
        <f>1/60</f>
        <v>1.6666666666666666E-2</v>
      </c>
      <c r="G51" s="103">
        <v>0</v>
      </c>
      <c r="H51" s="103" t="s">
        <v>351</v>
      </c>
      <c r="I51" s="105">
        <v>8.0000000000000002E-3</v>
      </c>
      <c r="J51" s="105">
        <v>8.9999999999999993E-3</v>
      </c>
      <c r="K51" s="105">
        <v>0.01</v>
      </c>
      <c r="L51" s="105">
        <v>1.4999999999999999E-2</v>
      </c>
      <c r="M51" s="105">
        <v>1.7999999999999999E-2</v>
      </c>
      <c r="N51" s="105">
        <v>0.02</v>
      </c>
      <c r="O51" s="195">
        <f t="shared" ref="O51:Q52" si="77">NHHProps_SSW*AvgNHHBill_SSW*IF($H51="S1",I51,(I51+L51))</f>
        <v>1061335.2960000001</v>
      </c>
      <c r="P51" s="195">
        <f t="shared" si="77"/>
        <v>1194002.2079999999</v>
      </c>
      <c r="Q51" s="195">
        <f t="shared" si="77"/>
        <v>1326669.1200000001</v>
      </c>
      <c r="R51" s="286">
        <f t="shared" si="74"/>
        <v>1273602.3551999999</v>
      </c>
      <c r="S51" s="195">
        <f t="shared" si="74"/>
        <v>1432802.6495999997</v>
      </c>
      <c r="T51" s="287">
        <f t="shared" si="74"/>
        <v>1592002.9439999999</v>
      </c>
      <c r="U51" s="103">
        <f>1/80</f>
        <v>1.2500000000000001E-2</v>
      </c>
      <c r="V51" s="103">
        <f>1/120</f>
        <v>8.3333333333333332E-3</v>
      </c>
      <c r="W51" s="103">
        <v>0</v>
      </c>
      <c r="X51" s="103" t="str">
        <f>H51</f>
        <v>S1</v>
      </c>
      <c r="Y51" s="105">
        <v>8.0000000000000002E-3</v>
      </c>
      <c r="Z51" s="105">
        <v>8.0000000000000002E-3</v>
      </c>
      <c r="AA51" s="105">
        <v>8.9999999999999993E-3</v>
      </c>
      <c r="AB51" s="105">
        <v>2E-3</v>
      </c>
      <c r="AC51" s="105">
        <v>3.0000000000000001E-3</v>
      </c>
      <c r="AD51" s="105">
        <v>3.0000000000000001E-3</v>
      </c>
      <c r="AE51" s="195">
        <f t="shared" ref="AE51:AG52" si="78">NHHProps_CAM*AvgNHHBill_CAM*IF($H51="S1",Y51,(Y51+AB51))</f>
        <v>351928.32000000001</v>
      </c>
      <c r="AF51" s="195">
        <f t="shared" si="78"/>
        <v>351928.32000000001</v>
      </c>
      <c r="AG51" s="195">
        <f t="shared" si="78"/>
        <v>395919.35999999999</v>
      </c>
      <c r="AH51" s="286">
        <f t="shared" si="76"/>
        <v>844627.96799999988</v>
      </c>
      <c r="AI51" s="195">
        <f t="shared" si="76"/>
        <v>844627.96799999988</v>
      </c>
      <c r="AJ51" s="287">
        <f t="shared" si="76"/>
        <v>950206.4639999998</v>
      </c>
    </row>
    <row r="52" spans="1:39" x14ac:dyDescent="0.35">
      <c r="A52" s="7"/>
      <c r="B52" s="7"/>
      <c r="C52" s="7"/>
      <c r="D52" s="7" t="s">
        <v>437</v>
      </c>
      <c r="E52" s="103">
        <f>1/40</f>
        <v>2.5000000000000001E-2</v>
      </c>
      <c r="F52" s="103">
        <f>1/60</f>
        <v>1.6666666666666666E-2</v>
      </c>
      <c r="G52" s="103">
        <v>0</v>
      </c>
      <c r="H52" s="103" t="s">
        <v>351</v>
      </c>
      <c r="I52" s="105">
        <v>1E-3</v>
      </c>
      <c r="J52" s="117">
        <v>1E-3</v>
      </c>
      <c r="K52" s="105">
        <v>1E-3</v>
      </c>
      <c r="L52" s="105">
        <v>6.0000000000000001E-3</v>
      </c>
      <c r="M52" s="105">
        <v>7.0000000000000001E-3</v>
      </c>
      <c r="N52" s="105">
        <v>8.0000000000000002E-3</v>
      </c>
      <c r="O52" s="195">
        <f t="shared" si="77"/>
        <v>132666.91200000001</v>
      </c>
      <c r="P52" s="195">
        <f t="shared" si="77"/>
        <v>132666.91200000001</v>
      </c>
      <c r="Q52" s="195">
        <f t="shared" si="77"/>
        <v>132666.91200000001</v>
      </c>
      <c r="R52" s="286">
        <f t="shared" si="74"/>
        <v>159200.29439999998</v>
      </c>
      <c r="S52" s="195">
        <f t="shared" si="74"/>
        <v>159200.29439999998</v>
      </c>
      <c r="T52" s="287">
        <f t="shared" si="74"/>
        <v>159200.29439999998</v>
      </c>
      <c r="U52" s="103">
        <f>1/80</f>
        <v>1.2500000000000001E-2</v>
      </c>
      <c r="V52" s="103">
        <f>1/120</f>
        <v>8.3333333333333332E-3</v>
      </c>
      <c r="W52" s="103">
        <v>0</v>
      </c>
      <c r="X52" s="103" t="str">
        <f>H52</f>
        <v>S1</v>
      </c>
      <c r="Y52" s="105">
        <v>7.0000000000000001E-3</v>
      </c>
      <c r="Z52" s="105">
        <v>8.9999999999999993E-3</v>
      </c>
      <c r="AA52" s="105">
        <v>0.01</v>
      </c>
      <c r="AB52" s="105">
        <v>3.0000000000000001E-3</v>
      </c>
      <c r="AC52" s="105">
        <v>2E-3</v>
      </c>
      <c r="AD52" s="105">
        <v>2E-3</v>
      </c>
      <c r="AE52" s="195">
        <f t="shared" si="78"/>
        <v>307937.28000000003</v>
      </c>
      <c r="AF52" s="195">
        <f t="shared" si="78"/>
        <v>395919.35999999999</v>
      </c>
      <c r="AG52" s="195">
        <f t="shared" si="78"/>
        <v>439910.40000000002</v>
      </c>
      <c r="AH52" s="286">
        <f t="shared" si="76"/>
        <v>739049.47199999995</v>
      </c>
      <c r="AI52" s="195">
        <f t="shared" si="76"/>
        <v>950206.4639999998</v>
      </c>
      <c r="AJ52" s="287">
        <f t="shared" si="76"/>
        <v>1055784.96</v>
      </c>
    </row>
    <row r="53" spans="1:39" x14ac:dyDescent="0.35">
      <c r="A53" s="7"/>
      <c r="B53" s="7"/>
      <c r="C53" s="7"/>
      <c r="D53" s="7" t="s">
        <v>438</v>
      </c>
      <c r="E53" s="150">
        <f>E50</f>
        <v>2.5000000000000001E-2</v>
      </c>
      <c r="F53" s="150">
        <f>F50</f>
        <v>1.6666666666666666E-2</v>
      </c>
      <c r="G53" s="150">
        <f>G50</f>
        <v>0</v>
      </c>
      <c r="H53" s="150"/>
      <c r="I53" s="151">
        <f t="shared" ref="I53:W53" si="79">I50</f>
        <v>0.34</v>
      </c>
      <c r="J53" s="151">
        <f t="shared" si="79"/>
        <v>0.38</v>
      </c>
      <c r="K53" s="151">
        <f t="shared" si="79"/>
        <v>0.43</v>
      </c>
      <c r="L53" s="151">
        <f t="shared" si="79"/>
        <v>1.78</v>
      </c>
      <c r="M53" s="151">
        <f t="shared" si="79"/>
        <v>2.0099999999999998</v>
      </c>
      <c r="N53" s="151">
        <f t="shared" si="79"/>
        <v>2.23</v>
      </c>
      <c r="O53" s="197">
        <f t="shared" si="79"/>
        <v>183408.58000000002</v>
      </c>
      <c r="P53" s="197">
        <f t="shared" si="79"/>
        <v>204986.06</v>
      </c>
      <c r="Q53" s="197">
        <f t="shared" si="79"/>
        <v>231957.91</v>
      </c>
      <c r="R53" s="288">
        <f t="shared" si="79"/>
        <v>220090.29599999997</v>
      </c>
      <c r="S53" s="198">
        <f t="shared" si="79"/>
        <v>245983.27199999994</v>
      </c>
      <c r="T53" s="289">
        <f t="shared" si="79"/>
        <v>278349.49199999997</v>
      </c>
      <c r="U53" s="150">
        <f t="shared" si="79"/>
        <v>1.2500000000000001E-2</v>
      </c>
      <c r="V53" s="150">
        <f t="shared" si="79"/>
        <v>8.3333333333333332E-3</v>
      </c>
      <c r="W53" s="150">
        <f t="shared" si="79"/>
        <v>0</v>
      </c>
      <c r="X53" s="150"/>
      <c r="Y53" s="151">
        <f t="shared" ref="Y53:AJ53" si="80">Y50</f>
        <v>1.28</v>
      </c>
      <c r="Z53" s="151">
        <f t="shared" si="80"/>
        <v>1.44</v>
      </c>
      <c r="AA53" s="151">
        <f t="shared" si="80"/>
        <v>1.61</v>
      </c>
      <c r="AB53" s="151">
        <f t="shared" si="80"/>
        <v>0.49</v>
      </c>
      <c r="AC53" s="151">
        <f t="shared" si="80"/>
        <v>0.55000000000000004</v>
      </c>
      <c r="AD53" s="151">
        <f t="shared" si="80"/>
        <v>0.61</v>
      </c>
      <c r="AE53" s="197">
        <f t="shared" si="80"/>
        <v>173928.95999999999</v>
      </c>
      <c r="AF53" s="197">
        <f t="shared" si="80"/>
        <v>195670.08</v>
      </c>
      <c r="AG53" s="197">
        <f t="shared" si="80"/>
        <v>218770.02000000002</v>
      </c>
      <c r="AH53" s="288">
        <f t="shared" si="80"/>
        <v>417429.5039999999</v>
      </c>
      <c r="AI53" s="198">
        <f t="shared" si="80"/>
        <v>469608.19199999986</v>
      </c>
      <c r="AJ53" s="289">
        <f t="shared" si="80"/>
        <v>525048.04799999995</v>
      </c>
    </row>
    <row r="54" spans="1:39" x14ac:dyDescent="0.35">
      <c r="A54" s="7"/>
      <c r="B54" s="7"/>
      <c r="C54" s="7"/>
      <c r="D54" s="7" t="s">
        <v>439</v>
      </c>
      <c r="E54" s="150">
        <f>E52</f>
        <v>2.5000000000000001E-2</v>
      </c>
      <c r="F54" s="150">
        <f>F52</f>
        <v>1.6666666666666666E-2</v>
      </c>
      <c r="G54" s="150">
        <f>G52</f>
        <v>0</v>
      </c>
      <c r="H54" s="150"/>
      <c r="I54" s="150">
        <f t="shared" ref="I54:W54" si="81">I52</f>
        <v>1E-3</v>
      </c>
      <c r="J54" s="150">
        <f t="shared" si="81"/>
        <v>1E-3</v>
      </c>
      <c r="K54" s="150">
        <f t="shared" si="81"/>
        <v>1E-3</v>
      </c>
      <c r="L54" s="150">
        <f t="shared" si="81"/>
        <v>6.0000000000000001E-3</v>
      </c>
      <c r="M54" s="150">
        <f t="shared" si="81"/>
        <v>7.0000000000000001E-3</v>
      </c>
      <c r="N54" s="150">
        <f t="shared" si="81"/>
        <v>8.0000000000000002E-3</v>
      </c>
      <c r="O54" s="197">
        <f t="shared" si="81"/>
        <v>132666.91200000001</v>
      </c>
      <c r="P54" s="197">
        <f t="shared" si="81"/>
        <v>132666.91200000001</v>
      </c>
      <c r="Q54" s="197">
        <f t="shared" si="81"/>
        <v>132666.91200000001</v>
      </c>
      <c r="R54" s="288">
        <f t="shared" si="81"/>
        <v>159200.29439999998</v>
      </c>
      <c r="S54" s="198">
        <f t="shared" si="81"/>
        <v>159200.29439999998</v>
      </c>
      <c r="T54" s="289">
        <f t="shared" si="81"/>
        <v>159200.29439999998</v>
      </c>
      <c r="U54" s="150">
        <f t="shared" si="81"/>
        <v>1.2500000000000001E-2</v>
      </c>
      <c r="V54" s="150">
        <f t="shared" si="81"/>
        <v>8.3333333333333332E-3</v>
      </c>
      <c r="W54" s="150">
        <f t="shared" si="81"/>
        <v>0</v>
      </c>
      <c r="X54" s="150"/>
      <c r="Y54" s="150">
        <f t="shared" ref="Y54:AJ54" si="82">Y52</f>
        <v>7.0000000000000001E-3</v>
      </c>
      <c r="Z54" s="150">
        <f t="shared" si="82"/>
        <v>8.9999999999999993E-3</v>
      </c>
      <c r="AA54" s="150">
        <f t="shared" si="82"/>
        <v>0.01</v>
      </c>
      <c r="AB54" s="150">
        <f t="shared" si="82"/>
        <v>3.0000000000000001E-3</v>
      </c>
      <c r="AC54" s="150">
        <f t="shared" si="82"/>
        <v>2E-3</v>
      </c>
      <c r="AD54" s="150">
        <f t="shared" si="82"/>
        <v>2E-3</v>
      </c>
      <c r="AE54" s="197">
        <f t="shared" si="82"/>
        <v>307937.28000000003</v>
      </c>
      <c r="AF54" s="197">
        <f t="shared" si="82"/>
        <v>395919.35999999999</v>
      </c>
      <c r="AG54" s="197">
        <f t="shared" si="82"/>
        <v>439910.40000000002</v>
      </c>
      <c r="AH54" s="288">
        <f t="shared" si="82"/>
        <v>739049.47199999995</v>
      </c>
      <c r="AI54" s="198">
        <f t="shared" si="82"/>
        <v>950206.4639999998</v>
      </c>
      <c r="AJ54" s="289">
        <f t="shared" si="82"/>
        <v>1055784.96</v>
      </c>
    </row>
    <row r="55" spans="1:39" x14ac:dyDescent="0.35">
      <c r="A55" s="7"/>
      <c r="B55" s="7"/>
      <c r="C55" s="7"/>
      <c r="D55" s="7" t="s">
        <v>440</v>
      </c>
      <c r="E55" s="134"/>
      <c r="F55" s="134"/>
      <c r="G55" s="134"/>
      <c r="H55" s="134"/>
      <c r="I55" s="152"/>
      <c r="J55" s="139"/>
      <c r="K55" s="153"/>
      <c r="L55" s="154"/>
      <c r="M55" s="155"/>
      <c r="N55" s="155"/>
      <c r="O55" s="197">
        <f t="shared" ref="O55:T55" si="83">SUM(O53:O54)</f>
        <v>316075.49200000003</v>
      </c>
      <c r="P55" s="197">
        <f t="shared" si="83"/>
        <v>337652.97200000001</v>
      </c>
      <c r="Q55" s="197">
        <f t="shared" si="83"/>
        <v>364624.82200000004</v>
      </c>
      <c r="R55" s="290">
        <f t="shared" si="83"/>
        <v>379290.59039999999</v>
      </c>
      <c r="S55" s="291">
        <f t="shared" si="83"/>
        <v>405183.56639999989</v>
      </c>
      <c r="T55" s="292">
        <f t="shared" si="83"/>
        <v>437549.78639999998</v>
      </c>
      <c r="U55" s="134"/>
      <c r="V55" s="134"/>
      <c r="W55" s="134"/>
      <c r="X55" s="134"/>
      <c r="Y55" s="152"/>
      <c r="Z55" s="139"/>
      <c r="AA55" s="156"/>
      <c r="AB55" s="154"/>
      <c r="AC55" s="152"/>
      <c r="AD55" s="139"/>
      <c r="AE55" s="197">
        <f t="shared" ref="AE55:AJ55" si="84">SUM(AE53:AE54)</f>
        <v>481866.23999999999</v>
      </c>
      <c r="AF55" s="197">
        <f t="shared" si="84"/>
        <v>591589.43999999994</v>
      </c>
      <c r="AG55" s="197">
        <f t="shared" si="84"/>
        <v>658680.42000000004</v>
      </c>
      <c r="AH55" s="290">
        <f t="shared" si="84"/>
        <v>1156478.9759999998</v>
      </c>
      <c r="AI55" s="291">
        <f t="shared" si="84"/>
        <v>1419814.6559999997</v>
      </c>
      <c r="AJ55" s="292">
        <f t="shared" si="84"/>
        <v>1580833.0079999999</v>
      </c>
    </row>
    <row r="56" spans="1:39" x14ac:dyDescent="0.35">
      <c r="A56" s="123" t="s">
        <v>449</v>
      </c>
      <c r="B56" s="7" t="s">
        <v>450</v>
      </c>
      <c r="C56" s="7" t="s">
        <v>432</v>
      </c>
      <c r="D56" s="7" t="s">
        <v>433</v>
      </c>
      <c r="E56" s="113">
        <f>1/80</f>
        <v>1.2500000000000001E-2</v>
      </c>
      <c r="F56" s="113">
        <f>1/120</f>
        <v>8.3333333333333332E-3</v>
      </c>
      <c r="G56" s="114">
        <v>0</v>
      </c>
      <c r="H56" s="103" t="s">
        <v>351</v>
      </c>
      <c r="I56" s="31">
        <v>0.09</v>
      </c>
      <c r="J56" s="31">
        <v>0.11</v>
      </c>
      <c r="K56" s="115">
        <v>0.12</v>
      </c>
      <c r="L56" s="31">
        <v>0.31000000000000005</v>
      </c>
      <c r="M56" s="115">
        <v>0.33</v>
      </c>
      <c r="N56" s="115">
        <v>0.37</v>
      </c>
      <c r="O56" s="195">
        <f t="shared" ref="O56:Q57" si="85">HHProps_SSW*IF($H56="S1",I56,(I56+L56))</f>
        <v>48549.33</v>
      </c>
      <c r="P56" s="195">
        <f t="shared" si="85"/>
        <v>59338.07</v>
      </c>
      <c r="Q56" s="195">
        <f t="shared" si="85"/>
        <v>64732.439999999995</v>
      </c>
      <c r="R56" s="286">
        <f t="shared" ref="R56:T59" si="86">O56/(IF($H56="S1",($E56-$F56),($E56-$G56))*100)</f>
        <v>116518.39199999998</v>
      </c>
      <c r="S56" s="195">
        <f t="shared" si="86"/>
        <v>142411.36799999999</v>
      </c>
      <c r="T56" s="287">
        <f t="shared" si="86"/>
        <v>155357.85599999997</v>
      </c>
      <c r="U56" s="113">
        <f>1/80</f>
        <v>1.2500000000000001E-2</v>
      </c>
      <c r="V56" s="113">
        <f>1/120</f>
        <v>8.3333333333333332E-3</v>
      </c>
      <c r="W56" s="114">
        <f>0</f>
        <v>0</v>
      </c>
      <c r="X56" s="103" t="str">
        <f>H56</f>
        <v>S1</v>
      </c>
      <c r="Y56" s="31">
        <v>1.54</v>
      </c>
      <c r="Z56" s="31">
        <v>1.7366473974170527</v>
      </c>
      <c r="AA56" s="115">
        <v>1.93</v>
      </c>
      <c r="AB56" s="115">
        <v>0.28000000000000003</v>
      </c>
      <c r="AC56" s="31">
        <v>0.30758536486851185</v>
      </c>
      <c r="AD56" s="31">
        <v>0.34000000000000008</v>
      </c>
      <c r="AE56" s="195">
        <f t="shared" ref="AE56:AG57" si="87">HHProps_CAM*IF($H56="S1",Y56,(Y56+AB56))</f>
        <v>209258.28</v>
      </c>
      <c r="AF56" s="195">
        <f t="shared" si="87"/>
        <v>235979.12165582395</v>
      </c>
      <c r="AG56" s="195">
        <f t="shared" si="87"/>
        <v>262252.26</v>
      </c>
      <c r="AH56" s="286">
        <f t="shared" ref="AH56:AJ59" si="88">AE56/(IF($H56="S1",($U56-$V56),($U56-$W56))*100)</f>
        <v>502219.87199999992</v>
      </c>
      <c r="AI56" s="195">
        <f t="shared" si="88"/>
        <v>566349.89197397744</v>
      </c>
      <c r="AJ56" s="287">
        <f t="shared" si="88"/>
        <v>629405.42399999988</v>
      </c>
    </row>
    <row r="57" spans="1:39" x14ac:dyDescent="0.35">
      <c r="A57" s="123" t="s">
        <v>451</v>
      </c>
      <c r="B57" s="7"/>
      <c r="C57" s="123" t="s">
        <v>448</v>
      </c>
      <c r="D57" s="7" t="s">
        <v>435</v>
      </c>
      <c r="E57" s="113">
        <f>1/80</f>
        <v>1.2500000000000001E-2</v>
      </c>
      <c r="F57" s="113">
        <f>1/120</f>
        <v>8.3333333333333332E-3</v>
      </c>
      <c r="G57" s="114">
        <v>0</v>
      </c>
      <c r="H57" s="103" t="s">
        <v>351</v>
      </c>
      <c r="I57" s="31">
        <v>0.06</v>
      </c>
      <c r="J57" s="31">
        <v>7.0000000000000007E-2</v>
      </c>
      <c r="K57" s="115">
        <v>0.08</v>
      </c>
      <c r="L57" s="31">
        <v>0.5</v>
      </c>
      <c r="M57" s="115">
        <v>0.56999999999999995</v>
      </c>
      <c r="N57" s="115">
        <v>0.63</v>
      </c>
      <c r="O57" s="195">
        <f t="shared" si="85"/>
        <v>32366.219999999998</v>
      </c>
      <c r="P57" s="195">
        <f t="shared" si="85"/>
        <v>37760.590000000004</v>
      </c>
      <c r="Q57" s="195">
        <f t="shared" si="85"/>
        <v>43154.96</v>
      </c>
      <c r="R57" s="286">
        <f t="shared" si="86"/>
        <v>77678.927999999985</v>
      </c>
      <c r="S57" s="195">
        <f t="shared" si="86"/>
        <v>90625.415999999997</v>
      </c>
      <c r="T57" s="287">
        <f t="shared" si="86"/>
        <v>103571.90399999998</v>
      </c>
      <c r="U57" s="113">
        <f>1/80</f>
        <v>1.2500000000000001E-2</v>
      </c>
      <c r="V57" s="113">
        <f>1/120</f>
        <v>8.3333333333333332E-3</v>
      </c>
      <c r="W57" s="114">
        <f>0</f>
        <v>0</v>
      </c>
      <c r="X57" s="103" t="str">
        <f>H57</f>
        <v>S1</v>
      </c>
      <c r="Y57" s="31">
        <v>1.33</v>
      </c>
      <c r="Z57" s="31">
        <v>1.5029903774694477</v>
      </c>
      <c r="AA57" s="115">
        <v>1.67</v>
      </c>
      <c r="AB57" s="115">
        <v>0.28000000000000003</v>
      </c>
      <c r="AC57" s="31">
        <v>0.31632762130063785</v>
      </c>
      <c r="AD57" s="31">
        <v>0.35000000000000009</v>
      </c>
      <c r="AE57" s="195">
        <f t="shared" si="87"/>
        <v>180723.06</v>
      </c>
      <c r="AF57" s="195">
        <f t="shared" si="87"/>
        <v>204229.33847130349</v>
      </c>
      <c r="AG57" s="195">
        <f t="shared" si="87"/>
        <v>226922.94</v>
      </c>
      <c r="AH57" s="286">
        <f t="shared" si="88"/>
        <v>433735.34399999992</v>
      </c>
      <c r="AI57" s="195">
        <f t="shared" si="88"/>
        <v>490150.41233112832</v>
      </c>
      <c r="AJ57" s="287">
        <f t="shared" si="88"/>
        <v>544615.05599999987</v>
      </c>
    </row>
    <row r="58" spans="1:39" x14ac:dyDescent="0.35">
      <c r="A58" s="7"/>
      <c r="B58" s="7"/>
      <c r="C58" s="7"/>
      <c r="D58" s="7" t="s">
        <v>436</v>
      </c>
      <c r="E58" s="113">
        <f>1/80</f>
        <v>1.2500000000000001E-2</v>
      </c>
      <c r="F58" s="113">
        <f>1/120</f>
        <v>8.3333333333333332E-3</v>
      </c>
      <c r="G58" s="114">
        <v>0</v>
      </c>
      <c r="H58" s="103" t="s">
        <v>351</v>
      </c>
      <c r="I58" s="116">
        <v>1E-3</v>
      </c>
      <c r="J58" s="116">
        <v>1E-3</v>
      </c>
      <c r="K58" s="117">
        <v>1E-3</v>
      </c>
      <c r="L58" s="116">
        <v>7.0000000000000001E-3</v>
      </c>
      <c r="M58" s="114">
        <v>0</v>
      </c>
      <c r="N58" s="115">
        <v>9.0000000000000011E-3</v>
      </c>
      <c r="O58" s="195">
        <f t="shared" ref="O58:Q59" si="89">NHHProps_SSW*AvgNHHBill_SSW*IF($H58="S1",I58,(I58+L58))</f>
        <v>132666.91200000001</v>
      </c>
      <c r="P58" s="195">
        <f t="shared" si="89"/>
        <v>132666.91200000001</v>
      </c>
      <c r="Q58" s="195">
        <f t="shared" si="89"/>
        <v>132666.91200000001</v>
      </c>
      <c r="R58" s="286">
        <f t="shared" si="86"/>
        <v>318400.58879999997</v>
      </c>
      <c r="S58" s="195">
        <f t="shared" si="86"/>
        <v>318400.58879999997</v>
      </c>
      <c r="T58" s="287">
        <f t="shared" si="86"/>
        <v>318400.58879999997</v>
      </c>
      <c r="U58" s="113">
        <f>1/80</f>
        <v>1.2500000000000001E-2</v>
      </c>
      <c r="V58" s="113">
        <f>1/120</f>
        <v>8.3333333333333332E-3</v>
      </c>
      <c r="W58" s="114">
        <f>0</f>
        <v>0</v>
      </c>
      <c r="X58" s="103" t="str">
        <f>H58</f>
        <v>S1</v>
      </c>
      <c r="Y58" s="116">
        <v>6.0000000000000001E-3</v>
      </c>
      <c r="Z58" s="116">
        <v>7.1137546893272081E-3</v>
      </c>
      <c r="AA58" s="116">
        <v>8.0000000000000002E-3</v>
      </c>
      <c r="AB58" s="114">
        <v>1E-3</v>
      </c>
      <c r="AC58" s="116">
        <v>1.2848693146036688E-3</v>
      </c>
      <c r="AD58" s="116">
        <v>9.9999999999999915E-4</v>
      </c>
      <c r="AE58" s="195">
        <f t="shared" ref="AE58:AG59" si="90">NHHProps_CAM*AvgNHHBill_CAM*IF($H58="S1",Y58,(Y58+AB58))</f>
        <v>263946.23999999999</v>
      </c>
      <c r="AF58" s="195">
        <f t="shared" si="90"/>
        <v>312941.46708838077</v>
      </c>
      <c r="AG58" s="195">
        <f t="shared" si="90"/>
        <v>351928.32000000001</v>
      </c>
      <c r="AH58" s="286">
        <f t="shared" si="88"/>
        <v>633470.97599999991</v>
      </c>
      <c r="AI58" s="195">
        <f t="shared" si="88"/>
        <v>751059.52101211366</v>
      </c>
      <c r="AJ58" s="287">
        <f t="shared" si="88"/>
        <v>844627.96799999988</v>
      </c>
    </row>
    <row r="59" spans="1:39" x14ac:dyDescent="0.35">
      <c r="A59" s="7"/>
      <c r="B59" s="7"/>
      <c r="C59" s="7"/>
      <c r="D59" s="7" t="s">
        <v>437</v>
      </c>
      <c r="E59" s="113">
        <f>1/80</f>
        <v>1.2500000000000001E-2</v>
      </c>
      <c r="F59" s="113">
        <f>1/120</f>
        <v>8.3333333333333332E-3</v>
      </c>
      <c r="G59" s="114">
        <v>0</v>
      </c>
      <c r="H59" s="103" t="s">
        <v>351</v>
      </c>
      <c r="I59" s="114">
        <v>0</v>
      </c>
      <c r="J59" s="116">
        <v>1E-3</v>
      </c>
      <c r="K59" s="117">
        <v>1E-3</v>
      </c>
      <c r="L59" s="116">
        <v>1E-3</v>
      </c>
      <c r="M59" s="116">
        <v>8.0000000000000002E-3</v>
      </c>
      <c r="N59" s="115">
        <v>1E-3</v>
      </c>
      <c r="O59" s="195">
        <f t="shared" si="89"/>
        <v>0</v>
      </c>
      <c r="P59" s="195">
        <f t="shared" si="89"/>
        <v>132666.91200000001</v>
      </c>
      <c r="Q59" s="195">
        <f t="shared" si="89"/>
        <v>132666.91200000001</v>
      </c>
      <c r="R59" s="286">
        <f t="shared" si="86"/>
        <v>0</v>
      </c>
      <c r="S59" s="195">
        <f t="shared" si="86"/>
        <v>318400.58879999997</v>
      </c>
      <c r="T59" s="287">
        <f t="shared" si="86"/>
        <v>318400.58879999997</v>
      </c>
      <c r="U59" s="113">
        <f>1/80</f>
        <v>1.2500000000000001E-2</v>
      </c>
      <c r="V59" s="113">
        <f>1/120</f>
        <v>8.3333333333333332E-3</v>
      </c>
      <c r="W59" s="114">
        <f>0</f>
        <v>0</v>
      </c>
      <c r="X59" s="103" t="str">
        <f>H59</f>
        <v>S1</v>
      </c>
      <c r="Y59" s="116">
        <v>8.0000000000000002E-3</v>
      </c>
      <c r="Z59" s="116">
        <v>9.1158062540521636E-3</v>
      </c>
      <c r="AA59" s="116">
        <v>0.01</v>
      </c>
      <c r="AB59" s="114">
        <v>2E-3</v>
      </c>
      <c r="AC59" s="116">
        <v>2.0400790621022298E-3</v>
      </c>
      <c r="AD59" s="116">
        <v>2.9999999999999992E-3</v>
      </c>
      <c r="AE59" s="195">
        <f t="shared" si="90"/>
        <v>351928.32000000001</v>
      </c>
      <c r="AF59" s="195">
        <f t="shared" si="90"/>
        <v>401013.7975542589</v>
      </c>
      <c r="AG59" s="195">
        <f t="shared" si="90"/>
        <v>439910.40000000002</v>
      </c>
      <c r="AH59" s="286">
        <f t="shared" si="88"/>
        <v>844627.96799999988</v>
      </c>
      <c r="AI59" s="195">
        <f t="shared" si="88"/>
        <v>962433.11413022119</v>
      </c>
      <c r="AJ59" s="287">
        <f t="shared" si="88"/>
        <v>1055784.96</v>
      </c>
    </row>
    <row r="60" spans="1:39" x14ac:dyDescent="0.35">
      <c r="A60" s="7"/>
      <c r="B60" s="7"/>
      <c r="C60" s="7"/>
      <c r="D60" s="7" t="s">
        <v>438</v>
      </c>
      <c r="E60" s="150">
        <f>E57</f>
        <v>1.2500000000000001E-2</v>
      </c>
      <c r="F60" s="150">
        <f>F57</f>
        <v>8.3333333333333332E-3</v>
      </c>
      <c r="G60" s="150">
        <f>G57</f>
        <v>0</v>
      </c>
      <c r="H60" s="150"/>
      <c r="I60" s="151">
        <f t="shared" ref="I60:W60" si="91">I57</f>
        <v>0.06</v>
      </c>
      <c r="J60" s="151">
        <f t="shared" si="91"/>
        <v>7.0000000000000007E-2</v>
      </c>
      <c r="K60" s="151">
        <f t="shared" si="91"/>
        <v>0.08</v>
      </c>
      <c r="L60" s="151">
        <f t="shared" si="91"/>
        <v>0.5</v>
      </c>
      <c r="M60" s="151">
        <f t="shared" si="91"/>
        <v>0.56999999999999995</v>
      </c>
      <c r="N60" s="151">
        <f t="shared" si="91"/>
        <v>0.63</v>
      </c>
      <c r="O60" s="197">
        <f t="shared" si="91"/>
        <v>32366.219999999998</v>
      </c>
      <c r="P60" s="197">
        <f t="shared" si="91"/>
        <v>37760.590000000004</v>
      </c>
      <c r="Q60" s="197">
        <f t="shared" si="91"/>
        <v>43154.96</v>
      </c>
      <c r="R60" s="288">
        <f t="shared" si="91"/>
        <v>77678.927999999985</v>
      </c>
      <c r="S60" s="198">
        <f t="shared" si="91"/>
        <v>90625.415999999997</v>
      </c>
      <c r="T60" s="289">
        <f t="shared" si="91"/>
        <v>103571.90399999998</v>
      </c>
      <c r="U60" s="150">
        <f t="shared" si="91"/>
        <v>1.2500000000000001E-2</v>
      </c>
      <c r="V60" s="150">
        <f t="shared" si="91"/>
        <v>8.3333333333333332E-3</v>
      </c>
      <c r="W60" s="150">
        <f t="shared" si="91"/>
        <v>0</v>
      </c>
      <c r="X60" s="150"/>
      <c r="Y60" s="151">
        <f t="shared" ref="Y60:AJ60" si="92">Y57</f>
        <v>1.33</v>
      </c>
      <c r="Z60" s="151">
        <f t="shared" si="92"/>
        <v>1.5029903774694477</v>
      </c>
      <c r="AA60" s="151">
        <f t="shared" si="92"/>
        <v>1.67</v>
      </c>
      <c r="AB60" s="151">
        <f t="shared" si="92"/>
        <v>0.28000000000000003</v>
      </c>
      <c r="AC60" s="151">
        <f t="shared" si="92"/>
        <v>0.31632762130063785</v>
      </c>
      <c r="AD60" s="151">
        <f t="shared" si="92"/>
        <v>0.35000000000000009</v>
      </c>
      <c r="AE60" s="197">
        <f t="shared" si="92"/>
        <v>180723.06</v>
      </c>
      <c r="AF60" s="197">
        <f t="shared" si="92"/>
        <v>204229.33847130349</v>
      </c>
      <c r="AG60" s="197">
        <f t="shared" si="92"/>
        <v>226922.94</v>
      </c>
      <c r="AH60" s="288">
        <f t="shared" si="92"/>
        <v>433735.34399999992</v>
      </c>
      <c r="AI60" s="198">
        <f t="shared" si="92"/>
        <v>490150.41233112832</v>
      </c>
      <c r="AJ60" s="289">
        <f t="shared" si="92"/>
        <v>544615.05599999987</v>
      </c>
    </row>
    <row r="61" spans="1:39" x14ac:dyDescent="0.35">
      <c r="A61" s="7"/>
      <c r="B61" s="7"/>
      <c r="C61" s="7"/>
      <c r="D61" s="7" t="s">
        <v>439</v>
      </c>
      <c r="E61" s="150">
        <f>E59</f>
        <v>1.2500000000000001E-2</v>
      </c>
      <c r="F61" s="150">
        <f>F59</f>
        <v>8.3333333333333332E-3</v>
      </c>
      <c r="G61" s="150">
        <f>G59</f>
        <v>0</v>
      </c>
      <c r="H61" s="150"/>
      <c r="I61" s="150">
        <f t="shared" ref="I61:W61" si="93">I59</f>
        <v>0</v>
      </c>
      <c r="J61" s="150">
        <f t="shared" si="93"/>
        <v>1E-3</v>
      </c>
      <c r="K61" s="150">
        <f t="shared" si="93"/>
        <v>1E-3</v>
      </c>
      <c r="L61" s="150">
        <f t="shared" si="93"/>
        <v>1E-3</v>
      </c>
      <c r="M61" s="150">
        <f t="shared" si="93"/>
        <v>8.0000000000000002E-3</v>
      </c>
      <c r="N61" s="150">
        <f t="shared" si="93"/>
        <v>1E-3</v>
      </c>
      <c r="O61" s="197">
        <f t="shared" si="93"/>
        <v>0</v>
      </c>
      <c r="P61" s="197">
        <f t="shared" si="93"/>
        <v>132666.91200000001</v>
      </c>
      <c r="Q61" s="197">
        <f t="shared" si="93"/>
        <v>132666.91200000001</v>
      </c>
      <c r="R61" s="288">
        <f t="shared" si="93"/>
        <v>0</v>
      </c>
      <c r="S61" s="198">
        <f t="shared" si="93"/>
        <v>318400.58879999997</v>
      </c>
      <c r="T61" s="289">
        <f t="shared" si="93"/>
        <v>318400.58879999997</v>
      </c>
      <c r="U61" s="150">
        <f t="shared" si="93"/>
        <v>1.2500000000000001E-2</v>
      </c>
      <c r="V61" s="150">
        <f t="shared" si="93"/>
        <v>8.3333333333333332E-3</v>
      </c>
      <c r="W61" s="150">
        <f t="shared" si="93"/>
        <v>0</v>
      </c>
      <c r="X61" s="150"/>
      <c r="Y61" s="150">
        <f t="shared" ref="Y61:AJ61" si="94">Y59</f>
        <v>8.0000000000000002E-3</v>
      </c>
      <c r="Z61" s="150">
        <f t="shared" si="94"/>
        <v>9.1158062540521636E-3</v>
      </c>
      <c r="AA61" s="150">
        <f t="shared" si="94"/>
        <v>0.01</v>
      </c>
      <c r="AB61" s="150">
        <f t="shared" si="94"/>
        <v>2E-3</v>
      </c>
      <c r="AC61" s="150">
        <f t="shared" si="94"/>
        <v>2.0400790621022298E-3</v>
      </c>
      <c r="AD61" s="150">
        <f t="shared" si="94"/>
        <v>2.9999999999999992E-3</v>
      </c>
      <c r="AE61" s="197">
        <f t="shared" si="94"/>
        <v>351928.32000000001</v>
      </c>
      <c r="AF61" s="197">
        <f t="shared" si="94"/>
        <v>401013.7975542589</v>
      </c>
      <c r="AG61" s="197">
        <f t="shared" si="94"/>
        <v>439910.40000000002</v>
      </c>
      <c r="AH61" s="288">
        <f t="shared" si="94"/>
        <v>844627.96799999988</v>
      </c>
      <c r="AI61" s="198">
        <f t="shared" si="94"/>
        <v>962433.11413022119</v>
      </c>
      <c r="AJ61" s="289">
        <f t="shared" si="94"/>
        <v>1055784.96</v>
      </c>
    </row>
    <row r="62" spans="1:39" x14ac:dyDescent="0.35">
      <c r="A62" s="7"/>
      <c r="B62" s="7"/>
      <c r="C62" s="7"/>
      <c r="D62" s="7" t="s">
        <v>440</v>
      </c>
      <c r="E62" s="134"/>
      <c r="F62" s="134"/>
      <c r="G62" s="134"/>
      <c r="H62" s="134"/>
      <c r="I62" s="152"/>
      <c r="J62" s="139"/>
      <c r="K62" s="153"/>
      <c r="L62" s="154"/>
      <c r="M62" s="155"/>
      <c r="N62" s="155"/>
      <c r="O62" s="197">
        <f t="shared" ref="O62:T62" si="95">SUM(O60:O61)</f>
        <v>32366.219999999998</v>
      </c>
      <c r="P62" s="197">
        <f t="shared" si="95"/>
        <v>170427.50200000001</v>
      </c>
      <c r="Q62" s="197">
        <f t="shared" si="95"/>
        <v>175821.872</v>
      </c>
      <c r="R62" s="290">
        <f t="shared" si="95"/>
        <v>77678.927999999985</v>
      </c>
      <c r="S62" s="291">
        <f t="shared" si="95"/>
        <v>409026.0048</v>
      </c>
      <c r="T62" s="292">
        <f t="shared" si="95"/>
        <v>421972.49279999995</v>
      </c>
      <c r="U62" s="134"/>
      <c r="V62" s="134"/>
      <c r="W62" s="134"/>
      <c r="X62" s="134"/>
      <c r="Y62" s="152"/>
      <c r="Z62" s="139"/>
      <c r="AA62" s="156"/>
      <c r="AB62" s="154"/>
      <c r="AC62" s="152"/>
      <c r="AD62" s="139"/>
      <c r="AE62" s="197">
        <f t="shared" ref="AE62:AJ62" si="96">SUM(AE60:AE61)</f>
        <v>532651.38</v>
      </c>
      <c r="AF62" s="197">
        <f t="shared" si="96"/>
        <v>605243.13602556242</v>
      </c>
      <c r="AG62" s="197">
        <f t="shared" si="96"/>
        <v>666833.34000000008</v>
      </c>
      <c r="AH62" s="290">
        <f t="shared" si="96"/>
        <v>1278363.3119999999</v>
      </c>
      <c r="AI62" s="291">
        <f t="shared" si="96"/>
        <v>1452583.5264613496</v>
      </c>
      <c r="AJ62" s="292">
        <f t="shared" si="96"/>
        <v>1600400.0159999998</v>
      </c>
    </row>
    <row r="63" spans="1:39" x14ac:dyDescent="0.35">
      <c r="A63" s="7" t="s">
        <v>139</v>
      </c>
      <c r="B63" s="7" t="s">
        <v>452</v>
      </c>
      <c r="C63" s="7" t="s">
        <v>432</v>
      </c>
      <c r="D63" s="7" t="s">
        <v>433</v>
      </c>
      <c r="E63" s="103">
        <f>1/10</f>
        <v>0.1</v>
      </c>
      <c r="F63" s="103">
        <f>1/15</f>
        <v>6.6666666666666666E-2</v>
      </c>
      <c r="G63" s="103">
        <f>1/20</f>
        <v>0.05</v>
      </c>
      <c r="H63" s="103" t="s">
        <v>351</v>
      </c>
      <c r="I63" s="31">
        <v>1.71</v>
      </c>
      <c r="J63" s="31">
        <v>1.91</v>
      </c>
      <c r="K63" s="31">
        <v>2.11</v>
      </c>
      <c r="L63" s="31">
        <v>1.94</v>
      </c>
      <c r="M63" s="31">
        <v>2.16</v>
      </c>
      <c r="N63" s="31">
        <v>2.38</v>
      </c>
      <c r="O63" s="195">
        <f>HHProps_SSW*IF($H63="S1",I63,(I63+L63))</f>
        <v>922437.27</v>
      </c>
      <c r="P63" s="195">
        <f t="shared" ref="O63:Q64" si="97">HHProps_SSW*IF($H63="S1",J63,(J63+M63))</f>
        <v>1030324.6699999999</v>
      </c>
      <c r="Q63" s="195">
        <f t="shared" si="97"/>
        <v>1138212.0699999998</v>
      </c>
      <c r="R63" s="286">
        <f t="shared" ref="R63:T66" si="98">O63/(IF($H63="S1",($E63-$F63),($E63-$G63))*AllProps_SSW)</f>
        <v>48.598354656012638</v>
      </c>
      <c r="S63" s="195">
        <f t="shared" si="98"/>
        <v>54.282372744435165</v>
      </c>
      <c r="T63" s="287">
        <f t="shared" si="98"/>
        <v>59.966390832857691</v>
      </c>
      <c r="U63" s="103">
        <f>1/11</f>
        <v>9.0909090909090912E-2</v>
      </c>
      <c r="V63" s="103">
        <f>1/15</f>
        <v>6.6666666666666666E-2</v>
      </c>
      <c r="W63" s="103">
        <f>1/20</f>
        <v>0.05</v>
      </c>
      <c r="X63" s="103" t="str">
        <f>H63</f>
        <v>S1</v>
      </c>
      <c r="Y63" s="31">
        <v>0.55000000000000004</v>
      </c>
      <c r="Z63" s="31">
        <v>0.62</v>
      </c>
      <c r="AA63" s="31">
        <v>0.69</v>
      </c>
      <c r="AB63" s="31">
        <v>0.32</v>
      </c>
      <c r="AC63" s="31">
        <v>0.36</v>
      </c>
      <c r="AD63" s="31">
        <v>0.4</v>
      </c>
      <c r="AE63" s="195">
        <f t="shared" ref="AE63:AG64" si="99">HHProps_CAM*IF($H63="S1",Y63,(Y63+AB63))</f>
        <v>74735.100000000006</v>
      </c>
      <c r="AF63" s="195">
        <f t="shared" si="99"/>
        <v>84246.84</v>
      </c>
      <c r="AG63" s="195">
        <f t="shared" si="99"/>
        <v>93758.579999999987</v>
      </c>
      <c r="AH63" s="286">
        <f t="shared" ref="AH63:AJ66" si="100">AE63/(IF($H63="S1",($U63-$V63),($U63-$W63))*AllProps_CAM)</f>
        <v>21.338253768844218</v>
      </c>
      <c r="AI63" s="195">
        <f t="shared" si="100"/>
        <v>24.054031521242571</v>
      </c>
      <c r="AJ63" s="287">
        <f t="shared" si="100"/>
        <v>26.769809273640924</v>
      </c>
      <c r="AK63" s="111"/>
      <c r="AL63" s="111"/>
      <c r="AM63" s="111"/>
    </row>
    <row r="64" spans="1:39" x14ac:dyDescent="0.35">
      <c r="A64" s="7"/>
      <c r="B64" s="7"/>
      <c r="C64" s="7" t="s">
        <v>434</v>
      </c>
      <c r="D64" s="7" t="s">
        <v>435</v>
      </c>
      <c r="E64" s="103">
        <f>56100/552000</f>
        <v>0.10163043478260869</v>
      </c>
      <c r="F64" s="103">
        <f>28100/552000</f>
        <v>5.0905797101449275E-2</v>
      </c>
      <c r="G64" s="103">
        <f>14000/552000</f>
        <v>2.5362318840579712E-2</v>
      </c>
      <c r="H64" s="103" t="s">
        <v>351</v>
      </c>
      <c r="I64" s="31">
        <v>1.95</v>
      </c>
      <c r="J64" s="31">
        <v>2.2000000000000002</v>
      </c>
      <c r="K64" s="31">
        <v>2.4500000000000002</v>
      </c>
      <c r="L64" s="31">
        <v>2.0499999999999998</v>
      </c>
      <c r="M64" s="31">
        <v>2.31</v>
      </c>
      <c r="N64" s="31">
        <v>2.58</v>
      </c>
      <c r="O64" s="195">
        <f t="shared" si="97"/>
        <v>1051902.1499999999</v>
      </c>
      <c r="P64" s="195">
        <f t="shared" si="97"/>
        <v>1186761.4000000001</v>
      </c>
      <c r="Q64" s="195">
        <f t="shared" si="97"/>
        <v>1321620.6500000001</v>
      </c>
      <c r="R64" s="286">
        <f t="shared" si="98"/>
        <v>36.41831589510722</v>
      </c>
      <c r="S64" s="195">
        <f t="shared" si="98"/>
        <v>41.08733075345431</v>
      </c>
      <c r="T64" s="287">
        <f t="shared" si="98"/>
        <v>45.756345611801386</v>
      </c>
      <c r="U64" s="103">
        <f>12200/131000</f>
        <v>9.3129770992366412E-2</v>
      </c>
      <c r="V64" s="103">
        <f>6100/131000</f>
        <v>4.6564885496183206E-2</v>
      </c>
      <c r="W64" s="103">
        <f>3000/131000</f>
        <v>2.2900763358778626E-2</v>
      </c>
      <c r="X64" s="103" t="str">
        <f>H64</f>
        <v>S1</v>
      </c>
      <c r="Y64" s="31">
        <v>0.81</v>
      </c>
      <c r="Z64" s="31">
        <v>0.92</v>
      </c>
      <c r="AA64" s="31">
        <v>1.03</v>
      </c>
      <c r="AB64" s="31">
        <v>0.35</v>
      </c>
      <c r="AC64" s="31">
        <v>0.39</v>
      </c>
      <c r="AD64" s="31">
        <v>0.44</v>
      </c>
      <c r="AE64" s="195">
        <f t="shared" si="99"/>
        <v>110064.42000000001</v>
      </c>
      <c r="AF64" s="195">
        <f t="shared" si="99"/>
        <v>125011.44</v>
      </c>
      <c r="AG64" s="195">
        <f t="shared" si="99"/>
        <v>139958.46</v>
      </c>
      <c r="AH64" s="286">
        <f t="shared" si="100"/>
        <v>16.360580643360414</v>
      </c>
      <c r="AI64" s="195">
        <f t="shared" si="100"/>
        <v>18.582387891224172</v>
      </c>
      <c r="AJ64" s="287">
        <f t="shared" si="100"/>
        <v>20.80419513908793</v>
      </c>
      <c r="AK64" s="111"/>
      <c r="AL64" s="111"/>
      <c r="AM64" s="111"/>
    </row>
    <row r="65" spans="1:39" x14ac:dyDescent="0.35">
      <c r="A65" s="7"/>
      <c r="B65" s="7"/>
      <c r="C65" s="7"/>
      <c r="D65" s="7" t="s">
        <v>436</v>
      </c>
      <c r="E65" s="103">
        <f>1/10</f>
        <v>0.1</v>
      </c>
      <c r="F65" s="103">
        <f>1/15</f>
        <v>6.6666666666666666E-2</v>
      </c>
      <c r="G65" s="103">
        <f>1/20</f>
        <v>0.05</v>
      </c>
      <c r="H65" s="103" t="s">
        <v>351</v>
      </c>
      <c r="I65" s="105">
        <v>1.4999999999999999E-2</v>
      </c>
      <c r="J65" s="105">
        <v>1.6E-2</v>
      </c>
      <c r="K65" s="105">
        <v>1.7999999999999999E-2</v>
      </c>
      <c r="L65" s="105">
        <v>1.2E-2</v>
      </c>
      <c r="M65" s="105">
        <v>1.4E-2</v>
      </c>
      <c r="N65" s="105">
        <v>1.4999999999999999E-2</v>
      </c>
      <c r="O65" s="195">
        <f t="shared" ref="O65:Q66" si="101">NHHProps_SSW*AvgNHHBill_SSW*IF($H65="S1",I65,(I65+L65))</f>
        <v>1990003.68</v>
      </c>
      <c r="P65" s="195">
        <f t="shared" si="101"/>
        <v>2122670.5920000002</v>
      </c>
      <c r="Q65" s="195">
        <f t="shared" si="101"/>
        <v>2388004.4159999997</v>
      </c>
      <c r="R65" s="286">
        <f t="shared" si="98"/>
        <v>104.84279826140403</v>
      </c>
      <c r="S65" s="195">
        <f t="shared" si="98"/>
        <v>111.83231814549765</v>
      </c>
      <c r="T65" s="287">
        <f t="shared" si="98"/>
        <v>125.81135791368483</v>
      </c>
      <c r="U65" s="103">
        <f>1/11</f>
        <v>9.0909090909090912E-2</v>
      </c>
      <c r="V65" s="103">
        <f>1/15</f>
        <v>6.6666666666666666E-2</v>
      </c>
      <c r="W65" s="103">
        <f>1/20</f>
        <v>0.05</v>
      </c>
      <c r="X65" s="103" t="str">
        <f>H65</f>
        <v>S1</v>
      </c>
      <c r="Y65" s="105">
        <v>4.0000000000000001E-3</v>
      </c>
      <c r="Z65" s="105">
        <v>4.0000000000000001E-3</v>
      </c>
      <c r="AA65" s="105">
        <v>5.0000000000000001E-3</v>
      </c>
      <c r="AB65" s="105">
        <v>3.0000000000000001E-3</v>
      </c>
      <c r="AC65" s="105">
        <v>4.0000000000000001E-3</v>
      </c>
      <c r="AD65" s="105">
        <v>4.0000000000000001E-3</v>
      </c>
      <c r="AE65" s="195">
        <f t="shared" ref="AE65:AG66" si="102">NHHProps_CAM*AvgNHHBill_CAM*IF($H65="S1",Y65,(Y65+AB65))</f>
        <v>175964.16</v>
      </c>
      <c r="AF65" s="195">
        <f t="shared" si="102"/>
        <v>175964.16</v>
      </c>
      <c r="AG65" s="195">
        <f t="shared" si="102"/>
        <v>219955.20000000001</v>
      </c>
      <c r="AH65" s="286">
        <f t="shared" si="100"/>
        <v>50.24102329830972</v>
      </c>
      <c r="AI65" s="195">
        <f t="shared" si="100"/>
        <v>50.24102329830972</v>
      </c>
      <c r="AJ65" s="287">
        <f t="shared" si="100"/>
        <v>62.801279122887159</v>
      </c>
      <c r="AK65" s="111"/>
      <c r="AL65" s="111"/>
      <c r="AM65" s="111"/>
    </row>
    <row r="66" spans="1:39" x14ac:dyDescent="0.35">
      <c r="A66" s="7"/>
      <c r="B66" s="7"/>
      <c r="C66" s="7"/>
      <c r="D66" s="7" t="s">
        <v>437</v>
      </c>
      <c r="E66" s="103">
        <f>3760/37000</f>
        <v>0.10162162162162162</v>
      </c>
      <c r="F66" s="103">
        <f>1880/37000</f>
        <v>5.0810810810810812E-2</v>
      </c>
      <c r="G66" s="103">
        <f>940/37000</f>
        <v>2.5405405405405406E-2</v>
      </c>
      <c r="H66" s="103" t="s">
        <v>351</v>
      </c>
      <c r="I66" s="105">
        <v>6.0000000000000001E-3</v>
      </c>
      <c r="J66" s="105">
        <v>7.0000000000000001E-3</v>
      </c>
      <c r="K66" s="105">
        <v>8.0000000000000002E-3</v>
      </c>
      <c r="L66" s="105">
        <v>8.9999999999999993E-3</v>
      </c>
      <c r="M66" s="105">
        <v>8.9999999999999993E-3</v>
      </c>
      <c r="N66" s="105">
        <v>1.0999999999999999E-2</v>
      </c>
      <c r="O66" s="195">
        <f t="shared" si="101"/>
        <v>796001.47200000007</v>
      </c>
      <c r="P66" s="195">
        <f t="shared" si="101"/>
        <v>928668.38399999996</v>
      </c>
      <c r="Q66" s="195">
        <f t="shared" si="101"/>
        <v>1061335.2960000001</v>
      </c>
      <c r="R66" s="286">
        <f t="shared" si="98"/>
        <v>27.51193996930461</v>
      </c>
      <c r="S66" s="195">
        <f t="shared" si="98"/>
        <v>32.097263297522041</v>
      </c>
      <c r="T66" s="287">
        <f t="shared" si="98"/>
        <v>36.682586625739482</v>
      </c>
      <c r="U66" s="103">
        <f>930/10000</f>
        <v>9.2999999999999999E-2</v>
      </c>
      <c r="V66" s="103">
        <f>460/10000</f>
        <v>4.5999999999999999E-2</v>
      </c>
      <c r="W66" s="103">
        <f>230/10000</f>
        <v>2.3E-2</v>
      </c>
      <c r="X66" s="103" t="str">
        <f>H66</f>
        <v>S1</v>
      </c>
      <c r="Y66" s="105">
        <v>3.0000000000000001E-3</v>
      </c>
      <c r="Z66" s="105">
        <v>3.0000000000000001E-3</v>
      </c>
      <c r="AA66" s="105">
        <v>3.0000000000000001E-3</v>
      </c>
      <c r="AB66" s="105">
        <v>2E-3</v>
      </c>
      <c r="AC66" s="105">
        <v>2E-3</v>
      </c>
      <c r="AD66" s="105">
        <v>3.0000000000000001E-3</v>
      </c>
      <c r="AE66" s="195">
        <f t="shared" si="102"/>
        <v>131973.12</v>
      </c>
      <c r="AF66" s="195">
        <f t="shared" si="102"/>
        <v>131973.12</v>
      </c>
      <c r="AG66" s="195">
        <f t="shared" si="102"/>
        <v>131973.12</v>
      </c>
      <c r="AH66" s="286">
        <f t="shared" si="100"/>
        <v>19.435598954858694</v>
      </c>
      <c r="AI66" s="195">
        <f t="shared" si="100"/>
        <v>19.435598954858694</v>
      </c>
      <c r="AJ66" s="287">
        <f t="shared" si="100"/>
        <v>19.435598954858694</v>
      </c>
      <c r="AK66" s="111"/>
      <c r="AL66" s="111"/>
      <c r="AM66" s="111"/>
    </row>
    <row r="67" spans="1:39" x14ac:dyDescent="0.35">
      <c r="A67" s="7"/>
      <c r="B67" s="7"/>
      <c r="C67" s="7"/>
      <c r="D67" s="7" t="s">
        <v>438</v>
      </c>
      <c r="E67" s="150">
        <f>E64</f>
        <v>0.10163043478260869</v>
      </c>
      <c r="F67" s="150">
        <f>F64</f>
        <v>5.0905797101449275E-2</v>
      </c>
      <c r="G67" s="150">
        <f>G64</f>
        <v>2.5362318840579712E-2</v>
      </c>
      <c r="H67" s="150"/>
      <c r="I67" s="151">
        <f t="shared" ref="I67:W67" si="103">I64</f>
        <v>1.95</v>
      </c>
      <c r="J67" s="151">
        <f t="shared" si="103"/>
        <v>2.2000000000000002</v>
      </c>
      <c r="K67" s="151">
        <f t="shared" si="103"/>
        <v>2.4500000000000002</v>
      </c>
      <c r="L67" s="151">
        <f t="shared" si="103"/>
        <v>2.0499999999999998</v>
      </c>
      <c r="M67" s="151">
        <f t="shared" si="103"/>
        <v>2.31</v>
      </c>
      <c r="N67" s="151">
        <f t="shared" si="103"/>
        <v>2.58</v>
      </c>
      <c r="O67" s="197">
        <f t="shared" si="103"/>
        <v>1051902.1499999999</v>
      </c>
      <c r="P67" s="197">
        <f t="shared" si="103"/>
        <v>1186761.4000000001</v>
      </c>
      <c r="Q67" s="197">
        <f t="shared" si="103"/>
        <v>1321620.6500000001</v>
      </c>
      <c r="R67" s="288">
        <f t="shared" si="103"/>
        <v>36.41831589510722</v>
      </c>
      <c r="S67" s="198">
        <f t="shared" si="103"/>
        <v>41.08733075345431</v>
      </c>
      <c r="T67" s="289">
        <f t="shared" si="103"/>
        <v>45.756345611801386</v>
      </c>
      <c r="U67" s="150">
        <f t="shared" si="103"/>
        <v>9.3129770992366412E-2</v>
      </c>
      <c r="V67" s="150">
        <f t="shared" si="103"/>
        <v>4.6564885496183206E-2</v>
      </c>
      <c r="W67" s="150">
        <f t="shared" si="103"/>
        <v>2.2900763358778626E-2</v>
      </c>
      <c r="X67" s="150"/>
      <c r="Y67" s="151">
        <f t="shared" ref="Y67:AJ67" si="104">Y64</f>
        <v>0.81</v>
      </c>
      <c r="Z67" s="151">
        <f t="shared" si="104"/>
        <v>0.92</v>
      </c>
      <c r="AA67" s="151">
        <f t="shared" si="104"/>
        <v>1.03</v>
      </c>
      <c r="AB67" s="151">
        <f t="shared" si="104"/>
        <v>0.35</v>
      </c>
      <c r="AC67" s="151">
        <f t="shared" si="104"/>
        <v>0.39</v>
      </c>
      <c r="AD67" s="151">
        <f t="shared" si="104"/>
        <v>0.44</v>
      </c>
      <c r="AE67" s="197">
        <f t="shared" si="104"/>
        <v>110064.42000000001</v>
      </c>
      <c r="AF67" s="197">
        <f t="shared" si="104"/>
        <v>125011.44</v>
      </c>
      <c r="AG67" s="197">
        <f t="shared" si="104"/>
        <v>139958.46</v>
      </c>
      <c r="AH67" s="288">
        <f t="shared" si="104"/>
        <v>16.360580643360414</v>
      </c>
      <c r="AI67" s="198">
        <f t="shared" si="104"/>
        <v>18.582387891224172</v>
      </c>
      <c r="AJ67" s="289">
        <f t="shared" si="104"/>
        <v>20.80419513908793</v>
      </c>
      <c r="AK67" s="111"/>
      <c r="AL67" s="111"/>
      <c r="AM67" s="111"/>
    </row>
    <row r="68" spans="1:39" x14ac:dyDescent="0.35">
      <c r="A68" s="7"/>
      <c r="B68" s="7"/>
      <c r="C68" s="7"/>
      <c r="D68" s="7" t="s">
        <v>439</v>
      </c>
      <c r="E68" s="150">
        <f>E66</f>
        <v>0.10162162162162162</v>
      </c>
      <c r="F68" s="150">
        <f>F66</f>
        <v>5.0810810810810812E-2</v>
      </c>
      <c r="G68" s="150">
        <f>G66</f>
        <v>2.5405405405405406E-2</v>
      </c>
      <c r="H68" s="150"/>
      <c r="I68" s="150">
        <f t="shared" ref="I68:W68" si="105">I66</f>
        <v>6.0000000000000001E-3</v>
      </c>
      <c r="J68" s="150">
        <f t="shared" si="105"/>
        <v>7.0000000000000001E-3</v>
      </c>
      <c r="K68" s="150">
        <f t="shared" si="105"/>
        <v>8.0000000000000002E-3</v>
      </c>
      <c r="L68" s="150">
        <f t="shared" si="105"/>
        <v>8.9999999999999993E-3</v>
      </c>
      <c r="M68" s="150">
        <f t="shared" si="105"/>
        <v>8.9999999999999993E-3</v>
      </c>
      <c r="N68" s="150">
        <f t="shared" si="105"/>
        <v>1.0999999999999999E-2</v>
      </c>
      <c r="O68" s="197">
        <f t="shared" si="105"/>
        <v>796001.47200000007</v>
      </c>
      <c r="P68" s="197">
        <f t="shared" si="105"/>
        <v>928668.38399999996</v>
      </c>
      <c r="Q68" s="197">
        <f t="shared" si="105"/>
        <v>1061335.2960000001</v>
      </c>
      <c r="R68" s="288">
        <f t="shared" si="105"/>
        <v>27.51193996930461</v>
      </c>
      <c r="S68" s="198">
        <f t="shared" si="105"/>
        <v>32.097263297522041</v>
      </c>
      <c r="T68" s="289">
        <f t="shared" si="105"/>
        <v>36.682586625739482</v>
      </c>
      <c r="U68" s="150">
        <f t="shared" si="105"/>
        <v>9.2999999999999999E-2</v>
      </c>
      <c r="V68" s="150">
        <f t="shared" si="105"/>
        <v>4.5999999999999999E-2</v>
      </c>
      <c r="W68" s="150">
        <f t="shared" si="105"/>
        <v>2.3E-2</v>
      </c>
      <c r="X68" s="150"/>
      <c r="Y68" s="150">
        <f t="shared" ref="Y68:AJ68" si="106">Y66</f>
        <v>3.0000000000000001E-3</v>
      </c>
      <c r="Z68" s="150">
        <f t="shared" si="106"/>
        <v>3.0000000000000001E-3</v>
      </c>
      <c r="AA68" s="150">
        <f t="shared" si="106"/>
        <v>3.0000000000000001E-3</v>
      </c>
      <c r="AB68" s="150">
        <f t="shared" si="106"/>
        <v>2E-3</v>
      </c>
      <c r="AC68" s="150">
        <f t="shared" si="106"/>
        <v>2E-3</v>
      </c>
      <c r="AD68" s="150">
        <f t="shared" si="106"/>
        <v>3.0000000000000001E-3</v>
      </c>
      <c r="AE68" s="197">
        <f t="shared" si="106"/>
        <v>131973.12</v>
      </c>
      <c r="AF68" s="197">
        <f t="shared" si="106"/>
        <v>131973.12</v>
      </c>
      <c r="AG68" s="197">
        <f t="shared" si="106"/>
        <v>131973.12</v>
      </c>
      <c r="AH68" s="288">
        <f t="shared" si="106"/>
        <v>19.435598954858694</v>
      </c>
      <c r="AI68" s="198">
        <f t="shared" si="106"/>
        <v>19.435598954858694</v>
      </c>
      <c r="AJ68" s="289">
        <f t="shared" si="106"/>
        <v>19.435598954858694</v>
      </c>
      <c r="AK68" s="111"/>
      <c r="AL68" s="111"/>
      <c r="AM68" s="111"/>
    </row>
    <row r="69" spans="1:39" x14ac:dyDescent="0.35">
      <c r="A69" s="7"/>
      <c r="B69" s="7"/>
      <c r="C69" s="7"/>
      <c r="D69" s="7" t="s">
        <v>440</v>
      </c>
      <c r="E69" s="134"/>
      <c r="F69" s="134"/>
      <c r="G69" s="134"/>
      <c r="H69" s="134"/>
      <c r="I69" s="152"/>
      <c r="J69" s="139"/>
      <c r="K69" s="153"/>
      <c r="L69" s="154"/>
      <c r="M69" s="155"/>
      <c r="N69" s="155"/>
      <c r="O69" s="197">
        <f t="shared" ref="O69:T69" si="107">SUM(O67:O68)</f>
        <v>1847903.622</v>
      </c>
      <c r="P69" s="197">
        <f t="shared" si="107"/>
        <v>2115429.784</v>
      </c>
      <c r="Q69" s="197">
        <f t="shared" si="107"/>
        <v>2382955.9460000005</v>
      </c>
      <c r="R69" s="290">
        <f t="shared" si="107"/>
        <v>63.930255864411833</v>
      </c>
      <c r="S69" s="291">
        <f t="shared" si="107"/>
        <v>73.184594050976358</v>
      </c>
      <c r="T69" s="292">
        <f t="shared" si="107"/>
        <v>82.438932237540868</v>
      </c>
      <c r="U69" s="134"/>
      <c r="V69" s="134"/>
      <c r="W69" s="134"/>
      <c r="X69" s="134"/>
      <c r="Y69" s="152"/>
      <c r="Z69" s="139"/>
      <c r="AA69" s="156"/>
      <c r="AB69" s="154"/>
      <c r="AC69" s="152"/>
      <c r="AD69" s="139"/>
      <c r="AE69" s="197">
        <f t="shared" ref="AE69:AJ69" si="108">SUM(AE67:AE68)</f>
        <v>242037.54</v>
      </c>
      <c r="AF69" s="197">
        <f t="shared" si="108"/>
        <v>256984.56</v>
      </c>
      <c r="AG69" s="197">
        <f t="shared" si="108"/>
        <v>271931.57999999996</v>
      </c>
      <c r="AH69" s="290">
        <f t="shared" si="108"/>
        <v>35.796179598219112</v>
      </c>
      <c r="AI69" s="291">
        <f t="shared" si="108"/>
        <v>38.017986846082863</v>
      </c>
      <c r="AJ69" s="292">
        <f t="shared" si="108"/>
        <v>40.239794093946628</v>
      </c>
      <c r="AK69" s="111"/>
      <c r="AL69" s="111"/>
      <c r="AM69" s="111"/>
    </row>
    <row r="70" spans="1:39" x14ac:dyDescent="0.35">
      <c r="A70" s="7" t="s">
        <v>141</v>
      </c>
      <c r="B70" s="7" t="s">
        <v>453</v>
      </c>
      <c r="C70" s="7" t="s">
        <v>432</v>
      </c>
      <c r="D70" s="7" t="s">
        <v>433</v>
      </c>
      <c r="E70" s="103">
        <f>1/80</f>
        <v>1.2500000000000001E-2</v>
      </c>
      <c r="F70" s="103">
        <f>1/120</f>
        <v>8.3333333333333332E-3</v>
      </c>
      <c r="G70" s="103">
        <v>0</v>
      </c>
      <c r="H70" s="103" t="s">
        <v>351</v>
      </c>
      <c r="I70" s="31">
        <v>2.6</v>
      </c>
      <c r="J70" s="31">
        <v>2.9</v>
      </c>
      <c r="K70" s="31">
        <v>3.21</v>
      </c>
      <c r="L70" s="31">
        <v>0.8</v>
      </c>
      <c r="M70" s="31">
        <v>0.9</v>
      </c>
      <c r="N70" s="31">
        <v>0.98</v>
      </c>
      <c r="O70" s="195">
        <f t="shared" ref="O70:Q71" si="109">HHProps_SSW*IF($H70="S1",I70,(I70+L70))</f>
        <v>1402536.2</v>
      </c>
      <c r="P70" s="195">
        <f t="shared" si="109"/>
        <v>1564367.3</v>
      </c>
      <c r="Q70" s="195">
        <f t="shared" si="109"/>
        <v>1731592.77</v>
      </c>
      <c r="R70" s="286">
        <f t="shared" ref="R70:T73" si="110">O70/(IF($H70="S1",($E70-$F70),($E70-$G70))*AllProps_SSW)</f>
        <v>591.13788119594324</v>
      </c>
      <c r="S70" s="195">
        <f t="shared" si="110"/>
        <v>659.34609825701364</v>
      </c>
      <c r="T70" s="287">
        <f t="shared" si="110"/>
        <v>729.82792255345294</v>
      </c>
      <c r="U70" s="103">
        <f>1/80</f>
        <v>1.2500000000000001E-2</v>
      </c>
      <c r="V70" s="103">
        <f>1/120</f>
        <v>8.3333333333333332E-3</v>
      </c>
      <c r="W70" s="103">
        <v>0</v>
      </c>
      <c r="X70" s="103" t="str">
        <f>H70</f>
        <v>S1</v>
      </c>
      <c r="Y70" s="31">
        <v>3.29</v>
      </c>
      <c r="Z70" s="31">
        <v>3.71</v>
      </c>
      <c r="AA70" s="31">
        <v>4.1399999999999997</v>
      </c>
      <c r="AB70" s="31">
        <v>0.41</v>
      </c>
      <c r="AC70" s="31">
        <v>0.46</v>
      </c>
      <c r="AD70" s="31">
        <v>0.51</v>
      </c>
      <c r="AE70" s="195">
        <f t="shared" ref="AE70:AG71" si="111">HHProps_CAM*IF($H70="S1",Y70,(Y70+AB70))</f>
        <v>447051.78</v>
      </c>
      <c r="AF70" s="195">
        <f t="shared" si="111"/>
        <v>504122.22</v>
      </c>
      <c r="AG70" s="195">
        <f t="shared" si="111"/>
        <v>562551.48</v>
      </c>
      <c r="AH70" s="286">
        <f t="shared" ref="AH70:AJ73" si="112">AE70/(IF($H70="S1",($U70-$V70),($U70-$W70))*AllProps_CAM)</f>
        <v>742.64177083765924</v>
      </c>
      <c r="AI70" s="195">
        <f t="shared" si="112"/>
        <v>837.44710328501992</v>
      </c>
      <c r="AJ70" s="287">
        <f t="shared" si="112"/>
        <v>934.50970555255594</v>
      </c>
      <c r="AK70" s="111"/>
      <c r="AL70" s="111"/>
      <c r="AM70" s="111"/>
    </row>
    <row r="71" spans="1:39" x14ac:dyDescent="0.35">
      <c r="A71" s="7"/>
      <c r="B71" s="7"/>
      <c r="C71" s="7"/>
      <c r="D71" s="7" t="s">
        <v>435</v>
      </c>
      <c r="E71" s="103">
        <f>1/80</f>
        <v>1.2500000000000001E-2</v>
      </c>
      <c r="F71" s="103">
        <f>1/120</f>
        <v>8.3333333333333332E-3</v>
      </c>
      <c r="G71" s="103">
        <v>0</v>
      </c>
      <c r="H71" s="103" t="s">
        <v>351</v>
      </c>
      <c r="I71" s="31">
        <v>1.87</v>
      </c>
      <c r="J71" s="31">
        <v>2.11</v>
      </c>
      <c r="K71" s="31">
        <v>2.35</v>
      </c>
      <c r="L71" s="31">
        <v>0.72</v>
      </c>
      <c r="M71" s="31">
        <v>0.81</v>
      </c>
      <c r="N71" s="31">
        <v>0.9</v>
      </c>
      <c r="O71" s="195">
        <f t="shared" si="109"/>
        <v>1008747.1900000001</v>
      </c>
      <c r="P71" s="195">
        <f t="shared" si="109"/>
        <v>1138212.0699999998</v>
      </c>
      <c r="Q71" s="195">
        <f t="shared" si="109"/>
        <v>1267676.95</v>
      </c>
      <c r="R71" s="286">
        <f t="shared" si="110"/>
        <v>425.16455301400532</v>
      </c>
      <c r="S71" s="195">
        <f t="shared" si="110"/>
        <v>479.73112666286153</v>
      </c>
      <c r="T71" s="287">
        <f t="shared" si="110"/>
        <v>534.2977003117179</v>
      </c>
      <c r="U71" s="103">
        <f>1/80</f>
        <v>1.2500000000000001E-2</v>
      </c>
      <c r="V71" s="103">
        <f>1/120</f>
        <v>8.3333333333333332E-3</v>
      </c>
      <c r="W71" s="103">
        <v>0</v>
      </c>
      <c r="X71" s="103" t="str">
        <f>H71</f>
        <v>S1</v>
      </c>
      <c r="Y71" s="31">
        <v>2.4300000000000002</v>
      </c>
      <c r="Z71" s="31">
        <v>2.75</v>
      </c>
      <c r="AA71" s="31">
        <v>3.06</v>
      </c>
      <c r="AB71" s="31">
        <v>0.34</v>
      </c>
      <c r="AC71" s="31">
        <v>0.38</v>
      </c>
      <c r="AD71" s="31">
        <v>0.42</v>
      </c>
      <c r="AE71" s="195">
        <f t="shared" si="111"/>
        <v>330193.26</v>
      </c>
      <c r="AF71" s="195">
        <f t="shared" si="111"/>
        <v>373675.5</v>
      </c>
      <c r="AG71" s="195">
        <f t="shared" si="111"/>
        <v>415798.92</v>
      </c>
      <c r="AH71" s="286">
        <f t="shared" si="112"/>
        <v>548.51656630258719</v>
      </c>
      <c r="AI71" s="195">
        <f t="shared" si="112"/>
        <v>620.7492005481954</v>
      </c>
      <c r="AJ71" s="287">
        <f t="shared" si="112"/>
        <v>690.72456497362828</v>
      </c>
      <c r="AK71" s="111"/>
      <c r="AL71" s="111"/>
      <c r="AM71" s="111"/>
    </row>
    <row r="72" spans="1:39" x14ac:dyDescent="0.35">
      <c r="A72" s="7"/>
      <c r="B72" s="7"/>
      <c r="C72" s="7"/>
      <c r="D72" s="7" t="s">
        <v>436</v>
      </c>
      <c r="E72" s="103">
        <f>1/80</f>
        <v>1.2500000000000001E-2</v>
      </c>
      <c r="F72" s="103">
        <f>1/120</f>
        <v>8.3333333333333332E-3</v>
      </c>
      <c r="G72" s="103">
        <v>0</v>
      </c>
      <c r="H72" s="103" t="s">
        <v>351</v>
      </c>
      <c r="I72" s="105">
        <v>5.1999999999999998E-2</v>
      </c>
      <c r="J72" s="105">
        <v>5.8999999999999997E-2</v>
      </c>
      <c r="K72" s="105">
        <v>6.5000000000000002E-2</v>
      </c>
      <c r="L72" s="105">
        <v>3.0000000000000001E-3</v>
      </c>
      <c r="M72" s="105">
        <v>3.0000000000000001E-3</v>
      </c>
      <c r="N72" s="105">
        <v>4.0000000000000001E-3</v>
      </c>
      <c r="O72" s="195">
        <f t="shared" ref="O72:Q73" si="113">NHHProps_SSW*AvgNHHBill_SSW*IF($H72="S1",I72,(I72+L72))</f>
        <v>6898679.4239999996</v>
      </c>
      <c r="P72" s="195">
        <f t="shared" si="113"/>
        <v>7827347.8079999993</v>
      </c>
      <c r="Q72" s="195">
        <f t="shared" si="113"/>
        <v>8623349.2800000012</v>
      </c>
      <c r="R72" s="286">
        <f t="shared" si="110"/>
        <v>2907.6402717829383</v>
      </c>
      <c r="S72" s="195">
        <f t="shared" si="110"/>
        <v>3299.0533852921799</v>
      </c>
      <c r="T72" s="287">
        <f t="shared" si="110"/>
        <v>3634.5503397286739</v>
      </c>
      <c r="U72" s="103">
        <f>1/80</f>
        <v>1.2500000000000001E-2</v>
      </c>
      <c r="V72" s="103">
        <f>1/120</f>
        <v>8.3333333333333332E-3</v>
      </c>
      <c r="W72" s="103">
        <v>0</v>
      </c>
      <c r="X72" s="103" t="str">
        <f>H72</f>
        <v>S1</v>
      </c>
      <c r="Y72" s="105">
        <v>1.4E-2</v>
      </c>
      <c r="Z72" s="105">
        <v>1.6E-2</v>
      </c>
      <c r="AA72" s="105">
        <v>1.7999999999999999E-2</v>
      </c>
      <c r="AB72" s="105">
        <v>2E-3</v>
      </c>
      <c r="AC72" s="105">
        <v>2E-3</v>
      </c>
      <c r="AD72" s="105">
        <v>2E-3</v>
      </c>
      <c r="AE72" s="195">
        <f t="shared" ref="AE72:AG73" si="114">NHHProps_CAM*AvgNHHBill_CAM*IF($H72="S1",Y72,(Y72+AB72))</f>
        <v>615874.56000000006</v>
      </c>
      <c r="AF72" s="195">
        <f t="shared" si="114"/>
        <v>703856.64000000001</v>
      </c>
      <c r="AG72" s="195">
        <f t="shared" si="114"/>
        <v>791838.71999999997</v>
      </c>
      <c r="AH72" s="286">
        <f t="shared" si="112"/>
        <v>1023.0899289837616</v>
      </c>
      <c r="AI72" s="195">
        <f t="shared" si="112"/>
        <v>1169.245633124299</v>
      </c>
      <c r="AJ72" s="287">
        <f t="shared" si="112"/>
        <v>1315.4013372648362</v>
      </c>
      <c r="AK72" s="111"/>
      <c r="AL72" s="111"/>
      <c r="AM72" s="111"/>
    </row>
    <row r="73" spans="1:39" x14ac:dyDescent="0.35">
      <c r="A73" s="7"/>
      <c r="B73" s="7"/>
      <c r="C73" s="7"/>
      <c r="D73" s="7" t="s">
        <v>437</v>
      </c>
      <c r="E73" s="103">
        <f>1/80</f>
        <v>1.2500000000000001E-2</v>
      </c>
      <c r="F73" s="103">
        <f>1/120</f>
        <v>8.3333333333333332E-3</v>
      </c>
      <c r="G73" s="103">
        <v>0</v>
      </c>
      <c r="H73" s="103" t="s">
        <v>351</v>
      </c>
      <c r="I73" s="105">
        <v>7.0000000000000001E-3</v>
      </c>
      <c r="J73" s="105">
        <v>8.0000000000000002E-3</v>
      </c>
      <c r="K73" s="105">
        <v>8.9999999999999993E-3</v>
      </c>
      <c r="L73" s="105">
        <v>6.0000000000000001E-3</v>
      </c>
      <c r="M73" s="105">
        <v>6.0000000000000001E-3</v>
      </c>
      <c r="N73" s="105">
        <v>7.0000000000000001E-3</v>
      </c>
      <c r="O73" s="195">
        <f t="shared" si="113"/>
        <v>928668.38399999996</v>
      </c>
      <c r="P73" s="195">
        <f t="shared" si="113"/>
        <v>1061335.2960000001</v>
      </c>
      <c r="Q73" s="195">
        <f t="shared" si="113"/>
        <v>1194002.2079999999</v>
      </c>
      <c r="R73" s="286">
        <f t="shared" si="110"/>
        <v>391.41311350924173</v>
      </c>
      <c r="S73" s="195">
        <f t="shared" si="110"/>
        <v>447.32927258199061</v>
      </c>
      <c r="T73" s="287">
        <f t="shared" si="110"/>
        <v>503.24543165473932</v>
      </c>
      <c r="U73" s="103">
        <f>1/80</f>
        <v>1.2500000000000001E-2</v>
      </c>
      <c r="V73" s="103">
        <f>1/120</f>
        <v>8.3333333333333332E-3</v>
      </c>
      <c r="W73" s="103">
        <v>0</v>
      </c>
      <c r="X73" s="103" t="str">
        <f>H73</f>
        <v>S1</v>
      </c>
      <c r="Y73" s="105">
        <v>2.5000000000000001E-2</v>
      </c>
      <c r="Z73" s="105">
        <v>0.03</v>
      </c>
      <c r="AA73" s="105">
        <v>3.5000000000000003E-2</v>
      </c>
      <c r="AB73" s="105">
        <v>3.0000000000000001E-3</v>
      </c>
      <c r="AC73" s="105">
        <v>3.0000000000000001E-3</v>
      </c>
      <c r="AD73" s="105">
        <v>3.0000000000000001E-3</v>
      </c>
      <c r="AE73" s="195">
        <f t="shared" si="114"/>
        <v>1099776</v>
      </c>
      <c r="AF73" s="195">
        <f t="shared" si="114"/>
        <v>1319731.2</v>
      </c>
      <c r="AG73" s="195">
        <f t="shared" si="114"/>
        <v>1539686.4000000001</v>
      </c>
      <c r="AH73" s="286">
        <f t="shared" si="112"/>
        <v>1826.946301756717</v>
      </c>
      <c r="AI73" s="195">
        <f t="shared" si="112"/>
        <v>2192.3355621080605</v>
      </c>
      <c r="AJ73" s="287">
        <f t="shared" si="112"/>
        <v>2557.7248224594041</v>
      </c>
      <c r="AK73" s="111"/>
      <c r="AL73" s="111"/>
      <c r="AM73" s="111"/>
    </row>
    <row r="74" spans="1:39" x14ac:dyDescent="0.35">
      <c r="A74" s="7"/>
      <c r="B74" s="7"/>
      <c r="C74" s="7"/>
      <c r="D74" s="7" t="s">
        <v>438</v>
      </c>
      <c r="E74" s="150">
        <f>E71</f>
        <v>1.2500000000000001E-2</v>
      </c>
      <c r="F74" s="150">
        <f>F71</f>
        <v>8.3333333333333332E-3</v>
      </c>
      <c r="G74" s="150">
        <f>G71</f>
        <v>0</v>
      </c>
      <c r="H74" s="150"/>
      <c r="I74" s="151">
        <f t="shared" ref="I74:W74" si="115">I71</f>
        <v>1.87</v>
      </c>
      <c r="J74" s="151">
        <f t="shared" si="115"/>
        <v>2.11</v>
      </c>
      <c r="K74" s="151">
        <f t="shared" si="115"/>
        <v>2.35</v>
      </c>
      <c r="L74" s="151">
        <f t="shared" si="115"/>
        <v>0.72</v>
      </c>
      <c r="M74" s="151">
        <f t="shared" si="115"/>
        <v>0.81</v>
      </c>
      <c r="N74" s="151">
        <f t="shared" si="115"/>
        <v>0.9</v>
      </c>
      <c r="O74" s="197">
        <f t="shared" si="115"/>
        <v>1008747.1900000001</v>
      </c>
      <c r="P74" s="197">
        <f t="shared" si="115"/>
        <v>1138212.0699999998</v>
      </c>
      <c r="Q74" s="197">
        <f t="shared" si="115"/>
        <v>1267676.95</v>
      </c>
      <c r="R74" s="288">
        <f t="shared" si="115"/>
        <v>425.16455301400532</v>
      </c>
      <c r="S74" s="198">
        <f t="shared" si="115"/>
        <v>479.73112666286153</v>
      </c>
      <c r="T74" s="289">
        <f t="shared" si="115"/>
        <v>534.2977003117179</v>
      </c>
      <c r="U74" s="150">
        <f t="shared" si="115"/>
        <v>1.2500000000000001E-2</v>
      </c>
      <c r="V74" s="150">
        <f t="shared" si="115"/>
        <v>8.3333333333333332E-3</v>
      </c>
      <c r="W74" s="150">
        <f t="shared" si="115"/>
        <v>0</v>
      </c>
      <c r="X74" s="150"/>
      <c r="Y74" s="151">
        <f t="shared" ref="Y74:AJ74" si="116">Y71</f>
        <v>2.4300000000000002</v>
      </c>
      <c r="Z74" s="151">
        <f t="shared" si="116"/>
        <v>2.75</v>
      </c>
      <c r="AA74" s="151">
        <f t="shared" si="116"/>
        <v>3.06</v>
      </c>
      <c r="AB74" s="151">
        <f t="shared" si="116"/>
        <v>0.34</v>
      </c>
      <c r="AC74" s="151">
        <f t="shared" si="116"/>
        <v>0.38</v>
      </c>
      <c r="AD74" s="151">
        <f t="shared" si="116"/>
        <v>0.42</v>
      </c>
      <c r="AE74" s="197">
        <f t="shared" si="116"/>
        <v>330193.26</v>
      </c>
      <c r="AF74" s="197">
        <f t="shared" si="116"/>
        <v>373675.5</v>
      </c>
      <c r="AG74" s="197">
        <f t="shared" si="116"/>
        <v>415798.92</v>
      </c>
      <c r="AH74" s="288">
        <f t="shared" si="116"/>
        <v>548.51656630258719</v>
      </c>
      <c r="AI74" s="198">
        <f t="shared" si="116"/>
        <v>620.7492005481954</v>
      </c>
      <c r="AJ74" s="289">
        <f t="shared" si="116"/>
        <v>690.72456497362828</v>
      </c>
      <c r="AK74" s="111"/>
      <c r="AL74" s="111"/>
      <c r="AM74" s="111"/>
    </row>
    <row r="75" spans="1:39" x14ac:dyDescent="0.35">
      <c r="A75" s="7"/>
      <c r="B75" s="7"/>
      <c r="C75" s="7"/>
      <c r="D75" s="7" t="s">
        <v>439</v>
      </c>
      <c r="E75" s="150">
        <f>E73</f>
        <v>1.2500000000000001E-2</v>
      </c>
      <c r="F75" s="150">
        <f>F73</f>
        <v>8.3333333333333332E-3</v>
      </c>
      <c r="G75" s="150">
        <f>G73</f>
        <v>0</v>
      </c>
      <c r="H75" s="150"/>
      <c r="I75" s="150">
        <f t="shared" ref="I75:W75" si="117">I73</f>
        <v>7.0000000000000001E-3</v>
      </c>
      <c r="J75" s="150">
        <f t="shared" si="117"/>
        <v>8.0000000000000002E-3</v>
      </c>
      <c r="K75" s="150">
        <f t="shared" si="117"/>
        <v>8.9999999999999993E-3</v>
      </c>
      <c r="L75" s="150">
        <f t="shared" si="117"/>
        <v>6.0000000000000001E-3</v>
      </c>
      <c r="M75" s="150">
        <f t="shared" si="117"/>
        <v>6.0000000000000001E-3</v>
      </c>
      <c r="N75" s="150">
        <f t="shared" si="117"/>
        <v>7.0000000000000001E-3</v>
      </c>
      <c r="O75" s="197">
        <f t="shared" si="117"/>
        <v>928668.38399999996</v>
      </c>
      <c r="P75" s="197">
        <f t="shared" si="117"/>
        <v>1061335.2960000001</v>
      </c>
      <c r="Q75" s="197">
        <f t="shared" si="117"/>
        <v>1194002.2079999999</v>
      </c>
      <c r="R75" s="288">
        <f t="shared" si="117"/>
        <v>391.41311350924173</v>
      </c>
      <c r="S75" s="198">
        <f t="shared" si="117"/>
        <v>447.32927258199061</v>
      </c>
      <c r="T75" s="289">
        <f t="shared" si="117"/>
        <v>503.24543165473932</v>
      </c>
      <c r="U75" s="150">
        <f t="shared" si="117"/>
        <v>1.2500000000000001E-2</v>
      </c>
      <c r="V75" s="150">
        <f t="shared" si="117"/>
        <v>8.3333333333333332E-3</v>
      </c>
      <c r="W75" s="150">
        <f t="shared" si="117"/>
        <v>0</v>
      </c>
      <c r="X75" s="150"/>
      <c r="Y75" s="150">
        <f t="shared" ref="Y75:AJ75" si="118">Y73</f>
        <v>2.5000000000000001E-2</v>
      </c>
      <c r="Z75" s="150">
        <f t="shared" si="118"/>
        <v>0.03</v>
      </c>
      <c r="AA75" s="150">
        <f t="shared" si="118"/>
        <v>3.5000000000000003E-2</v>
      </c>
      <c r="AB75" s="150">
        <f t="shared" si="118"/>
        <v>3.0000000000000001E-3</v>
      </c>
      <c r="AC75" s="150">
        <f t="shared" si="118"/>
        <v>3.0000000000000001E-3</v>
      </c>
      <c r="AD75" s="150">
        <f t="shared" si="118"/>
        <v>3.0000000000000001E-3</v>
      </c>
      <c r="AE75" s="197">
        <f t="shared" si="118"/>
        <v>1099776</v>
      </c>
      <c r="AF75" s="197">
        <f t="shared" si="118"/>
        <v>1319731.2</v>
      </c>
      <c r="AG75" s="197">
        <f t="shared" si="118"/>
        <v>1539686.4000000001</v>
      </c>
      <c r="AH75" s="288">
        <f t="shared" si="118"/>
        <v>1826.946301756717</v>
      </c>
      <c r="AI75" s="198">
        <f t="shared" si="118"/>
        <v>2192.3355621080605</v>
      </c>
      <c r="AJ75" s="289">
        <f t="shared" si="118"/>
        <v>2557.7248224594041</v>
      </c>
      <c r="AK75" s="111"/>
      <c r="AL75" s="111"/>
      <c r="AM75" s="111"/>
    </row>
    <row r="76" spans="1:39" x14ac:dyDescent="0.35">
      <c r="A76" s="7"/>
      <c r="B76" s="7"/>
      <c r="C76" s="7"/>
      <c r="D76" s="7" t="s">
        <v>440</v>
      </c>
      <c r="E76" s="134"/>
      <c r="F76" s="134"/>
      <c r="G76" s="134"/>
      <c r="H76" s="134"/>
      <c r="I76" s="152"/>
      <c r="J76" s="139"/>
      <c r="K76" s="153"/>
      <c r="L76" s="154"/>
      <c r="M76" s="155"/>
      <c r="N76" s="155"/>
      <c r="O76" s="197">
        <f t="shared" ref="O76:T76" si="119">SUM(O74:O75)</f>
        <v>1937415.574</v>
      </c>
      <c r="P76" s="197">
        <f t="shared" si="119"/>
        <v>2199547.3659999999</v>
      </c>
      <c r="Q76" s="197">
        <f t="shared" si="119"/>
        <v>2461679.1579999998</v>
      </c>
      <c r="R76" s="290">
        <f t="shared" si="119"/>
        <v>816.57766652324699</v>
      </c>
      <c r="S76" s="291">
        <f t="shared" si="119"/>
        <v>927.06039924485208</v>
      </c>
      <c r="T76" s="292">
        <f t="shared" si="119"/>
        <v>1037.5431319664572</v>
      </c>
      <c r="U76" s="134"/>
      <c r="V76" s="134"/>
      <c r="W76" s="134"/>
      <c r="X76" s="134"/>
      <c r="Y76" s="152"/>
      <c r="Z76" s="139"/>
      <c r="AA76" s="156"/>
      <c r="AB76" s="154"/>
      <c r="AC76" s="152"/>
      <c r="AD76" s="139"/>
      <c r="AE76" s="197">
        <f t="shared" ref="AE76:AJ76" si="120">SUM(AE74:AE75)</f>
        <v>1429969.26</v>
      </c>
      <c r="AF76" s="197">
        <f t="shared" si="120"/>
        <v>1693406.7</v>
      </c>
      <c r="AG76" s="197">
        <f t="shared" si="120"/>
        <v>1955485.32</v>
      </c>
      <c r="AH76" s="290">
        <f t="shared" si="120"/>
        <v>2375.4628680593041</v>
      </c>
      <c r="AI76" s="291">
        <f t="shared" si="120"/>
        <v>2813.0847626562559</v>
      </c>
      <c r="AJ76" s="292">
        <f t="shared" si="120"/>
        <v>3248.4493874330324</v>
      </c>
      <c r="AK76" s="111"/>
      <c r="AL76" s="111"/>
      <c r="AM76" s="111"/>
    </row>
    <row r="77" spans="1:39" x14ac:dyDescent="0.35">
      <c r="A77" s="7" t="s">
        <v>40</v>
      </c>
      <c r="B77" s="7" t="s">
        <v>454</v>
      </c>
      <c r="C77" s="123" t="s">
        <v>148</v>
      </c>
      <c r="D77" s="7" t="s">
        <v>433</v>
      </c>
      <c r="E77" s="108">
        <v>70.5</v>
      </c>
      <c r="F77" s="106">
        <f t="shared" ref="F77:G80" si="121">E77/2</f>
        <v>35.25</v>
      </c>
      <c r="G77" s="108">
        <f t="shared" si="121"/>
        <v>17.625</v>
      </c>
      <c r="H77" s="103" t="s">
        <v>351</v>
      </c>
      <c r="I77" s="31">
        <v>2.2000000000000002</v>
      </c>
      <c r="J77" s="31">
        <v>2.44</v>
      </c>
      <c r="K77" s="31">
        <v>2.69</v>
      </c>
      <c r="L77" s="31">
        <v>1.58</v>
      </c>
      <c r="M77" s="31">
        <v>1.75</v>
      </c>
      <c r="N77" s="31">
        <v>1.92</v>
      </c>
      <c r="O77" s="195">
        <f>HHProps_SSW*IF($H77="S1",I77,(I77+L77))</f>
        <v>1186761.4000000001</v>
      </c>
      <c r="P77" s="195">
        <f t="shared" ref="O77:Q78" si="122">HHProps_SSW*IF($H77="S1",J77,(J77+M77))</f>
        <v>1316226.28</v>
      </c>
      <c r="Q77" s="195">
        <f t="shared" si="122"/>
        <v>1451085.53</v>
      </c>
      <c r="R77" s="286">
        <f t="shared" ref="R77:T80" si="123">O77/(IF($H77="S1",($E77-$F77),($E77-$G77)))</f>
        <v>33666.990070921987</v>
      </c>
      <c r="S77" s="195">
        <f t="shared" si="123"/>
        <v>37339.752624113476</v>
      </c>
      <c r="T77" s="287">
        <f t="shared" si="123"/>
        <v>41165.546950354612</v>
      </c>
      <c r="U77" s="108">
        <v>13.5</v>
      </c>
      <c r="V77" s="108">
        <f t="shared" ref="V77:W80" si="124">U77/2</f>
        <v>6.75</v>
      </c>
      <c r="W77" s="108">
        <f t="shared" si="124"/>
        <v>3.375</v>
      </c>
      <c r="X77" s="103" t="str">
        <f>H77</f>
        <v>S1</v>
      </c>
      <c r="Y77" s="31">
        <v>2.84</v>
      </c>
      <c r="Z77" s="31">
        <v>3.27</v>
      </c>
      <c r="AA77" s="31">
        <v>3.7</v>
      </c>
      <c r="AB77" s="31">
        <v>1.18</v>
      </c>
      <c r="AC77" s="31">
        <v>1.37</v>
      </c>
      <c r="AD77" s="31">
        <v>1.54</v>
      </c>
      <c r="AE77" s="195">
        <f t="shared" ref="AE77:AG78" si="125">HHProps_CAM*IF($H77="S1",Y77,(Y77+AB77))</f>
        <v>385904.88</v>
      </c>
      <c r="AF77" s="195">
        <f t="shared" si="125"/>
        <v>444334.14</v>
      </c>
      <c r="AG77" s="195">
        <f t="shared" si="125"/>
        <v>502763.4</v>
      </c>
      <c r="AH77" s="286">
        <f t="shared" ref="AH77:AJ80" si="126">AE77/(IF($H77="S1",($U77-$V77),($U77-$W77)))</f>
        <v>57171.093333333331</v>
      </c>
      <c r="AI77" s="195">
        <f t="shared" si="126"/>
        <v>65827.28</v>
      </c>
      <c r="AJ77" s="287">
        <f t="shared" si="126"/>
        <v>74483.466666666674</v>
      </c>
      <c r="AK77" s="111"/>
      <c r="AL77" s="111"/>
      <c r="AM77" s="111"/>
    </row>
    <row r="78" spans="1:39" x14ac:dyDescent="0.35">
      <c r="A78" s="7"/>
      <c r="B78" s="7"/>
      <c r="C78" s="7"/>
      <c r="D78" s="7" t="s">
        <v>435</v>
      </c>
      <c r="E78" s="108">
        <v>70.5</v>
      </c>
      <c r="F78" s="106">
        <f t="shared" si="121"/>
        <v>35.25</v>
      </c>
      <c r="G78" s="108">
        <f t="shared" si="121"/>
        <v>17.625</v>
      </c>
      <c r="H78" s="103" t="s">
        <v>351</v>
      </c>
      <c r="I78" s="31">
        <v>1.77</v>
      </c>
      <c r="J78" s="31">
        <v>2</v>
      </c>
      <c r="K78" s="31">
        <v>2.23</v>
      </c>
      <c r="L78" s="31">
        <v>1.6</v>
      </c>
      <c r="M78" s="31">
        <v>1.79</v>
      </c>
      <c r="N78" s="31">
        <v>1.99</v>
      </c>
      <c r="O78" s="195">
        <f t="shared" si="122"/>
        <v>954803.49</v>
      </c>
      <c r="P78" s="195">
        <f t="shared" si="122"/>
        <v>1078874</v>
      </c>
      <c r="Q78" s="195">
        <f t="shared" si="122"/>
        <v>1202944.51</v>
      </c>
      <c r="R78" s="286">
        <f t="shared" si="123"/>
        <v>27086.623829787233</v>
      </c>
      <c r="S78" s="195">
        <f t="shared" si="123"/>
        <v>30606.35460992908</v>
      </c>
      <c r="T78" s="287">
        <f t="shared" si="123"/>
        <v>34126.085390070919</v>
      </c>
      <c r="U78" s="108">
        <v>13.5</v>
      </c>
      <c r="V78" s="108">
        <f t="shared" si="124"/>
        <v>6.75</v>
      </c>
      <c r="W78" s="108">
        <f t="shared" si="124"/>
        <v>3.375</v>
      </c>
      <c r="X78" s="103" t="str">
        <f>H78</f>
        <v>S1</v>
      </c>
      <c r="Y78" s="31">
        <v>5.96</v>
      </c>
      <c r="Z78" s="31">
        <v>7.22</v>
      </c>
      <c r="AA78" s="31">
        <v>8.49</v>
      </c>
      <c r="AB78" s="31">
        <v>3.72</v>
      </c>
      <c r="AC78" s="31">
        <v>3.09</v>
      </c>
      <c r="AD78" s="31">
        <v>2.4500000000000002</v>
      </c>
      <c r="AE78" s="195">
        <f t="shared" si="125"/>
        <v>809856.72</v>
      </c>
      <c r="AF78" s="195">
        <f t="shared" si="125"/>
        <v>981068.03999999992</v>
      </c>
      <c r="AG78" s="195">
        <f t="shared" si="125"/>
        <v>1153638.18</v>
      </c>
      <c r="AH78" s="286">
        <f t="shared" si="126"/>
        <v>119978.77333333333</v>
      </c>
      <c r="AI78" s="195">
        <f t="shared" si="126"/>
        <v>145343.41333333333</v>
      </c>
      <c r="AJ78" s="287">
        <f t="shared" si="126"/>
        <v>170909.36</v>
      </c>
      <c r="AK78" s="111"/>
      <c r="AL78" s="111"/>
      <c r="AM78" s="111"/>
    </row>
    <row r="79" spans="1:39" x14ac:dyDescent="0.35">
      <c r="A79" s="7"/>
      <c r="B79" s="7"/>
      <c r="C79" s="7"/>
      <c r="D79" s="7" t="s">
        <v>436</v>
      </c>
      <c r="E79" s="108">
        <v>70.5</v>
      </c>
      <c r="F79" s="106">
        <f t="shared" si="121"/>
        <v>35.25</v>
      </c>
      <c r="G79" s="108">
        <f t="shared" si="121"/>
        <v>17.625</v>
      </c>
      <c r="H79" s="103" t="s">
        <v>351</v>
      </c>
      <c r="I79" s="105">
        <v>3.2000000000000001E-2</v>
      </c>
      <c r="J79" s="105">
        <v>0.04</v>
      </c>
      <c r="K79" s="105">
        <v>4.9000000000000002E-2</v>
      </c>
      <c r="L79" s="105">
        <v>4.0000000000000001E-3</v>
      </c>
      <c r="M79" s="105">
        <v>5.0000000000000001E-3</v>
      </c>
      <c r="N79" s="105">
        <v>6.0000000000000001E-3</v>
      </c>
      <c r="O79" s="195">
        <f t="shared" ref="O79:Q80" si="127">NHHProps_SSW*AvgNHHBill_SSW*IF($H79="S1",I79,(I79+L79))</f>
        <v>4245341.1840000004</v>
      </c>
      <c r="P79" s="195">
        <f t="shared" si="127"/>
        <v>5306676.4800000004</v>
      </c>
      <c r="Q79" s="195">
        <f t="shared" si="127"/>
        <v>6500678.6880000001</v>
      </c>
      <c r="R79" s="286">
        <f t="shared" si="123"/>
        <v>120435.21089361703</v>
      </c>
      <c r="S79" s="195">
        <f t="shared" si="123"/>
        <v>150544.01361702129</v>
      </c>
      <c r="T79" s="287">
        <f t="shared" si="123"/>
        <v>184416.41668085108</v>
      </c>
      <c r="U79" s="108">
        <v>13.5</v>
      </c>
      <c r="V79" s="108">
        <f t="shared" si="124"/>
        <v>6.75</v>
      </c>
      <c r="W79" s="108">
        <f t="shared" si="124"/>
        <v>3.375</v>
      </c>
      <c r="X79" s="103" t="str">
        <f>H79</f>
        <v>S1</v>
      </c>
      <c r="Y79" s="105">
        <v>0</v>
      </c>
      <c r="Z79" s="105">
        <v>1.7000000000000001E-2</v>
      </c>
      <c r="AA79" s="105">
        <v>4.7E-2</v>
      </c>
      <c r="AB79" s="105">
        <v>0</v>
      </c>
      <c r="AC79" s="105">
        <v>2.5000000000000001E-2</v>
      </c>
      <c r="AD79" s="105">
        <v>4.5999999999999999E-2</v>
      </c>
      <c r="AE79" s="195">
        <f t="shared" ref="AE79:AG80" si="128">NHHProps_CAM*AvgNHHBill_CAM*IF($H79="S1",Y79,(Y79+AB79))</f>
        <v>0</v>
      </c>
      <c r="AF79" s="195">
        <f t="shared" si="128"/>
        <v>747847.68000000005</v>
      </c>
      <c r="AG79" s="195">
        <f t="shared" si="128"/>
        <v>2067578.8800000001</v>
      </c>
      <c r="AH79" s="286">
        <f t="shared" si="126"/>
        <v>0</v>
      </c>
      <c r="AI79" s="195">
        <f t="shared" si="126"/>
        <v>110792.24888888889</v>
      </c>
      <c r="AJ79" s="287">
        <f t="shared" si="126"/>
        <v>306307.98222222226</v>
      </c>
      <c r="AK79" s="111"/>
      <c r="AL79" s="111"/>
      <c r="AM79" s="111"/>
    </row>
    <row r="80" spans="1:39" x14ac:dyDescent="0.35">
      <c r="A80" s="7"/>
      <c r="B80" s="7"/>
      <c r="C80" s="7"/>
      <c r="D80" s="7" t="s">
        <v>437</v>
      </c>
      <c r="E80" s="108">
        <v>70.5</v>
      </c>
      <c r="F80" s="106">
        <f t="shared" si="121"/>
        <v>35.25</v>
      </c>
      <c r="G80" s="108">
        <f t="shared" si="121"/>
        <v>17.625</v>
      </c>
      <c r="H80" s="103" t="s">
        <v>351</v>
      </c>
      <c r="I80" s="105">
        <v>0</v>
      </c>
      <c r="J80" s="105">
        <v>5.0000000000000001E-3</v>
      </c>
      <c r="K80" s="105">
        <v>0.01</v>
      </c>
      <c r="L80" s="105">
        <v>2E-3</v>
      </c>
      <c r="M80" s="105">
        <v>6.0000000000000001E-3</v>
      </c>
      <c r="N80" s="105">
        <v>0.01</v>
      </c>
      <c r="O80" s="195">
        <f t="shared" si="127"/>
        <v>0</v>
      </c>
      <c r="P80" s="195">
        <f t="shared" si="127"/>
        <v>663334.56000000006</v>
      </c>
      <c r="Q80" s="195">
        <f t="shared" si="127"/>
        <v>1326669.1200000001</v>
      </c>
      <c r="R80" s="286">
        <f t="shared" si="123"/>
        <v>0</v>
      </c>
      <c r="S80" s="195">
        <f t="shared" si="123"/>
        <v>18818.001702127662</v>
      </c>
      <c r="T80" s="287">
        <f t="shared" si="123"/>
        <v>37636.003404255323</v>
      </c>
      <c r="U80" s="108">
        <v>13.5</v>
      </c>
      <c r="V80" s="108">
        <f t="shared" si="124"/>
        <v>6.75</v>
      </c>
      <c r="W80" s="108">
        <f t="shared" si="124"/>
        <v>3.375</v>
      </c>
      <c r="X80" s="103" t="str">
        <f>H80</f>
        <v>S1</v>
      </c>
      <c r="Y80" s="105">
        <v>0</v>
      </c>
      <c r="Z80" s="105">
        <v>2E-3</v>
      </c>
      <c r="AA80" s="105">
        <v>5.0000000000000001E-3</v>
      </c>
      <c r="AB80" s="105">
        <v>2E-3</v>
      </c>
      <c r="AC80" s="105">
        <v>1.2E-2</v>
      </c>
      <c r="AD80" s="105">
        <v>2.1000000000000001E-2</v>
      </c>
      <c r="AE80" s="195">
        <f t="shared" si="128"/>
        <v>0</v>
      </c>
      <c r="AF80" s="195">
        <f t="shared" si="128"/>
        <v>87982.080000000002</v>
      </c>
      <c r="AG80" s="195">
        <f t="shared" si="128"/>
        <v>219955.20000000001</v>
      </c>
      <c r="AH80" s="286">
        <f t="shared" si="126"/>
        <v>0</v>
      </c>
      <c r="AI80" s="195">
        <f t="shared" si="126"/>
        <v>13034.382222222222</v>
      </c>
      <c r="AJ80" s="287">
        <f t="shared" si="126"/>
        <v>32585.955555555556</v>
      </c>
      <c r="AK80" s="111"/>
      <c r="AL80" s="111"/>
      <c r="AM80" s="111"/>
    </row>
    <row r="81" spans="1:39" x14ac:dyDescent="0.35">
      <c r="A81" s="7"/>
      <c r="B81" s="7"/>
      <c r="C81" s="7"/>
      <c r="D81" s="7" t="s">
        <v>438</v>
      </c>
      <c r="E81" s="164">
        <f>E78</f>
        <v>70.5</v>
      </c>
      <c r="F81" s="164">
        <f>F78</f>
        <v>35.25</v>
      </c>
      <c r="G81" s="164">
        <f>G78</f>
        <v>17.625</v>
      </c>
      <c r="H81" s="164"/>
      <c r="I81" s="151">
        <f t="shared" ref="I81:W81" si="129">I78</f>
        <v>1.77</v>
      </c>
      <c r="J81" s="151">
        <f t="shared" si="129"/>
        <v>2</v>
      </c>
      <c r="K81" s="151">
        <f t="shared" si="129"/>
        <v>2.23</v>
      </c>
      <c r="L81" s="151">
        <f t="shared" si="129"/>
        <v>1.6</v>
      </c>
      <c r="M81" s="151">
        <f t="shared" si="129"/>
        <v>1.79</v>
      </c>
      <c r="N81" s="151">
        <f t="shared" si="129"/>
        <v>1.99</v>
      </c>
      <c r="O81" s="197">
        <f t="shared" si="129"/>
        <v>954803.49</v>
      </c>
      <c r="P81" s="197">
        <f t="shared" si="129"/>
        <v>1078874</v>
      </c>
      <c r="Q81" s="197">
        <f t="shared" si="129"/>
        <v>1202944.51</v>
      </c>
      <c r="R81" s="288">
        <f t="shared" si="129"/>
        <v>27086.623829787233</v>
      </c>
      <c r="S81" s="198">
        <f t="shared" si="129"/>
        <v>30606.35460992908</v>
      </c>
      <c r="T81" s="289">
        <f t="shared" si="129"/>
        <v>34126.085390070919</v>
      </c>
      <c r="U81" s="164">
        <f t="shared" si="129"/>
        <v>13.5</v>
      </c>
      <c r="V81" s="164">
        <f t="shared" si="129"/>
        <v>6.75</v>
      </c>
      <c r="W81" s="164">
        <f t="shared" si="129"/>
        <v>3.375</v>
      </c>
      <c r="X81" s="164"/>
      <c r="Y81" s="151">
        <f t="shared" ref="Y81:AJ81" si="130">Y78</f>
        <v>5.96</v>
      </c>
      <c r="Z81" s="151">
        <f t="shared" si="130"/>
        <v>7.22</v>
      </c>
      <c r="AA81" s="151">
        <f t="shared" si="130"/>
        <v>8.49</v>
      </c>
      <c r="AB81" s="151">
        <f t="shared" si="130"/>
        <v>3.72</v>
      </c>
      <c r="AC81" s="151">
        <f t="shared" si="130"/>
        <v>3.09</v>
      </c>
      <c r="AD81" s="151">
        <f t="shared" si="130"/>
        <v>2.4500000000000002</v>
      </c>
      <c r="AE81" s="197">
        <f t="shared" si="130"/>
        <v>809856.72</v>
      </c>
      <c r="AF81" s="197">
        <f t="shared" si="130"/>
        <v>981068.03999999992</v>
      </c>
      <c r="AG81" s="197">
        <f t="shared" si="130"/>
        <v>1153638.18</v>
      </c>
      <c r="AH81" s="288">
        <f t="shared" si="130"/>
        <v>119978.77333333333</v>
      </c>
      <c r="AI81" s="198">
        <f t="shared" si="130"/>
        <v>145343.41333333333</v>
      </c>
      <c r="AJ81" s="289">
        <f t="shared" si="130"/>
        <v>170909.36</v>
      </c>
      <c r="AK81" s="111"/>
      <c r="AL81" s="111"/>
      <c r="AM81" s="111"/>
    </row>
    <row r="82" spans="1:39" x14ac:dyDescent="0.35">
      <c r="A82" s="7"/>
      <c r="B82" s="7"/>
      <c r="C82" s="7"/>
      <c r="D82" s="7" t="s">
        <v>439</v>
      </c>
      <c r="E82" s="164">
        <f>E80</f>
        <v>70.5</v>
      </c>
      <c r="F82" s="164">
        <f>F80</f>
        <v>35.25</v>
      </c>
      <c r="G82" s="164">
        <f>G80</f>
        <v>17.625</v>
      </c>
      <c r="H82" s="164"/>
      <c r="I82" s="150">
        <f t="shared" ref="I82:W82" si="131">I80</f>
        <v>0</v>
      </c>
      <c r="J82" s="150">
        <f t="shared" si="131"/>
        <v>5.0000000000000001E-3</v>
      </c>
      <c r="K82" s="150">
        <f t="shared" si="131"/>
        <v>0.01</v>
      </c>
      <c r="L82" s="150">
        <f t="shared" si="131"/>
        <v>2E-3</v>
      </c>
      <c r="M82" s="150">
        <f t="shared" si="131"/>
        <v>6.0000000000000001E-3</v>
      </c>
      <c r="N82" s="150">
        <f t="shared" si="131"/>
        <v>0.01</v>
      </c>
      <c r="O82" s="197">
        <f t="shared" si="131"/>
        <v>0</v>
      </c>
      <c r="P82" s="197">
        <f t="shared" si="131"/>
        <v>663334.56000000006</v>
      </c>
      <c r="Q82" s="197">
        <f t="shared" si="131"/>
        <v>1326669.1200000001</v>
      </c>
      <c r="R82" s="288">
        <f t="shared" si="131"/>
        <v>0</v>
      </c>
      <c r="S82" s="198">
        <f t="shared" si="131"/>
        <v>18818.001702127662</v>
      </c>
      <c r="T82" s="289">
        <f t="shared" si="131"/>
        <v>37636.003404255323</v>
      </c>
      <c r="U82" s="164">
        <f t="shared" si="131"/>
        <v>13.5</v>
      </c>
      <c r="V82" s="164">
        <f t="shared" si="131"/>
        <v>6.75</v>
      </c>
      <c r="W82" s="164">
        <f t="shared" si="131"/>
        <v>3.375</v>
      </c>
      <c r="X82" s="164"/>
      <c r="Y82" s="150">
        <f t="shared" ref="Y82:AJ82" si="132">Y80</f>
        <v>0</v>
      </c>
      <c r="Z82" s="150">
        <f t="shared" si="132"/>
        <v>2E-3</v>
      </c>
      <c r="AA82" s="150">
        <f t="shared" si="132"/>
        <v>5.0000000000000001E-3</v>
      </c>
      <c r="AB82" s="150">
        <f t="shared" si="132"/>
        <v>2E-3</v>
      </c>
      <c r="AC82" s="150">
        <f t="shared" si="132"/>
        <v>1.2E-2</v>
      </c>
      <c r="AD82" s="150">
        <f t="shared" si="132"/>
        <v>2.1000000000000001E-2</v>
      </c>
      <c r="AE82" s="197">
        <f t="shared" si="132"/>
        <v>0</v>
      </c>
      <c r="AF82" s="197">
        <f t="shared" si="132"/>
        <v>87982.080000000002</v>
      </c>
      <c r="AG82" s="197">
        <f t="shared" si="132"/>
        <v>219955.20000000001</v>
      </c>
      <c r="AH82" s="288">
        <f t="shared" si="132"/>
        <v>0</v>
      </c>
      <c r="AI82" s="198">
        <f t="shared" si="132"/>
        <v>13034.382222222222</v>
      </c>
      <c r="AJ82" s="289">
        <f t="shared" si="132"/>
        <v>32585.955555555556</v>
      </c>
      <c r="AK82" s="111"/>
      <c r="AL82" s="111"/>
      <c r="AM82" s="111"/>
    </row>
    <row r="83" spans="1:39" x14ac:dyDescent="0.35">
      <c r="A83" s="7"/>
      <c r="B83" s="7"/>
      <c r="C83" s="7"/>
      <c r="D83" s="7" t="s">
        <v>440</v>
      </c>
      <c r="E83" s="134"/>
      <c r="F83" s="134"/>
      <c r="G83" s="134"/>
      <c r="H83" s="134"/>
      <c r="I83" s="152"/>
      <c r="J83" s="139"/>
      <c r="K83" s="153"/>
      <c r="L83" s="154"/>
      <c r="M83" s="155"/>
      <c r="N83" s="155"/>
      <c r="O83" s="197">
        <f t="shared" ref="O83:T83" si="133">SUM(O81:O82)</f>
        <v>954803.49</v>
      </c>
      <c r="P83" s="197">
        <f t="shared" si="133"/>
        <v>1742208.56</v>
      </c>
      <c r="Q83" s="197">
        <f t="shared" si="133"/>
        <v>2529613.63</v>
      </c>
      <c r="R83" s="290">
        <f t="shared" si="133"/>
        <v>27086.623829787233</v>
      </c>
      <c r="S83" s="291">
        <f t="shared" si="133"/>
        <v>49424.356312056741</v>
      </c>
      <c r="T83" s="292">
        <f t="shared" si="133"/>
        <v>71762.088794326235</v>
      </c>
      <c r="U83" s="134"/>
      <c r="V83" s="134"/>
      <c r="W83" s="134"/>
      <c r="X83" s="134"/>
      <c r="Y83" s="152"/>
      <c r="Z83" s="139"/>
      <c r="AA83" s="156"/>
      <c r="AB83" s="154"/>
      <c r="AC83" s="152"/>
      <c r="AD83" s="139"/>
      <c r="AE83" s="197">
        <f t="shared" ref="AE83:AJ83" si="134">SUM(AE81:AE82)</f>
        <v>809856.72</v>
      </c>
      <c r="AF83" s="197">
        <f t="shared" si="134"/>
        <v>1069050.1199999999</v>
      </c>
      <c r="AG83" s="197">
        <f t="shared" si="134"/>
        <v>1373593.38</v>
      </c>
      <c r="AH83" s="290">
        <f t="shared" si="134"/>
        <v>119978.77333333333</v>
      </c>
      <c r="AI83" s="291">
        <f t="shared" si="134"/>
        <v>158377.79555555555</v>
      </c>
      <c r="AJ83" s="292">
        <f t="shared" si="134"/>
        <v>203495.31555555554</v>
      </c>
      <c r="AK83" s="111"/>
      <c r="AL83" s="111"/>
      <c r="AM83" s="111"/>
    </row>
    <row r="84" spans="1:39" x14ac:dyDescent="0.35">
      <c r="A84" s="7" t="s">
        <v>455</v>
      </c>
      <c r="B84" s="7" t="s">
        <v>456</v>
      </c>
      <c r="C84" s="123" t="s">
        <v>457</v>
      </c>
      <c r="D84" s="7" t="s">
        <v>433</v>
      </c>
      <c r="E84" s="199">
        <v>0.33</v>
      </c>
      <c r="F84" s="199">
        <v>0.65</v>
      </c>
      <c r="G84" s="199">
        <v>0.9</v>
      </c>
      <c r="H84" s="199" t="s">
        <v>352</v>
      </c>
      <c r="I84" s="31">
        <v>0.46</v>
      </c>
      <c r="J84" s="31">
        <v>0.51</v>
      </c>
      <c r="K84" s="31">
        <v>0.56000000000000005</v>
      </c>
      <c r="L84" s="31">
        <v>0.37</v>
      </c>
      <c r="M84" s="31">
        <v>0.41</v>
      </c>
      <c r="N84" s="31">
        <v>0.45</v>
      </c>
      <c r="O84" s="195">
        <f t="shared" ref="O84:Q85" si="135">HHProps_SSW*IF($H84="S1",I84,(I84+L84))</f>
        <v>447732.71</v>
      </c>
      <c r="P84" s="195">
        <f t="shared" si="135"/>
        <v>496282.04</v>
      </c>
      <c r="Q84" s="195">
        <f t="shared" si="135"/>
        <v>544831.37</v>
      </c>
      <c r="R84" s="293">
        <f t="shared" ref="R84:T85" si="136">-O84/(IF($H84="S1",($E84-$F84),($E84-$G84))*HHProps_SSW)</f>
        <v>1.4561403508771928</v>
      </c>
      <c r="S84" s="168">
        <f t="shared" si="136"/>
        <v>1.6140350877192979</v>
      </c>
      <c r="T84" s="294">
        <f t="shared" si="136"/>
        <v>1.7719298245614032</v>
      </c>
      <c r="U84" s="199">
        <v>0.7</v>
      </c>
      <c r="V84" s="199">
        <v>0.8</v>
      </c>
      <c r="W84" s="199">
        <v>0.95</v>
      </c>
      <c r="X84" s="103" t="str">
        <f>H84</f>
        <v>S2</v>
      </c>
      <c r="Y84" s="31">
        <v>0.49</v>
      </c>
      <c r="Z84" s="31">
        <v>0.56000000000000005</v>
      </c>
      <c r="AA84" s="31">
        <v>0.64</v>
      </c>
      <c r="AB84" s="31">
        <v>0.38</v>
      </c>
      <c r="AC84" s="31">
        <v>0.43</v>
      </c>
      <c r="AD84" s="31">
        <v>0.49</v>
      </c>
      <c r="AE84" s="195">
        <f t="shared" ref="AE84:AG85" si="137">HHProps_CAM*IF($H84="S1",Y84,(Y84+AB84))</f>
        <v>118217.34</v>
      </c>
      <c r="AF84" s="195">
        <f t="shared" si="137"/>
        <v>134523.18</v>
      </c>
      <c r="AG84" s="195">
        <f t="shared" si="137"/>
        <v>153546.65999999997</v>
      </c>
      <c r="AH84" s="293">
        <f t="shared" ref="AH84:AJ85" si="138">-AE84/(IF($H84="S1",($U84-$V84),($U84-$W84))*HHProps_CAM)</f>
        <v>3.48</v>
      </c>
      <c r="AI84" s="168">
        <f t="shared" si="138"/>
        <v>3.96</v>
      </c>
      <c r="AJ84" s="294">
        <f t="shared" si="138"/>
        <v>4.5199999999999996</v>
      </c>
      <c r="AK84" s="111"/>
      <c r="AL84" s="111"/>
      <c r="AM84" s="111"/>
    </row>
    <row r="85" spans="1:39" x14ac:dyDescent="0.35">
      <c r="A85" s="7"/>
      <c r="B85" s="7"/>
      <c r="C85" s="7"/>
      <c r="D85" s="7" t="s">
        <v>435</v>
      </c>
      <c r="E85" s="199">
        <v>0.33</v>
      </c>
      <c r="F85" s="199">
        <v>0.65</v>
      </c>
      <c r="G85" s="199">
        <v>0.9</v>
      </c>
      <c r="H85" s="199" t="s">
        <v>352</v>
      </c>
      <c r="I85" s="31">
        <v>0.52</v>
      </c>
      <c r="J85" s="31">
        <v>0.57999999999999996</v>
      </c>
      <c r="K85" s="31">
        <v>0.65</v>
      </c>
      <c r="L85" s="31">
        <v>0.37</v>
      </c>
      <c r="M85" s="31">
        <v>0.43</v>
      </c>
      <c r="N85" s="31">
        <v>0.47</v>
      </c>
      <c r="O85" s="195">
        <f t="shared" si="135"/>
        <v>480098.93</v>
      </c>
      <c r="P85" s="195">
        <f t="shared" si="135"/>
        <v>544831.37</v>
      </c>
      <c r="Q85" s="195">
        <f t="shared" si="135"/>
        <v>604169.44000000006</v>
      </c>
      <c r="R85" s="293">
        <f t="shared" si="136"/>
        <v>1.5614035087719296</v>
      </c>
      <c r="S85" s="168">
        <f t="shared" si="136"/>
        <v>1.7719298245614032</v>
      </c>
      <c r="T85" s="294">
        <f t="shared" si="136"/>
        <v>1.9649122807017545</v>
      </c>
      <c r="U85" s="199">
        <v>0.7</v>
      </c>
      <c r="V85" s="199">
        <v>0.8</v>
      </c>
      <c r="W85" s="199">
        <v>0.95</v>
      </c>
      <c r="X85" s="103" t="str">
        <f>H85</f>
        <v>S2</v>
      </c>
      <c r="Y85" s="31">
        <v>1</v>
      </c>
      <c r="Z85" s="31">
        <v>1.21</v>
      </c>
      <c r="AA85" s="31">
        <v>1.42</v>
      </c>
      <c r="AB85" s="31">
        <v>0.78</v>
      </c>
      <c r="AC85" s="31">
        <v>0.95</v>
      </c>
      <c r="AD85" s="31">
        <v>1.1100000000000001</v>
      </c>
      <c r="AE85" s="195">
        <f t="shared" si="137"/>
        <v>241869.96</v>
      </c>
      <c r="AF85" s="195">
        <f t="shared" si="137"/>
        <v>293505.12</v>
      </c>
      <c r="AG85" s="195">
        <f t="shared" si="137"/>
        <v>343781.46</v>
      </c>
      <c r="AH85" s="293">
        <f t="shared" si="138"/>
        <v>7.12</v>
      </c>
      <c r="AI85" s="168">
        <f t="shared" si="138"/>
        <v>8.64</v>
      </c>
      <c r="AJ85" s="294">
        <f t="shared" si="138"/>
        <v>10.120000000000001</v>
      </c>
      <c r="AK85" s="111"/>
      <c r="AL85" s="111"/>
      <c r="AM85" s="111"/>
    </row>
    <row r="86" spans="1:39" x14ac:dyDescent="0.35">
      <c r="A86" s="7"/>
      <c r="B86" s="7"/>
      <c r="C86" s="7"/>
      <c r="D86" s="7" t="s">
        <v>436</v>
      </c>
      <c r="E86" s="118"/>
      <c r="F86" s="118"/>
      <c r="G86" s="118"/>
      <c r="H86" s="118"/>
      <c r="I86" s="43"/>
      <c r="J86" s="119"/>
      <c r="K86" s="118"/>
      <c r="L86" s="120"/>
      <c r="M86" s="121"/>
      <c r="N86" s="121"/>
      <c r="O86" s="195"/>
      <c r="P86" s="195"/>
      <c r="Q86" s="195"/>
      <c r="R86" s="293"/>
      <c r="S86" s="168"/>
      <c r="T86" s="294"/>
      <c r="U86" s="118"/>
      <c r="V86" s="118"/>
      <c r="W86" s="118"/>
      <c r="X86" s="118"/>
      <c r="Y86" s="43"/>
      <c r="Z86" s="119"/>
      <c r="AA86" s="110"/>
      <c r="AB86" s="122"/>
      <c r="AC86" s="43"/>
      <c r="AD86" s="119"/>
      <c r="AE86" s="195"/>
      <c r="AF86" s="195"/>
      <c r="AG86" s="195"/>
      <c r="AH86" s="293"/>
      <c r="AI86" s="168"/>
      <c r="AJ86" s="294"/>
      <c r="AK86" s="111"/>
      <c r="AL86" s="111"/>
      <c r="AM86" s="111"/>
    </row>
    <row r="87" spans="1:39" x14ac:dyDescent="0.35">
      <c r="A87" s="7"/>
      <c r="B87" s="7"/>
      <c r="C87" s="7"/>
      <c r="D87" s="7" t="s">
        <v>437</v>
      </c>
      <c r="E87" s="118"/>
      <c r="F87" s="118"/>
      <c r="G87" s="118"/>
      <c r="H87" s="118"/>
      <c r="I87" s="43"/>
      <c r="J87" s="119"/>
      <c r="K87" s="118"/>
      <c r="L87" s="120"/>
      <c r="M87" s="121"/>
      <c r="N87" s="121"/>
      <c r="O87" s="195"/>
      <c r="P87" s="195"/>
      <c r="Q87" s="195"/>
      <c r="R87" s="293"/>
      <c r="S87" s="168"/>
      <c r="T87" s="294"/>
      <c r="U87" s="118"/>
      <c r="V87" s="118"/>
      <c r="W87" s="118"/>
      <c r="X87" s="118"/>
      <c r="Y87" s="43"/>
      <c r="Z87" s="119"/>
      <c r="AA87" s="110"/>
      <c r="AB87" s="122"/>
      <c r="AC87" s="43"/>
      <c r="AD87" s="119"/>
      <c r="AE87" s="195"/>
      <c r="AF87" s="195"/>
      <c r="AG87" s="195"/>
      <c r="AH87" s="293"/>
      <c r="AI87" s="168"/>
      <c r="AJ87" s="294"/>
      <c r="AK87" s="111"/>
      <c r="AL87" s="111"/>
      <c r="AM87" s="111"/>
    </row>
    <row r="88" spans="1:39" x14ac:dyDescent="0.35">
      <c r="A88" s="7"/>
      <c r="B88" s="7"/>
      <c r="C88" s="7"/>
      <c r="D88" s="7" t="s">
        <v>438</v>
      </c>
      <c r="E88" s="563">
        <f>E85</f>
        <v>0.33</v>
      </c>
      <c r="F88" s="563">
        <f>F85</f>
        <v>0.65</v>
      </c>
      <c r="G88" s="563">
        <f>G85</f>
        <v>0.9</v>
      </c>
      <c r="H88" s="563"/>
      <c r="I88" s="151">
        <f t="shared" ref="I88:W88" si="139">I85</f>
        <v>0.52</v>
      </c>
      <c r="J88" s="151">
        <f t="shared" si="139"/>
        <v>0.57999999999999996</v>
      </c>
      <c r="K88" s="151">
        <f t="shared" si="139"/>
        <v>0.65</v>
      </c>
      <c r="L88" s="151">
        <f t="shared" si="139"/>
        <v>0.37</v>
      </c>
      <c r="M88" s="151">
        <f t="shared" si="139"/>
        <v>0.43</v>
      </c>
      <c r="N88" s="151">
        <f t="shared" si="139"/>
        <v>0.47</v>
      </c>
      <c r="O88" s="197">
        <f t="shared" si="139"/>
        <v>480098.93</v>
      </c>
      <c r="P88" s="197">
        <f t="shared" si="139"/>
        <v>544831.37</v>
      </c>
      <c r="Q88" s="197">
        <f t="shared" si="139"/>
        <v>604169.44000000006</v>
      </c>
      <c r="R88" s="295">
        <f t="shared" si="139"/>
        <v>1.5614035087719296</v>
      </c>
      <c r="S88" s="151">
        <f t="shared" si="139"/>
        <v>1.7719298245614032</v>
      </c>
      <c r="T88" s="296">
        <f t="shared" si="139"/>
        <v>1.9649122807017545</v>
      </c>
      <c r="U88" s="563">
        <f t="shared" si="139"/>
        <v>0.7</v>
      </c>
      <c r="V88" s="563">
        <f t="shared" si="139"/>
        <v>0.8</v>
      </c>
      <c r="W88" s="563">
        <f t="shared" si="139"/>
        <v>0.95</v>
      </c>
      <c r="X88" s="563"/>
      <c r="Y88" s="151">
        <f t="shared" ref="Y88:AJ88" si="140">Y85</f>
        <v>1</v>
      </c>
      <c r="Z88" s="151">
        <f t="shared" si="140"/>
        <v>1.21</v>
      </c>
      <c r="AA88" s="151">
        <f t="shared" si="140"/>
        <v>1.42</v>
      </c>
      <c r="AB88" s="151">
        <f t="shared" si="140"/>
        <v>0.78</v>
      </c>
      <c r="AC88" s="151">
        <f t="shared" si="140"/>
        <v>0.95</v>
      </c>
      <c r="AD88" s="151">
        <f t="shared" si="140"/>
        <v>1.1100000000000001</v>
      </c>
      <c r="AE88" s="197">
        <f t="shared" si="140"/>
        <v>241869.96</v>
      </c>
      <c r="AF88" s="197">
        <f t="shared" si="140"/>
        <v>293505.12</v>
      </c>
      <c r="AG88" s="197">
        <f t="shared" si="140"/>
        <v>343781.46</v>
      </c>
      <c r="AH88" s="295">
        <f t="shared" si="140"/>
        <v>7.12</v>
      </c>
      <c r="AI88" s="151">
        <f t="shared" si="140"/>
        <v>8.64</v>
      </c>
      <c r="AJ88" s="296">
        <f t="shared" si="140"/>
        <v>10.120000000000001</v>
      </c>
      <c r="AK88" s="111"/>
      <c r="AL88" s="111"/>
      <c r="AM88" s="111"/>
    </row>
    <row r="89" spans="1:39" x14ac:dyDescent="0.35">
      <c r="A89" s="7"/>
      <c r="B89" s="7"/>
      <c r="C89" s="7"/>
      <c r="D89" s="7" t="s">
        <v>439</v>
      </c>
      <c r="E89" s="563"/>
      <c r="F89" s="563"/>
      <c r="G89" s="563"/>
      <c r="H89" s="563"/>
      <c r="I89" s="150"/>
      <c r="J89" s="150"/>
      <c r="K89" s="150"/>
      <c r="L89" s="150"/>
      <c r="M89" s="150"/>
      <c r="N89" s="150"/>
      <c r="O89" s="197"/>
      <c r="P89" s="197"/>
      <c r="Q89" s="197"/>
      <c r="R89" s="295"/>
      <c r="S89" s="151"/>
      <c r="T89" s="296"/>
      <c r="U89" s="563"/>
      <c r="V89" s="563"/>
      <c r="W89" s="563"/>
      <c r="X89" s="563"/>
      <c r="Y89" s="150"/>
      <c r="Z89" s="150"/>
      <c r="AA89" s="150"/>
      <c r="AB89" s="150"/>
      <c r="AC89" s="150"/>
      <c r="AD89" s="150"/>
      <c r="AE89" s="197"/>
      <c r="AF89" s="197"/>
      <c r="AG89" s="197"/>
      <c r="AH89" s="295"/>
      <c r="AI89" s="151"/>
      <c r="AJ89" s="296"/>
      <c r="AK89" s="111"/>
      <c r="AL89" s="111"/>
      <c r="AM89" s="111"/>
    </row>
    <row r="90" spans="1:39" x14ac:dyDescent="0.35">
      <c r="A90" s="7"/>
      <c r="B90" s="7"/>
      <c r="C90" s="7"/>
      <c r="D90" s="7" t="s">
        <v>440</v>
      </c>
      <c r="E90" s="134"/>
      <c r="F90" s="134"/>
      <c r="G90" s="134"/>
      <c r="H90" s="134"/>
      <c r="I90" s="152"/>
      <c r="J90" s="139"/>
      <c r="K90" s="153"/>
      <c r="L90" s="154"/>
      <c r="M90" s="155"/>
      <c r="N90" s="155"/>
      <c r="O90" s="197">
        <f t="shared" ref="O90:T90" si="141">SUM(O88:O89)</f>
        <v>480098.93</v>
      </c>
      <c r="P90" s="197">
        <f t="shared" si="141"/>
        <v>544831.37</v>
      </c>
      <c r="Q90" s="197">
        <f t="shared" si="141"/>
        <v>604169.44000000006</v>
      </c>
      <c r="R90" s="297">
        <f t="shared" si="141"/>
        <v>1.5614035087719296</v>
      </c>
      <c r="S90" s="298">
        <f t="shared" si="141"/>
        <v>1.7719298245614032</v>
      </c>
      <c r="T90" s="299">
        <f t="shared" si="141"/>
        <v>1.9649122807017545</v>
      </c>
      <c r="U90" s="134"/>
      <c r="V90" s="134"/>
      <c r="W90" s="134"/>
      <c r="X90" s="134"/>
      <c r="Y90" s="152"/>
      <c r="Z90" s="139"/>
      <c r="AA90" s="156"/>
      <c r="AB90" s="154"/>
      <c r="AC90" s="152"/>
      <c r="AD90" s="139"/>
      <c r="AE90" s="197">
        <f t="shared" ref="AE90:AJ90" si="142">SUM(AE88:AE89)</f>
        <v>241869.96</v>
      </c>
      <c r="AF90" s="197">
        <f t="shared" si="142"/>
        <v>293505.12</v>
      </c>
      <c r="AG90" s="197">
        <f t="shared" si="142"/>
        <v>343781.46</v>
      </c>
      <c r="AH90" s="297">
        <f t="shared" si="142"/>
        <v>7.12</v>
      </c>
      <c r="AI90" s="298">
        <f t="shared" si="142"/>
        <v>8.64</v>
      </c>
      <c r="AJ90" s="299">
        <f t="shared" si="142"/>
        <v>10.120000000000001</v>
      </c>
      <c r="AK90" s="111"/>
      <c r="AL90" s="111"/>
      <c r="AM90" s="111"/>
    </row>
    <row r="91" spans="1:39" x14ac:dyDescent="0.35">
      <c r="A91" s="123" t="s">
        <v>151</v>
      </c>
      <c r="B91" s="7" t="s">
        <v>458</v>
      </c>
      <c r="C91" s="123" t="s">
        <v>459</v>
      </c>
      <c r="D91" s="7" t="s">
        <v>433</v>
      </c>
      <c r="E91" s="103">
        <v>0</v>
      </c>
      <c r="F91" s="103"/>
      <c r="G91" s="103">
        <v>1</v>
      </c>
      <c r="H91" s="103" t="s">
        <v>352</v>
      </c>
      <c r="I91" s="31">
        <v>7.0000000000000007E-2</v>
      </c>
      <c r="J91" s="31">
        <v>7.4999999999999997E-2</v>
      </c>
      <c r="K91" s="31">
        <v>0.08</v>
      </c>
      <c r="L91" s="31">
        <v>0.28999999999999998</v>
      </c>
      <c r="M91" s="31">
        <v>0.32700000000000001</v>
      </c>
      <c r="N91" s="31">
        <v>0.37</v>
      </c>
      <c r="O91" s="195">
        <f t="shared" ref="O91:Q92" si="143">HHProps_SSW*IF($H91="S1",I91,(I91+L91))</f>
        <v>194197.32</v>
      </c>
      <c r="P91" s="195">
        <f t="shared" si="143"/>
        <v>216853.674</v>
      </c>
      <c r="Q91" s="195">
        <f t="shared" si="143"/>
        <v>242746.65</v>
      </c>
      <c r="R91" s="293">
        <f t="shared" ref="R91:T92" si="144">-O91/(IF($H91="S1",($E91-$F91),($E91-$G91))*HHProps_SSW)</f>
        <v>0.36</v>
      </c>
      <c r="S91" s="168">
        <f t="shared" si="144"/>
        <v>0.40200000000000002</v>
      </c>
      <c r="T91" s="294">
        <f t="shared" si="144"/>
        <v>0.45</v>
      </c>
      <c r="U91" s="564">
        <f>E91</f>
        <v>0</v>
      </c>
      <c r="V91" s="564"/>
      <c r="W91" s="564">
        <f>G91</f>
        <v>1</v>
      </c>
      <c r="X91" s="103" t="str">
        <f>H91</f>
        <v>S2</v>
      </c>
      <c r="Y91" s="31">
        <v>1.24</v>
      </c>
      <c r="Z91" s="31">
        <v>1.5</v>
      </c>
      <c r="AA91" s="31">
        <v>1.76</v>
      </c>
      <c r="AB91" s="31">
        <v>1.97</v>
      </c>
      <c r="AC91" s="31">
        <v>2.3879999999999999</v>
      </c>
      <c r="AD91" s="31">
        <v>2.8</v>
      </c>
      <c r="AE91" s="195">
        <f t="shared" ref="AE91:AG92" si="145">HHProps_CAM*IF($H91="S1",Y91,(Y91+AB91))</f>
        <v>436181.22</v>
      </c>
      <c r="AF91" s="195">
        <f t="shared" si="145"/>
        <v>528309.21600000001</v>
      </c>
      <c r="AG91" s="195">
        <f t="shared" si="145"/>
        <v>619621.91999999993</v>
      </c>
      <c r="AH91" s="293">
        <f t="shared" ref="AH91:AJ92" si="146">-AE91/(IF($H91="S1",($U91-$V91),($U91-$W91))*HHProps_CAM)</f>
        <v>3.21</v>
      </c>
      <c r="AI91" s="168">
        <f t="shared" si="146"/>
        <v>3.8879999999999999</v>
      </c>
      <c r="AJ91" s="294">
        <f t="shared" si="146"/>
        <v>4.5599999999999996</v>
      </c>
      <c r="AK91" s="111"/>
      <c r="AL91" s="111"/>
      <c r="AM91" s="111"/>
    </row>
    <row r="92" spans="1:39" x14ac:dyDescent="0.35">
      <c r="A92" s="123" t="s">
        <v>451</v>
      </c>
      <c r="B92" s="7"/>
      <c r="C92" s="123" t="s">
        <v>460</v>
      </c>
      <c r="D92" s="7" t="s">
        <v>435</v>
      </c>
      <c r="E92" s="103">
        <v>0</v>
      </c>
      <c r="F92" s="103"/>
      <c r="G92" s="103">
        <v>1</v>
      </c>
      <c r="H92" s="103" t="s">
        <v>352</v>
      </c>
      <c r="I92" s="31">
        <v>0.08</v>
      </c>
      <c r="J92" s="31">
        <v>8.5999999999999993E-2</v>
      </c>
      <c r="K92" s="31">
        <v>0.09</v>
      </c>
      <c r="L92" s="31">
        <v>0.32</v>
      </c>
      <c r="M92" s="31">
        <v>0.35599999999999998</v>
      </c>
      <c r="N92" s="31">
        <v>0.39</v>
      </c>
      <c r="O92" s="195">
        <f t="shared" si="143"/>
        <v>215774.80000000002</v>
      </c>
      <c r="P92" s="195">
        <f t="shared" si="143"/>
        <v>238431.15399999998</v>
      </c>
      <c r="Q92" s="195">
        <f t="shared" si="143"/>
        <v>258929.75999999998</v>
      </c>
      <c r="R92" s="293">
        <f t="shared" si="144"/>
        <v>0.4</v>
      </c>
      <c r="S92" s="168">
        <f t="shared" si="144"/>
        <v>0.44199999999999995</v>
      </c>
      <c r="T92" s="294">
        <f t="shared" si="144"/>
        <v>0.48</v>
      </c>
      <c r="U92" s="564">
        <f>E92</f>
        <v>0</v>
      </c>
      <c r="V92" s="564"/>
      <c r="W92" s="564">
        <f>G92</f>
        <v>1</v>
      </c>
      <c r="X92" s="103" t="str">
        <f>H92</f>
        <v>S2</v>
      </c>
      <c r="Y92" s="31">
        <v>0.99</v>
      </c>
      <c r="Z92" s="31">
        <v>1.133</v>
      </c>
      <c r="AA92" s="31">
        <v>1.28</v>
      </c>
      <c r="AB92" s="31">
        <v>1.54</v>
      </c>
      <c r="AC92" s="31">
        <v>1.7649999999999999</v>
      </c>
      <c r="AD92" s="31">
        <v>1.99</v>
      </c>
      <c r="AE92" s="195">
        <f t="shared" si="145"/>
        <v>343781.46</v>
      </c>
      <c r="AF92" s="195">
        <f t="shared" si="145"/>
        <v>393786.03599999996</v>
      </c>
      <c r="AG92" s="195">
        <f t="shared" si="145"/>
        <v>444334.14</v>
      </c>
      <c r="AH92" s="293">
        <f t="shared" si="146"/>
        <v>2.5300000000000002</v>
      </c>
      <c r="AI92" s="168">
        <f t="shared" si="146"/>
        <v>2.8979999999999997</v>
      </c>
      <c r="AJ92" s="294">
        <f t="shared" si="146"/>
        <v>3.27</v>
      </c>
      <c r="AK92" s="111"/>
      <c r="AL92" s="111"/>
      <c r="AM92" s="111"/>
    </row>
    <row r="93" spans="1:39" x14ac:dyDescent="0.35">
      <c r="A93" s="7"/>
      <c r="B93" s="7"/>
      <c r="C93" s="7"/>
      <c r="D93" s="7" t="s">
        <v>436</v>
      </c>
      <c r="E93" s="118"/>
      <c r="F93" s="118"/>
      <c r="G93" s="118"/>
      <c r="H93" s="118"/>
      <c r="I93" s="167"/>
      <c r="J93" s="167"/>
      <c r="K93" s="167"/>
      <c r="L93" s="167"/>
      <c r="M93" s="121"/>
      <c r="N93" s="121"/>
      <c r="O93" s="195"/>
      <c r="P93" s="195"/>
      <c r="Q93" s="195"/>
      <c r="R93" s="293"/>
      <c r="S93" s="168"/>
      <c r="T93" s="294"/>
      <c r="U93" s="565"/>
      <c r="V93" s="565"/>
      <c r="W93" s="565"/>
      <c r="X93" s="565"/>
      <c r="Y93" s="31"/>
      <c r="Z93" s="31"/>
      <c r="AA93" s="31"/>
      <c r="AB93" s="31"/>
      <c r="AC93" s="31"/>
      <c r="AD93" s="31"/>
      <c r="AE93" s="195"/>
      <c r="AF93" s="195"/>
      <c r="AG93" s="195"/>
      <c r="AH93" s="293"/>
      <c r="AI93" s="168"/>
      <c r="AJ93" s="294"/>
      <c r="AK93" s="111"/>
      <c r="AL93" s="111"/>
      <c r="AM93" s="111"/>
    </row>
    <row r="94" spans="1:39" x14ac:dyDescent="0.35">
      <c r="A94" s="7"/>
      <c r="B94" s="7"/>
      <c r="C94" s="7"/>
      <c r="D94" s="7" t="s">
        <v>437</v>
      </c>
      <c r="E94" s="118"/>
      <c r="F94" s="118"/>
      <c r="G94" s="118"/>
      <c r="H94" s="118"/>
      <c r="I94" s="167"/>
      <c r="J94" s="167"/>
      <c r="K94" s="167"/>
      <c r="L94" s="167"/>
      <c r="M94" s="121"/>
      <c r="N94" s="121"/>
      <c r="O94" s="195"/>
      <c r="P94" s="195"/>
      <c r="Q94" s="195"/>
      <c r="R94" s="293"/>
      <c r="S94" s="168"/>
      <c r="T94" s="294"/>
      <c r="U94" s="565"/>
      <c r="V94" s="565"/>
      <c r="W94" s="565"/>
      <c r="X94" s="565"/>
      <c r="Y94" s="31"/>
      <c r="Z94" s="31"/>
      <c r="AA94" s="31"/>
      <c r="AB94" s="31"/>
      <c r="AC94" s="31"/>
      <c r="AD94" s="31"/>
      <c r="AE94" s="195"/>
      <c r="AF94" s="195"/>
      <c r="AG94" s="195"/>
      <c r="AH94" s="293"/>
      <c r="AI94" s="168"/>
      <c r="AJ94" s="294"/>
      <c r="AK94" s="111"/>
      <c r="AL94" s="111"/>
      <c r="AM94" s="111"/>
    </row>
    <row r="95" spans="1:39" x14ac:dyDescent="0.35">
      <c r="A95" s="7"/>
      <c r="B95" s="7"/>
      <c r="C95" s="7"/>
      <c r="D95" s="7" t="s">
        <v>438</v>
      </c>
      <c r="E95" s="150">
        <f>E92</f>
        <v>0</v>
      </c>
      <c r="F95" s="150"/>
      <c r="G95" s="150">
        <f>G92</f>
        <v>1</v>
      </c>
      <c r="H95" s="150"/>
      <c r="I95" s="151">
        <f t="shared" ref="I95:U95" si="147">I92</f>
        <v>0.08</v>
      </c>
      <c r="J95" s="151">
        <f t="shared" si="147"/>
        <v>8.5999999999999993E-2</v>
      </c>
      <c r="K95" s="151">
        <f t="shared" si="147"/>
        <v>0.09</v>
      </c>
      <c r="L95" s="151">
        <f t="shared" si="147"/>
        <v>0.32</v>
      </c>
      <c r="M95" s="151">
        <f t="shared" si="147"/>
        <v>0.35599999999999998</v>
      </c>
      <c r="N95" s="151">
        <f t="shared" si="147"/>
        <v>0.39</v>
      </c>
      <c r="O95" s="197">
        <f t="shared" si="147"/>
        <v>215774.80000000002</v>
      </c>
      <c r="P95" s="197">
        <f t="shared" si="147"/>
        <v>238431.15399999998</v>
      </c>
      <c r="Q95" s="197">
        <f t="shared" si="147"/>
        <v>258929.75999999998</v>
      </c>
      <c r="R95" s="295">
        <f t="shared" si="147"/>
        <v>0.4</v>
      </c>
      <c r="S95" s="151">
        <f t="shared" si="147"/>
        <v>0.44199999999999995</v>
      </c>
      <c r="T95" s="296">
        <f t="shared" si="147"/>
        <v>0.48</v>
      </c>
      <c r="U95" s="563">
        <f t="shared" si="147"/>
        <v>0</v>
      </c>
      <c r="V95" s="563"/>
      <c r="W95" s="563">
        <f>W92</f>
        <v>1</v>
      </c>
      <c r="X95" s="563"/>
      <c r="Y95" s="151">
        <f t="shared" ref="Y95:AJ95" si="148">Y92</f>
        <v>0.99</v>
      </c>
      <c r="Z95" s="151">
        <f t="shared" si="148"/>
        <v>1.133</v>
      </c>
      <c r="AA95" s="151">
        <f t="shared" si="148"/>
        <v>1.28</v>
      </c>
      <c r="AB95" s="151">
        <f t="shared" si="148"/>
        <v>1.54</v>
      </c>
      <c r="AC95" s="151">
        <f t="shared" si="148"/>
        <v>1.7649999999999999</v>
      </c>
      <c r="AD95" s="151">
        <f t="shared" si="148"/>
        <v>1.99</v>
      </c>
      <c r="AE95" s="197">
        <f t="shared" si="148"/>
        <v>343781.46</v>
      </c>
      <c r="AF95" s="197">
        <f t="shared" si="148"/>
        <v>393786.03599999996</v>
      </c>
      <c r="AG95" s="197">
        <f t="shared" si="148"/>
        <v>444334.14</v>
      </c>
      <c r="AH95" s="295">
        <f t="shared" si="148"/>
        <v>2.5300000000000002</v>
      </c>
      <c r="AI95" s="151">
        <f t="shared" si="148"/>
        <v>2.8979999999999997</v>
      </c>
      <c r="AJ95" s="296">
        <f t="shared" si="148"/>
        <v>3.27</v>
      </c>
      <c r="AK95" s="111"/>
      <c r="AL95" s="111"/>
      <c r="AM95" s="111"/>
    </row>
    <row r="96" spans="1:39" x14ac:dyDescent="0.35">
      <c r="A96" s="7"/>
      <c r="B96" s="7"/>
      <c r="C96" s="7"/>
      <c r="D96" s="7" t="s">
        <v>439</v>
      </c>
      <c r="E96" s="150"/>
      <c r="F96" s="150"/>
      <c r="G96" s="150"/>
      <c r="H96" s="150"/>
      <c r="I96" s="150"/>
      <c r="J96" s="150"/>
      <c r="K96" s="150"/>
      <c r="L96" s="150"/>
      <c r="M96" s="150"/>
      <c r="N96" s="150"/>
      <c r="O96" s="197"/>
      <c r="P96" s="197"/>
      <c r="Q96" s="197"/>
      <c r="R96" s="295"/>
      <c r="S96" s="151"/>
      <c r="T96" s="296"/>
      <c r="U96" s="563"/>
      <c r="V96" s="563"/>
      <c r="W96" s="563"/>
      <c r="X96" s="563"/>
      <c r="Y96" s="150"/>
      <c r="Z96" s="150"/>
      <c r="AA96" s="150"/>
      <c r="AB96" s="150"/>
      <c r="AC96" s="150"/>
      <c r="AD96" s="150"/>
      <c r="AE96" s="197"/>
      <c r="AF96" s="197"/>
      <c r="AG96" s="197"/>
      <c r="AH96" s="295"/>
      <c r="AI96" s="151"/>
      <c r="AJ96" s="296"/>
      <c r="AK96" s="111"/>
      <c r="AL96" s="111"/>
      <c r="AM96" s="111"/>
    </row>
    <row r="97" spans="1:39" x14ac:dyDescent="0.35">
      <c r="A97" s="7"/>
      <c r="B97" s="7"/>
      <c r="C97" s="7"/>
      <c r="D97" s="7" t="s">
        <v>440</v>
      </c>
      <c r="E97" s="134"/>
      <c r="F97" s="134"/>
      <c r="G97" s="134"/>
      <c r="H97" s="134"/>
      <c r="I97" s="152"/>
      <c r="J97" s="139"/>
      <c r="K97" s="153"/>
      <c r="L97" s="154"/>
      <c r="M97" s="155"/>
      <c r="N97" s="155"/>
      <c r="O97" s="197">
        <f t="shared" ref="O97:T97" si="149">SUM(O95:O96)</f>
        <v>215774.80000000002</v>
      </c>
      <c r="P97" s="197">
        <f t="shared" si="149"/>
        <v>238431.15399999998</v>
      </c>
      <c r="Q97" s="197">
        <f t="shared" si="149"/>
        <v>258929.75999999998</v>
      </c>
      <c r="R97" s="297">
        <f t="shared" si="149"/>
        <v>0.4</v>
      </c>
      <c r="S97" s="298">
        <f t="shared" si="149"/>
        <v>0.44199999999999995</v>
      </c>
      <c r="T97" s="299">
        <f t="shared" si="149"/>
        <v>0.48</v>
      </c>
      <c r="U97" s="134"/>
      <c r="V97" s="134"/>
      <c r="W97" s="134"/>
      <c r="X97" s="134"/>
      <c r="Y97" s="152"/>
      <c r="Z97" s="139"/>
      <c r="AA97" s="156"/>
      <c r="AB97" s="154"/>
      <c r="AC97" s="152"/>
      <c r="AD97" s="139"/>
      <c r="AE97" s="197">
        <f t="shared" ref="AE97:AJ97" si="150">SUM(AE95:AE96)</f>
        <v>343781.46</v>
      </c>
      <c r="AF97" s="197">
        <f t="shared" si="150"/>
        <v>393786.03599999996</v>
      </c>
      <c r="AG97" s="197">
        <f t="shared" si="150"/>
        <v>444334.14</v>
      </c>
      <c r="AH97" s="297">
        <f t="shared" si="150"/>
        <v>2.5300000000000002</v>
      </c>
      <c r="AI97" s="298">
        <f t="shared" si="150"/>
        <v>2.8979999999999997</v>
      </c>
      <c r="AJ97" s="299">
        <f t="shared" si="150"/>
        <v>3.27</v>
      </c>
      <c r="AK97" s="111"/>
      <c r="AL97" s="111"/>
      <c r="AM97" s="111"/>
    </row>
    <row r="98" spans="1:39" ht="18" customHeight="1" x14ac:dyDescent="0.35">
      <c r="A98" s="53" t="s">
        <v>461</v>
      </c>
      <c r="B98" s="7" t="s">
        <v>462</v>
      </c>
      <c r="C98" s="123" t="s">
        <v>463</v>
      </c>
      <c r="D98" s="7" t="s">
        <v>433</v>
      </c>
      <c r="E98" s="199">
        <v>0.11</v>
      </c>
      <c r="F98" s="199">
        <v>0.3</v>
      </c>
      <c r="G98" s="199">
        <v>0.5</v>
      </c>
      <c r="H98" s="199" t="s">
        <v>352</v>
      </c>
      <c r="I98" s="31">
        <v>1.51</v>
      </c>
      <c r="J98" s="31">
        <v>1.68</v>
      </c>
      <c r="K98" s="31">
        <v>1.85</v>
      </c>
      <c r="L98" s="31">
        <v>1.08</v>
      </c>
      <c r="M98" s="31">
        <v>1.2</v>
      </c>
      <c r="N98" s="31">
        <v>1.32</v>
      </c>
      <c r="O98" s="195">
        <f t="shared" ref="O98:Q99" si="151">HHProps_SSW*IF($H98="S1",I98,(I98+L98))</f>
        <v>1397141.8299999998</v>
      </c>
      <c r="P98" s="195">
        <f t="shared" si="151"/>
        <v>1553578.56</v>
      </c>
      <c r="Q98" s="195">
        <f t="shared" si="151"/>
        <v>1710015.29</v>
      </c>
      <c r="R98" s="286">
        <f t="shared" ref="R98:T101" si="152">-O98/(IF($H98="S1",($E98-$F98),($E98-$G98))*100)</f>
        <v>35824.149487179486</v>
      </c>
      <c r="S98" s="195">
        <f t="shared" si="152"/>
        <v>39835.347692307696</v>
      </c>
      <c r="T98" s="287">
        <f t="shared" si="152"/>
        <v>43846.545897435899</v>
      </c>
      <c r="U98" s="199">
        <v>0.11</v>
      </c>
      <c r="V98" s="199">
        <v>0.3</v>
      </c>
      <c r="W98" s="199">
        <v>0.5</v>
      </c>
      <c r="X98" s="103" t="str">
        <f>H98</f>
        <v>S2</v>
      </c>
      <c r="Y98" s="31">
        <v>0.9</v>
      </c>
      <c r="Z98" s="31">
        <v>1.04</v>
      </c>
      <c r="AA98" s="31">
        <v>1.19</v>
      </c>
      <c r="AB98" s="31">
        <v>2</v>
      </c>
      <c r="AC98" s="31">
        <v>2.29</v>
      </c>
      <c r="AD98" s="31">
        <v>2.57</v>
      </c>
      <c r="AE98" s="195">
        <f t="shared" ref="AE98:AG99" si="153">HHProps_CAM*IF($H98="S1",Y98,(Y98+AB98))</f>
        <v>394057.8</v>
      </c>
      <c r="AF98" s="195">
        <f t="shared" si="153"/>
        <v>452487.06</v>
      </c>
      <c r="AG98" s="195">
        <f t="shared" si="153"/>
        <v>510916.31999999995</v>
      </c>
      <c r="AH98" s="286">
        <f t="shared" ref="AH98:AJ101" si="154">-AE98/(IF($H98="S1",($U98-$V98),($U98-$W98))*100)</f>
        <v>10104.046153846153</v>
      </c>
      <c r="AI98" s="195">
        <f t="shared" si="154"/>
        <v>11602.232307692308</v>
      </c>
      <c r="AJ98" s="287">
        <f t="shared" si="154"/>
        <v>13100.41846153846</v>
      </c>
      <c r="AK98" s="111"/>
      <c r="AL98" s="111"/>
      <c r="AM98" s="111"/>
    </row>
    <row r="99" spans="1:39" x14ac:dyDescent="0.35">
      <c r="A99" s="7"/>
      <c r="B99" s="7"/>
      <c r="C99" s="7"/>
      <c r="D99" s="7" t="s">
        <v>435</v>
      </c>
      <c r="E99" s="199">
        <v>0.11</v>
      </c>
      <c r="F99" s="199">
        <v>0.3</v>
      </c>
      <c r="G99" s="199">
        <v>0.5</v>
      </c>
      <c r="H99" s="199" t="s">
        <v>352</v>
      </c>
      <c r="I99" s="31">
        <v>1.34</v>
      </c>
      <c r="J99" s="31">
        <v>1.51</v>
      </c>
      <c r="K99" s="31">
        <v>1.68</v>
      </c>
      <c r="L99" s="31">
        <v>1.24</v>
      </c>
      <c r="M99" s="31">
        <v>1.4</v>
      </c>
      <c r="N99" s="31">
        <v>1.55</v>
      </c>
      <c r="O99" s="195">
        <f t="shared" si="151"/>
        <v>1391747.46</v>
      </c>
      <c r="P99" s="195">
        <f t="shared" si="151"/>
        <v>1569761.6700000002</v>
      </c>
      <c r="Q99" s="195">
        <f t="shared" si="151"/>
        <v>1742381.51</v>
      </c>
      <c r="R99" s="286">
        <f t="shared" si="152"/>
        <v>35685.832307692304</v>
      </c>
      <c r="S99" s="195">
        <f t="shared" si="152"/>
        <v>40250.299230769233</v>
      </c>
      <c r="T99" s="287">
        <f t="shared" si="152"/>
        <v>44676.448974358973</v>
      </c>
      <c r="U99" s="199">
        <v>0.11</v>
      </c>
      <c r="V99" s="199">
        <v>0.3</v>
      </c>
      <c r="W99" s="199">
        <v>0.5</v>
      </c>
      <c r="X99" s="103" t="str">
        <f>H99</f>
        <v>S2</v>
      </c>
      <c r="Y99" s="31">
        <v>1.79</v>
      </c>
      <c r="Z99" s="31">
        <v>2.1800000000000002</v>
      </c>
      <c r="AA99" s="31">
        <v>2.57</v>
      </c>
      <c r="AB99" s="31">
        <v>8.0500000000000007</v>
      </c>
      <c r="AC99" s="31">
        <v>8.31</v>
      </c>
      <c r="AD99" s="31">
        <v>8.57</v>
      </c>
      <c r="AE99" s="195">
        <f t="shared" si="153"/>
        <v>1337078.8799999999</v>
      </c>
      <c r="AF99" s="195">
        <f t="shared" si="153"/>
        <v>1425402.18</v>
      </c>
      <c r="AG99" s="195">
        <f t="shared" si="153"/>
        <v>1513725.48</v>
      </c>
      <c r="AH99" s="286">
        <f t="shared" si="154"/>
        <v>34284.073846153842</v>
      </c>
      <c r="AI99" s="195">
        <f t="shared" si="154"/>
        <v>36548.773846153847</v>
      </c>
      <c r="AJ99" s="287">
        <f t="shared" si="154"/>
        <v>38813.473846153844</v>
      </c>
      <c r="AK99" s="111"/>
      <c r="AL99" s="111"/>
      <c r="AM99" s="111"/>
    </row>
    <row r="100" spans="1:39" x14ac:dyDescent="0.35">
      <c r="A100" s="7"/>
      <c r="B100" s="7"/>
      <c r="C100" s="7"/>
      <c r="D100" s="7" t="s">
        <v>436</v>
      </c>
      <c r="E100" s="199">
        <v>0.11</v>
      </c>
      <c r="F100" s="199">
        <v>0.3</v>
      </c>
      <c r="G100" s="199">
        <v>0.5</v>
      </c>
      <c r="H100" s="199" t="s">
        <v>352</v>
      </c>
      <c r="I100" s="105">
        <v>4.0000000000000001E-3</v>
      </c>
      <c r="J100" s="105">
        <v>5.0000000000000001E-3</v>
      </c>
      <c r="K100" s="105">
        <v>6.0000000000000001E-3</v>
      </c>
      <c r="L100" s="105">
        <v>0.01</v>
      </c>
      <c r="M100" s="105">
        <v>1.2999999999999999E-2</v>
      </c>
      <c r="N100" s="105">
        <v>1.6E-2</v>
      </c>
      <c r="O100" s="195">
        <f t="shared" ref="O100:Q101" si="155">NHHProps_SSW*AvgNHHBill_SSW*IF($H100="S1",I100,(I100+L100))</f>
        <v>1857336.7679999999</v>
      </c>
      <c r="P100" s="195">
        <f t="shared" si="155"/>
        <v>2388004.4159999997</v>
      </c>
      <c r="Q100" s="195">
        <f t="shared" si="155"/>
        <v>2918672.0639999998</v>
      </c>
      <c r="R100" s="286">
        <f t="shared" si="152"/>
        <v>47624.019692307687</v>
      </c>
      <c r="S100" s="195">
        <f t="shared" si="152"/>
        <v>61230.882461538458</v>
      </c>
      <c r="T100" s="287">
        <f t="shared" si="152"/>
        <v>74837.745230769229</v>
      </c>
      <c r="U100" s="199">
        <v>0.11</v>
      </c>
      <c r="V100" s="199">
        <v>0.3</v>
      </c>
      <c r="W100" s="199">
        <v>0.5</v>
      </c>
      <c r="X100" s="103" t="str">
        <f>H100</f>
        <v>S2</v>
      </c>
      <c r="Y100" s="105">
        <v>0</v>
      </c>
      <c r="Z100" s="105">
        <v>0.13</v>
      </c>
      <c r="AA100" s="105">
        <v>0.40100000000000002</v>
      </c>
      <c r="AB100" s="105">
        <v>0.10100000000000001</v>
      </c>
      <c r="AC100" s="105">
        <v>2.5000000000000001E-2</v>
      </c>
      <c r="AD100" s="105">
        <v>0.316</v>
      </c>
      <c r="AE100" s="195">
        <f t="shared" ref="AE100:AG101" si="156">NHHProps_CAM*AvgNHHBill_CAM*IF($H100="S1",Y100,(Y100+AB100))</f>
        <v>4443095.04</v>
      </c>
      <c r="AF100" s="195">
        <f t="shared" si="156"/>
        <v>6818611.2000000002</v>
      </c>
      <c r="AG100" s="195">
        <f t="shared" si="156"/>
        <v>31541575.680000003</v>
      </c>
      <c r="AH100" s="286">
        <f t="shared" si="154"/>
        <v>113925.51384615384</v>
      </c>
      <c r="AI100" s="195">
        <f t="shared" si="154"/>
        <v>174836.18461538461</v>
      </c>
      <c r="AJ100" s="287">
        <f t="shared" si="154"/>
        <v>808758.35076923086</v>
      </c>
      <c r="AK100" s="111"/>
      <c r="AL100" s="111"/>
      <c r="AM100" s="111"/>
    </row>
    <row r="101" spans="1:39" x14ac:dyDescent="0.35">
      <c r="A101" s="7"/>
      <c r="B101" s="7"/>
      <c r="C101" s="7"/>
      <c r="D101" s="7" t="s">
        <v>437</v>
      </c>
      <c r="E101" s="199">
        <v>0.11</v>
      </c>
      <c r="F101" s="199">
        <v>0.3</v>
      </c>
      <c r="G101" s="199">
        <v>0.5</v>
      </c>
      <c r="H101" s="199" t="s">
        <v>352</v>
      </c>
      <c r="I101" s="105">
        <v>0</v>
      </c>
      <c r="J101" s="105">
        <v>2.1999999999999999E-2</v>
      </c>
      <c r="K101" s="105">
        <v>4.7E-2</v>
      </c>
      <c r="L101" s="105">
        <v>0</v>
      </c>
      <c r="M101" s="105">
        <v>1.4E-3</v>
      </c>
      <c r="N101" s="105">
        <v>2E-3</v>
      </c>
      <c r="O101" s="195">
        <f t="shared" si="155"/>
        <v>0</v>
      </c>
      <c r="P101" s="195">
        <f t="shared" si="155"/>
        <v>3104405.7407999998</v>
      </c>
      <c r="Q101" s="195">
        <f t="shared" si="155"/>
        <v>6500678.6880000001</v>
      </c>
      <c r="R101" s="286">
        <f t="shared" si="152"/>
        <v>0</v>
      </c>
      <c r="S101" s="195">
        <f t="shared" si="152"/>
        <v>79600.147199999992</v>
      </c>
      <c r="T101" s="287">
        <f t="shared" si="152"/>
        <v>166684.06892307693</v>
      </c>
      <c r="U101" s="199">
        <v>0.11</v>
      </c>
      <c r="V101" s="199">
        <v>0.3</v>
      </c>
      <c r="W101" s="199">
        <v>0.5</v>
      </c>
      <c r="X101" s="103" t="str">
        <f>H101</f>
        <v>S2</v>
      </c>
      <c r="Y101" s="105">
        <v>0</v>
      </c>
      <c r="Z101" s="105">
        <v>7.0000000000000001E-3</v>
      </c>
      <c r="AA101" s="105">
        <v>1.4E-2</v>
      </c>
      <c r="AB101" s="105">
        <v>0</v>
      </c>
      <c r="AC101" s="105">
        <v>1E-3</v>
      </c>
      <c r="AD101" s="105">
        <v>0</v>
      </c>
      <c r="AE101" s="195">
        <f t="shared" si="156"/>
        <v>0</v>
      </c>
      <c r="AF101" s="195">
        <f t="shared" si="156"/>
        <v>351928.32000000001</v>
      </c>
      <c r="AG101" s="195">
        <f t="shared" si="156"/>
        <v>615874.56000000006</v>
      </c>
      <c r="AH101" s="286">
        <f t="shared" si="154"/>
        <v>0</v>
      </c>
      <c r="AI101" s="195">
        <f t="shared" si="154"/>
        <v>9023.8030769230772</v>
      </c>
      <c r="AJ101" s="287">
        <f t="shared" si="154"/>
        <v>15791.655384615386</v>
      </c>
      <c r="AK101" s="111"/>
      <c r="AL101" s="111"/>
      <c r="AM101" s="111"/>
    </row>
    <row r="102" spans="1:39" x14ac:dyDescent="0.35">
      <c r="A102" s="7"/>
      <c r="B102" s="7"/>
      <c r="C102" s="7"/>
      <c r="D102" s="7" t="s">
        <v>438</v>
      </c>
      <c r="E102" s="563">
        <f>E99</f>
        <v>0.11</v>
      </c>
      <c r="F102" s="563">
        <f>F99</f>
        <v>0.3</v>
      </c>
      <c r="G102" s="563">
        <f>G99</f>
        <v>0.5</v>
      </c>
      <c r="H102" s="563"/>
      <c r="I102" s="151">
        <f t="shared" ref="I102:W102" si="157">I99</f>
        <v>1.34</v>
      </c>
      <c r="J102" s="151">
        <f t="shared" si="157"/>
        <v>1.51</v>
      </c>
      <c r="K102" s="151">
        <f t="shared" si="157"/>
        <v>1.68</v>
      </c>
      <c r="L102" s="151">
        <f t="shared" si="157"/>
        <v>1.24</v>
      </c>
      <c r="M102" s="151">
        <f t="shared" si="157"/>
        <v>1.4</v>
      </c>
      <c r="N102" s="151">
        <f t="shared" si="157"/>
        <v>1.55</v>
      </c>
      <c r="O102" s="197">
        <f t="shared" si="157"/>
        <v>1391747.46</v>
      </c>
      <c r="P102" s="197">
        <f t="shared" si="157"/>
        <v>1569761.6700000002</v>
      </c>
      <c r="Q102" s="197">
        <f t="shared" si="157"/>
        <v>1742381.51</v>
      </c>
      <c r="R102" s="288">
        <f t="shared" si="157"/>
        <v>35685.832307692304</v>
      </c>
      <c r="S102" s="198">
        <f t="shared" si="157"/>
        <v>40250.299230769233</v>
      </c>
      <c r="T102" s="289">
        <f t="shared" si="157"/>
        <v>44676.448974358973</v>
      </c>
      <c r="U102" s="150">
        <f t="shared" si="157"/>
        <v>0.11</v>
      </c>
      <c r="V102" s="150">
        <f t="shared" si="157"/>
        <v>0.3</v>
      </c>
      <c r="W102" s="150">
        <f t="shared" si="157"/>
        <v>0.5</v>
      </c>
      <c r="X102" s="150"/>
      <c r="Y102" s="151">
        <f t="shared" ref="Y102:AJ102" si="158">Y99</f>
        <v>1.79</v>
      </c>
      <c r="Z102" s="151">
        <f t="shared" si="158"/>
        <v>2.1800000000000002</v>
      </c>
      <c r="AA102" s="151">
        <f t="shared" si="158"/>
        <v>2.57</v>
      </c>
      <c r="AB102" s="151">
        <f t="shared" si="158"/>
        <v>8.0500000000000007</v>
      </c>
      <c r="AC102" s="151">
        <f t="shared" si="158"/>
        <v>8.31</v>
      </c>
      <c r="AD102" s="151">
        <f t="shared" si="158"/>
        <v>8.57</v>
      </c>
      <c r="AE102" s="197">
        <f t="shared" si="158"/>
        <v>1337078.8799999999</v>
      </c>
      <c r="AF102" s="197">
        <f t="shared" si="158"/>
        <v>1425402.18</v>
      </c>
      <c r="AG102" s="197">
        <f t="shared" si="158"/>
        <v>1513725.48</v>
      </c>
      <c r="AH102" s="288">
        <f t="shared" si="158"/>
        <v>34284.073846153842</v>
      </c>
      <c r="AI102" s="198">
        <f t="shared" si="158"/>
        <v>36548.773846153847</v>
      </c>
      <c r="AJ102" s="289">
        <f t="shared" si="158"/>
        <v>38813.473846153844</v>
      </c>
      <c r="AK102" s="111"/>
      <c r="AL102" s="111"/>
      <c r="AM102" s="111"/>
    </row>
    <row r="103" spans="1:39" x14ac:dyDescent="0.35">
      <c r="A103" s="7"/>
      <c r="B103" s="7"/>
      <c r="C103" s="7"/>
      <c r="D103" s="7" t="s">
        <v>439</v>
      </c>
      <c r="E103" s="563">
        <f>E101</f>
        <v>0.11</v>
      </c>
      <c r="F103" s="563">
        <f>F101</f>
        <v>0.3</v>
      </c>
      <c r="G103" s="563">
        <f>G101</f>
        <v>0.5</v>
      </c>
      <c r="H103" s="563"/>
      <c r="I103" s="150">
        <f t="shared" ref="I103:W103" si="159">I101</f>
        <v>0</v>
      </c>
      <c r="J103" s="150">
        <f t="shared" si="159"/>
        <v>2.1999999999999999E-2</v>
      </c>
      <c r="K103" s="150">
        <f t="shared" si="159"/>
        <v>4.7E-2</v>
      </c>
      <c r="L103" s="150">
        <f t="shared" si="159"/>
        <v>0</v>
      </c>
      <c r="M103" s="150">
        <f t="shared" si="159"/>
        <v>1.4E-3</v>
      </c>
      <c r="N103" s="150">
        <f t="shared" si="159"/>
        <v>2E-3</v>
      </c>
      <c r="O103" s="197">
        <f t="shared" si="159"/>
        <v>0</v>
      </c>
      <c r="P103" s="197">
        <f t="shared" si="159"/>
        <v>3104405.7407999998</v>
      </c>
      <c r="Q103" s="197">
        <f t="shared" si="159"/>
        <v>6500678.6880000001</v>
      </c>
      <c r="R103" s="288">
        <f t="shared" si="159"/>
        <v>0</v>
      </c>
      <c r="S103" s="198">
        <f t="shared" si="159"/>
        <v>79600.147199999992</v>
      </c>
      <c r="T103" s="289">
        <f t="shared" si="159"/>
        <v>166684.06892307693</v>
      </c>
      <c r="U103" s="150">
        <f t="shared" si="159"/>
        <v>0.11</v>
      </c>
      <c r="V103" s="150">
        <f t="shared" si="159"/>
        <v>0.3</v>
      </c>
      <c r="W103" s="150">
        <f t="shared" si="159"/>
        <v>0.5</v>
      </c>
      <c r="X103" s="150"/>
      <c r="Y103" s="150">
        <f t="shared" ref="Y103:AJ103" si="160">Y101</f>
        <v>0</v>
      </c>
      <c r="Z103" s="150">
        <f t="shared" si="160"/>
        <v>7.0000000000000001E-3</v>
      </c>
      <c r="AA103" s="150">
        <f t="shared" si="160"/>
        <v>1.4E-2</v>
      </c>
      <c r="AB103" s="150">
        <f t="shared" si="160"/>
        <v>0</v>
      </c>
      <c r="AC103" s="150">
        <f t="shared" si="160"/>
        <v>1E-3</v>
      </c>
      <c r="AD103" s="150">
        <f t="shared" si="160"/>
        <v>0</v>
      </c>
      <c r="AE103" s="197">
        <f t="shared" si="160"/>
        <v>0</v>
      </c>
      <c r="AF103" s="197">
        <f t="shared" si="160"/>
        <v>351928.32000000001</v>
      </c>
      <c r="AG103" s="197">
        <f t="shared" si="160"/>
        <v>615874.56000000006</v>
      </c>
      <c r="AH103" s="288">
        <f t="shared" si="160"/>
        <v>0</v>
      </c>
      <c r="AI103" s="198">
        <f t="shared" si="160"/>
        <v>9023.8030769230772</v>
      </c>
      <c r="AJ103" s="289">
        <f t="shared" si="160"/>
        <v>15791.655384615386</v>
      </c>
      <c r="AK103" s="111"/>
      <c r="AL103" s="111"/>
      <c r="AM103" s="111"/>
    </row>
    <row r="104" spans="1:39" x14ac:dyDescent="0.35">
      <c r="A104" s="7"/>
      <c r="B104" s="7"/>
      <c r="C104" s="7"/>
      <c r="D104" s="7" t="s">
        <v>440</v>
      </c>
      <c r="E104" s="134"/>
      <c r="F104" s="134"/>
      <c r="G104" s="134"/>
      <c r="H104" s="134"/>
      <c r="I104" s="152"/>
      <c r="J104" s="139"/>
      <c r="K104" s="153"/>
      <c r="L104" s="154"/>
      <c r="M104" s="155"/>
      <c r="N104" s="155"/>
      <c r="O104" s="197">
        <f t="shared" ref="O104:T104" si="161">SUM(O102:O103)</f>
        <v>1391747.46</v>
      </c>
      <c r="P104" s="197">
        <f t="shared" si="161"/>
        <v>4674167.4107999997</v>
      </c>
      <c r="Q104" s="197">
        <f t="shared" si="161"/>
        <v>8243060.1979999999</v>
      </c>
      <c r="R104" s="290">
        <f t="shared" si="161"/>
        <v>35685.832307692304</v>
      </c>
      <c r="S104" s="291">
        <f t="shared" si="161"/>
        <v>119850.44643076923</v>
      </c>
      <c r="T104" s="292">
        <f t="shared" si="161"/>
        <v>211360.5178974359</v>
      </c>
      <c r="U104" s="134"/>
      <c r="V104" s="134"/>
      <c r="W104" s="134"/>
      <c r="X104" s="134"/>
      <c r="Y104" s="152"/>
      <c r="Z104" s="139"/>
      <c r="AA104" s="156"/>
      <c r="AB104" s="154"/>
      <c r="AC104" s="152"/>
      <c r="AD104" s="139"/>
      <c r="AE104" s="197">
        <f t="shared" ref="AE104:AJ104" si="162">SUM(AE102:AE103)</f>
        <v>1337078.8799999999</v>
      </c>
      <c r="AF104" s="197">
        <f t="shared" si="162"/>
        <v>1777330.5</v>
      </c>
      <c r="AG104" s="197">
        <f t="shared" si="162"/>
        <v>2129600.04</v>
      </c>
      <c r="AH104" s="290">
        <f t="shared" si="162"/>
        <v>34284.073846153842</v>
      </c>
      <c r="AI104" s="291">
        <f t="shared" si="162"/>
        <v>45572.576923076922</v>
      </c>
      <c r="AJ104" s="292">
        <f t="shared" si="162"/>
        <v>54605.129230769227</v>
      </c>
      <c r="AK104" s="111"/>
      <c r="AL104" s="111"/>
      <c r="AM104" s="111"/>
    </row>
    <row r="105" spans="1:39" x14ac:dyDescent="0.35">
      <c r="A105" s="7" t="s">
        <v>464</v>
      </c>
      <c r="B105" s="7" t="s">
        <v>465</v>
      </c>
      <c r="C105" s="123" t="s">
        <v>155</v>
      </c>
      <c r="D105" s="7" t="s">
        <v>433</v>
      </c>
      <c r="E105" s="106">
        <v>0</v>
      </c>
      <c r="F105" s="106">
        <v>19</v>
      </c>
      <c r="G105" s="106">
        <v>30</v>
      </c>
      <c r="H105" s="199" t="s">
        <v>352</v>
      </c>
      <c r="I105" s="31">
        <v>0.39</v>
      </c>
      <c r="J105" s="31">
        <v>0.44</v>
      </c>
      <c r="K105" s="31">
        <v>0.48</v>
      </c>
      <c r="L105" s="31">
        <v>0.15</v>
      </c>
      <c r="M105" s="31">
        <v>0.17</v>
      </c>
      <c r="N105" s="31">
        <v>0.18</v>
      </c>
      <c r="O105" s="195">
        <f t="shared" ref="O105:Q106" si="163">HHProps_SSW*IF($H105="S1",I105,(I105+L105))</f>
        <v>291295.98000000004</v>
      </c>
      <c r="P105" s="195">
        <f t="shared" si="163"/>
        <v>329056.57</v>
      </c>
      <c r="Q105" s="195">
        <f t="shared" si="163"/>
        <v>356028.42</v>
      </c>
      <c r="R105" s="286">
        <f t="shared" ref="R105:T108" si="164">-O105/(IF($H105="S1",($E105-$F105),($E105-$G105)))</f>
        <v>9709.8660000000018</v>
      </c>
      <c r="S105" s="195">
        <f t="shared" si="164"/>
        <v>10968.552333333333</v>
      </c>
      <c r="T105" s="287">
        <f t="shared" si="164"/>
        <v>11867.614</v>
      </c>
      <c r="U105" s="106">
        <v>0</v>
      </c>
      <c r="V105" s="106">
        <v>6</v>
      </c>
      <c r="W105" s="106">
        <v>10</v>
      </c>
      <c r="X105" s="103" t="str">
        <f>H105</f>
        <v>S2</v>
      </c>
      <c r="Y105" s="31">
        <v>0.06</v>
      </c>
      <c r="Z105" s="31">
        <v>7.0000000000000007E-2</v>
      </c>
      <c r="AA105" s="31">
        <v>0.08</v>
      </c>
      <c r="AB105" s="31">
        <v>0.4</v>
      </c>
      <c r="AC105" s="31">
        <v>0.46</v>
      </c>
      <c r="AD105" s="31">
        <v>0.51</v>
      </c>
      <c r="AE105" s="195">
        <f t="shared" ref="AE105:AG106" si="165">HHProps_CAM*IF($H105="S1",Y105,(Y105+AB105))</f>
        <v>62505.72</v>
      </c>
      <c r="AF105" s="195">
        <f t="shared" si="165"/>
        <v>72017.460000000006</v>
      </c>
      <c r="AG105" s="195">
        <f t="shared" si="165"/>
        <v>80170.37999999999</v>
      </c>
      <c r="AH105" s="286">
        <f t="shared" ref="AH105:AJ108" si="166">-AE105/(IF($H105="S1",($U105-$V105),($U105-$W105)))</f>
        <v>6250.5720000000001</v>
      </c>
      <c r="AI105" s="195">
        <f t="shared" si="166"/>
        <v>7201.746000000001</v>
      </c>
      <c r="AJ105" s="287">
        <f t="shared" si="166"/>
        <v>8017.0379999999986</v>
      </c>
      <c r="AK105" s="111"/>
      <c r="AL105" s="111"/>
      <c r="AM105" s="111"/>
    </row>
    <row r="106" spans="1:39" x14ac:dyDescent="0.35">
      <c r="A106" s="7"/>
      <c r="B106" s="7"/>
      <c r="C106" s="7"/>
      <c r="D106" s="7" t="s">
        <v>435</v>
      </c>
      <c r="E106" s="106">
        <v>0</v>
      </c>
      <c r="F106" s="106">
        <v>19</v>
      </c>
      <c r="G106" s="106">
        <v>30</v>
      </c>
      <c r="H106" s="199" t="s">
        <v>352</v>
      </c>
      <c r="I106" s="31">
        <v>0.37</v>
      </c>
      <c r="J106" s="31">
        <v>0.42</v>
      </c>
      <c r="K106" s="31">
        <v>0.47</v>
      </c>
      <c r="L106" s="31">
        <v>0.14000000000000001</v>
      </c>
      <c r="M106" s="31">
        <v>0.15</v>
      </c>
      <c r="N106" s="31">
        <v>0.17</v>
      </c>
      <c r="O106" s="195">
        <f t="shared" si="163"/>
        <v>275112.87</v>
      </c>
      <c r="P106" s="195">
        <f t="shared" si="163"/>
        <v>307479.08999999997</v>
      </c>
      <c r="Q106" s="195">
        <f t="shared" si="163"/>
        <v>345239.68</v>
      </c>
      <c r="R106" s="286">
        <f t="shared" si="164"/>
        <v>9170.4290000000001</v>
      </c>
      <c r="S106" s="195">
        <f t="shared" si="164"/>
        <v>10249.302999999998</v>
      </c>
      <c r="T106" s="287">
        <f t="shared" si="164"/>
        <v>11507.989333333333</v>
      </c>
      <c r="U106" s="106">
        <v>0</v>
      </c>
      <c r="V106" s="106">
        <v>6</v>
      </c>
      <c r="W106" s="106">
        <v>10</v>
      </c>
      <c r="X106" s="103" t="str">
        <f>H106</f>
        <v>S2</v>
      </c>
      <c r="Y106" s="31">
        <v>0.08</v>
      </c>
      <c r="Z106" s="31">
        <v>0.09</v>
      </c>
      <c r="AA106" s="31">
        <v>0.11</v>
      </c>
      <c r="AB106" s="31">
        <v>0.85</v>
      </c>
      <c r="AC106" s="31">
        <v>1.04</v>
      </c>
      <c r="AD106" s="31">
        <v>1.22</v>
      </c>
      <c r="AE106" s="195">
        <f t="shared" si="165"/>
        <v>126370.26</v>
      </c>
      <c r="AF106" s="195">
        <f t="shared" si="165"/>
        <v>153546.66</v>
      </c>
      <c r="AG106" s="195">
        <f t="shared" si="165"/>
        <v>180723.06</v>
      </c>
      <c r="AH106" s="286">
        <f t="shared" si="166"/>
        <v>12637.026</v>
      </c>
      <c r="AI106" s="195">
        <f t="shared" si="166"/>
        <v>15354.666000000001</v>
      </c>
      <c r="AJ106" s="287">
        <f t="shared" si="166"/>
        <v>18072.306</v>
      </c>
      <c r="AK106" s="111"/>
      <c r="AL106" s="111"/>
      <c r="AM106" s="111"/>
    </row>
    <row r="107" spans="1:39" x14ac:dyDescent="0.35">
      <c r="A107" s="7"/>
      <c r="B107" s="7"/>
      <c r="C107" s="7"/>
      <c r="D107" s="7" t="s">
        <v>436</v>
      </c>
      <c r="E107" s="106">
        <v>0</v>
      </c>
      <c r="F107" s="106">
        <v>19</v>
      </c>
      <c r="G107" s="106">
        <v>30</v>
      </c>
      <c r="H107" s="199" t="s">
        <v>352</v>
      </c>
      <c r="I107" s="105">
        <v>1E-3</v>
      </c>
      <c r="J107" s="105">
        <v>1E-3</v>
      </c>
      <c r="K107" s="105">
        <v>2E-3</v>
      </c>
      <c r="L107" s="105">
        <v>0</v>
      </c>
      <c r="M107" s="105">
        <v>2.0000000000000001E-4</v>
      </c>
      <c r="N107" s="105">
        <v>0</v>
      </c>
      <c r="O107" s="195">
        <f t="shared" ref="O107:Q108" si="167">NHHProps_SSW*AvgNHHBill_SSW*IF($H107="S1",I107,(I107+L107))</f>
        <v>132666.91200000001</v>
      </c>
      <c r="P107" s="195">
        <f t="shared" si="167"/>
        <v>159200.29440000001</v>
      </c>
      <c r="Q107" s="195">
        <f t="shared" si="167"/>
        <v>265333.82400000002</v>
      </c>
      <c r="R107" s="286">
        <f t="shared" si="164"/>
        <v>4422.2304000000004</v>
      </c>
      <c r="S107" s="195">
        <f t="shared" si="164"/>
        <v>5306.6764800000001</v>
      </c>
      <c r="T107" s="287">
        <f t="shared" si="164"/>
        <v>8844.4608000000007</v>
      </c>
      <c r="U107" s="106">
        <v>0</v>
      </c>
      <c r="V107" s="106">
        <v>6</v>
      </c>
      <c r="W107" s="106">
        <v>10</v>
      </c>
      <c r="X107" s="103" t="str">
        <f>H107</f>
        <v>S2</v>
      </c>
      <c r="Y107" s="105">
        <v>0</v>
      </c>
      <c r="Z107" s="105">
        <v>3.0000000000000001E-3</v>
      </c>
      <c r="AA107" s="105">
        <v>8.9999999999999993E-3</v>
      </c>
      <c r="AB107" s="105">
        <v>0</v>
      </c>
      <c r="AC107" s="105">
        <v>5.0000000000000001E-4</v>
      </c>
      <c r="AD107" s="105">
        <v>1E-3</v>
      </c>
      <c r="AE107" s="195">
        <f t="shared" ref="AE107:AG108" si="168">NHHProps_CAM*AvgNHHBill_CAM*IF($H107="S1",Y107,(Y107+AB107))</f>
        <v>0</v>
      </c>
      <c r="AF107" s="195">
        <f t="shared" si="168"/>
        <v>153968.64000000001</v>
      </c>
      <c r="AG107" s="195">
        <f t="shared" si="168"/>
        <v>439910.39999999991</v>
      </c>
      <c r="AH107" s="286">
        <f t="shared" si="166"/>
        <v>0</v>
      </c>
      <c r="AI107" s="195">
        <f t="shared" si="166"/>
        <v>15396.864000000001</v>
      </c>
      <c r="AJ107" s="287">
        <f t="shared" si="166"/>
        <v>43991.039999999994</v>
      </c>
      <c r="AK107" s="111"/>
      <c r="AL107" s="111"/>
      <c r="AM107" s="111"/>
    </row>
    <row r="108" spans="1:39" x14ac:dyDescent="0.35">
      <c r="A108" s="7"/>
      <c r="B108" s="7"/>
      <c r="C108" s="7"/>
      <c r="D108" s="7" t="s">
        <v>437</v>
      </c>
      <c r="E108" s="106">
        <v>0</v>
      </c>
      <c r="F108" s="106">
        <v>19</v>
      </c>
      <c r="G108" s="106">
        <v>30</v>
      </c>
      <c r="H108" s="199" t="s">
        <v>352</v>
      </c>
      <c r="I108" s="105">
        <v>0</v>
      </c>
      <c r="J108" s="105">
        <v>1E-3</v>
      </c>
      <c r="K108" s="105">
        <v>2E-3</v>
      </c>
      <c r="L108" s="105">
        <v>0</v>
      </c>
      <c r="M108" s="105">
        <v>5.0000000000000001E-4</v>
      </c>
      <c r="N108" s="105">
        <v>1E-3</v>
      </c>
      <c r="O108" s="195">
        <f t="shared" si="167"/>
        <v>0</v>
      </c>
      <c r="P108" s="195">
        <f t="shared" si="167"/>
        <v>199000.36800000002</v>
      </c>
      <c r="Q108" s="195">
        <f t="shared" si="167"/>
        <v>398000.73600000003</v>
      </c>
      <c r="R108" s="286">
        <f t="shared" si="164"/>
        <v>0</v>
      </c>
      <c r="S108" s="195">
        <f t="shared" si="164"/>
        <v>6633.3456000000006</v>
      </c>
      <c r="T108" s="287">
        <f t="shared" si="164"/>
        <v>13266.691200000001</v>
      </c>
      <c r="U108" s="106">
        <v>0</v>
      </c>
      <c r="V108" s="106">
        <v>6</v>
      </c>
      <c r="W108" s="106">
        <v>10</v>
      </c>
      <c r="X108" s="103" t="str">
        <f>H108</f>
        <v>S2</v>
      </c>
      <c r="Y108" s="105">
        <v>0</v>
      </c>
      <c r="Z108" s="105">
        <v>1E-3</v>
      </c>
      <c r="AA108" s="105">
        <v>1E-3</v>
      </c>
      <c r="AB108" s="105">
        <v>0</v>
      </c>
      <c r="AC108" s="105">
        <v>0</v>
      </c>
      <c r="AD108" s="105">
        <v>0</v>
      </c>
      <c r="AE108" s="195">
        <f t="shared" si="168"/>
        <v>0</v>
      </c>
      <c r="AF108" s="195">
        <f t="shared" si="168"/>
        <v>43991.040000000001</v>
      </c>
      <c r="AG108" s="195">
        <f t="shared" si="168"/>
        <v>43991.040000000001</v>
      </c>
      <c r="AH108" s="286">
        <f t="shared" si="166"/>
        <v>0</v>
      </c>
      <c r="AI108" s="195">
        <f t="shared" si="166"/>
        <v>4399.1040000000003</v>
      </c>
      <c r="AJ108" s="287">
        <f t="shared" si="166"/>
        <v>4399.1040000000003</v>
      </c>
      <c r="AK108" s="111"/>
      <c r="AL108" s="111"/>
      <c r="AM108" s="111"/>
    </row>
    <row r="109" spans="1:39" x14ac:dyDescent="0.35">
      <c r="A109" s="7"/>
      <c r="B109" s="7"/>
      <c r="C109" s="7"/>
      <c r="D109" s="7" t="s">
        <v>438</v>
      </c>
      <c r="E109" s="163">
        <f>E106</f>
        <v>0</v>
      </c>
      <c r="F109" s="163">
        <f>F106</f>
        <v>19</v>
      </c>
      <c r="G109" s="163">
        <f>G106</f>
        <v>30</v>
      </c>
      <c r="H109" s="163"/>
      <c r="I109" s="151">
        <f t="shared" ref="I109:W109" si="169">I106</f>
        <v>0.37</v>
      </c>
      <c r="J109" s="151">
        <f t="shared" si="169"/>
        <v>0.42</v>
      </c>
      <c r="K109" s="151">
        <f t="shared" si="169"/>
        <v>0.47</v>
      </c>
      <c r="L109" s="151">
        <f t="shared" si="169"/>
        <v>0.14000000000000001</v>
      </c>
      <c r="M109" s="151">
        <f t="shared" si="169"/>
        <v>0.15</v>
      </c>
      <c r="N109" s="151">
        <f t="shared" si="169"/>
        <v>0.17</v>
      </c>
      <c r="O109" s="197">
        <f t="shared" si="169"/>
        <v>275112.87</v>
      </c>
      <c r="P109" s="197">
        <f t="shared" si="169"/>
        <v>307479.08999999997</v>
      </c>
      <c r="Q109" s="197">
        <f t="shared" si="169"/>
        <v>345239.68</v>
      </c>
      <c r="R109" s="288">
        <f t="shared" si="169"/>
        <v>9170.4290000000001</v>
      </c>
      <c r="S109" s="198">
        <f t="shared" si="169"/>
        <v>10249.302999999998</v>
      </c>
      <c r="T109" s="289">
        <f t="shared" si="169"/>
        <v>11507.989333333333</v>
      </c>
      <c r="U109" s="150">
        <f t="shared" si="169"/>
        <v>0</v>
      </c>
      <c r="V109" s="150">
        <f t="shared" si="169"/>
        <v>6</v>
      </c>
      <c r="W109" s="150">
        <f t="shared" si="169"/>
        <v>10</v>
      </c>
      <c r="X109" s="150"/>
      <c r="Y109" s="151">
        <f t="shared" ref="Y109:AJ109" si="170">Y106</f>
        <v>0.08</v>
      </c>
      <c r="Z109" s="151">
        <f t="shared" si="170"/>
        <v>0.09</v>
      </c>
      <c r="AA109" s="151">
        <f t="shared" si="170"/>
        <v>0.11</v>
      </c>
      <c r="AB109" s="151">
        <f t="shared" si="170"/>
        <v>0.85</v>
      </c>
      <c r="AC109" s="151">
        <f t="shared" si="170"/>
        <v>1.04</v>
      </c>
      <c r="AD109" s="151">
        <f t="shared" si="170"/>
        <v>1.22</v>
      </c>
      <c r="AE109" s="197">
        <f t="shared" si="170"/>
        <v>126370.26</v>
      </c>
      <c r="AF109" s="197">
        <f t="shared" si="170"/>
        <v>153546.66</v>
      </c>
      <c r="AG109" s="197">
        <f t="shared" si="170"/>
        <v>180723.06</v>
      </c>
      <c r="AH109" s="288">
        <f t="shared" si="170"/>
        <v>12637.026</v>
      </c>
      <c r="AI109" s="198">
        <f t="shared" si="170"/>
        <v>15354.666000000001</v>
      </c>
      <c r="AJ109" s="289">
        <f t="shared" si="170"/>
        <v>18072.306</v>
      </c>
      <c r="AK109" s="111"/>
      <c r="AL109" s="111"/>
      <c r="AM109" s="111"/>
    </row>
    <row r="110" spans="1:39" x14ac:dyDescent="0.35">
      <c r="A110" s="7"/>
      <c r="B110" s="7"/>
      <c r="C110" s="7"/>
      <c r="D110" s="7" t="s">
        <v>439</v>
      </c>
      <c r="E110" s="163">
        <f>E108</f>
        <v>0</v>
      </c>
      <c r="F110" s="163">
        <f>F108</f>
        <v>19</v>
      </c>
      <c r="G110" s="163">
        <f>G108</f>
        <v>30</v>
      </c>
      <c r="H110" s="163"/>
      <c r="I110" s="150">
        <f t="shared" ref="I110:W110" si="171">I108</f>
        <v>0</v>
      </c>
      <c r="J110" s="150">
        <f t="shared" si="171"/>
        <v>1E-3</v>
      </c>
      <c r="K110" s="150">
        <f t="shared" si="171"/>
        <v>2E-3</v>
      </c>
      <c r="L110" s="150">
        <f t="shared" si="171"/>
        <v>0</v>
      </c>
      <c r="M110" s="150">
        <f t="shared" si="171"/>
        <v>5.0000000000000001E-4</v>
      </c>
      <c r="N110" s="150">
        <f t="shared" si="171"/>
        <v>1E-3</v>
      </c>
      <c r="O110" s="197">
        <f t="shared" si="171"/>
        <v>0</v>
      </c>
      <c r="P110" s="197">
        <f t="shared" si="171"/>
        <v>199000.36800000002</v>
      </c>
      <c r="Q110" s="197">
        <f t="shared" si="171"/>
        <v>398000.73600000003</v>
      </c>
      <c r="R110" s="288">
        <f t="shared" si="171"/>
        <v>0</v>
      </c>
      <c r="S110" s="198">
        <f t="shared" si="171"/>
        <v>6633.3456000000006</v>
      </c>
      <c r="T110" s="289">
        <f t="shared" si="171"/>
        <v>13266.691200000001</v>
      </c>
      <c r="U110" s="150">
        <f t="shared" si="171"/>
        <v>0</v>
      </c>
      <c r="V110" s="150">
        <f t="shared" si="171"/>
        <v>6</v>
      </c>
      <c r="W110" s="150">
        <f t="shared" si="171"/>
        <v>10</v>
      </c>
      <c r="X110" s="150"/>
      <c r="Y110" s="150">
        <f t="shared" ref="Y110:AJ110" si="172">Y108</f>
        <v>0</v>
      </c>
      <c r="Z110" s="150">
        <f t="shared" si="172"/>
        <v>1E-3</v>
      </c>
      <c r="AA110" s="150">
        <f t="shared" si="172"/>
        <v>1E-3</v>
      </c>
      <c r="AB110" s="150">
        <f t="shared" si="172"/>
        <v>0</v>
      </c>
      <c r="AC110" s="150">
        <f t="shared" si="172"/>
        <v>0</v>
      </c>
      <c r="AD110" s="150">
        <f t="shared" si="172"/>
        <v>0</v>
      </c>
      <c r="AE110" s="197">
        <f t="shared" si="172"/>
        <v>0</v>
      </c>
      <c r="AF110" s="197">
        <f t="shared" si="172"/>
        <v>43991.040000000001</v>
      </c>
      <c r="AG110" s="197">
        <f t="shared" si="172"/>
        <v>43991.040000000001</v>
      </c>
      <c r="AH110" s="288">
        <f t="shared" si="172"/>
        <v>0</v>
      </c>
      <c r="AI110" s="198">
        <f t="shared" si="172"/>
        <v>4399.1040000000003</v>
      </c>
      <c r="AJ110" s="289">
        <f t="shared" si="172"/>
        <v>4399.1040000000003</v>
      </c>
      <c r="AK110" s="111"/>
      <c r="AL110" s="111"/>
      <c r="AM110" s="111"/>
    </row>
    <row r="111" spans="1:39" x14ac:dyDescent="0.35">
      <c r="A111" s="7"/>
      <c r="B111" s="7"/>
      <c r="C111" s="7"/>
      <c r="D111" s="7" t="s">
        <v>440</v>
      </c>
      <c r="E111" s="134"/>
      <c r="F111" s="134"/>
      <c r="G111" s="134"/>
      <c r="H111" s="134"/>
      <c r="I111" s="152"/>
      <c r="J111" s="139"/>
      <c r="K111" s="153"/>
      <c r="L111" s="154"/>
      <c r="M111" s="155"/>
      <c r="N111" s="155"/>
      <c r="O111" s="197">
        <f t="shared" ref="O111:T111" si="173">SUM(O109:O110)</f>
        <v>275112.87</v>
      </c>
      <c r="P111" s="197">
        <f t="shared" si="173"/>
        <v>506479.45799999998</v>
      </c>
      <c r="Q111" s="197">
        <f t="shared" si="173"/>
        <v>743240.41599999997</v>
      </c>
      <c r="R111" s="290">
        <f t="shared" si="173"/>
        <v>9170.4290000000001</v>
      </c>
      <c r="S111" s="291">
        <f t="shared" si="173"/>
        <v>16882.6486</v>
      </c>
      <c r="T111" s="292">
        <f t="shared" si="173"/>
        <v>24774.680533333332</v>
      </c>
      <c r="U111" s="134"/>
      <c r="V111" s="134"/>
      <c r="W111" s="134"/>
      <c r="X111" s="134"/>
      <c r="Y111" s="152"/>
      <c r="Z111" s="139"/>
      <c r="AA111" s="156"/>
      <c r="AB111" s="154"/>
      <c r="AC111" s="152"/>
      <c r="AD111" s="139"/>
      <c r="AE111" s="197">
        <f t="shared" ref="AE111:AJ111" si="174">SUM(AE109:AE110)</f>
        <v>126370.26</v>
      </c>
      <c r="AF111" s="197">
        <f t="shared" si="174"/>
        <v>197537.7</v>
      </c>
      <c r="AG111" s="197">
        <f t="shared" si="174"/>
        <v>224714.1</v>
      </c>
      <c r="AH111" s="290">
        <f t="shared" si="174"/>
        <v>12637.026</v>
      </c>
      <c r="AI111" s="291">
        <f t="shared" si="174"/>
        <v>19753.77</v>
      </c>
      <c r="AJ111" s="292">
        <f t="shared" si="174"/>
        <v>22471.41</v>
      </c>
      <c r="AK111" s="111"/>
      <c r="AL111" s="111"/>
      <c r="AM111" s="111"/>
    </row>
    <row r="112" spans="1:39" x14ac:dyDescent="0.35">
      <c r="A112" s="7" t="s">
        <v>156</v>
      </c>
      <c r="B112" s="7" t="s">
        <v>466</v>
      </c>
      <c r="C112" s="123" t="s">
        <v>155</v>
      </c>
      <c r="D112" s="7" t="s">
        <v>433</v>
      </c>
      <c r="E112" s="106">
        <v>0</v>
      </c>
      <c r="F112" s="106">
        <v>150</v>
      </c>
      <c r="G112" s="106">
        <v>200</v>
      </c>
      <c r="H112" s="199" t="s">
        <v>352</v>
      </c>
      <c r="I112" s="31">
        <v>0.12</v>
      </c>
      <c r="J112" s="31">
        <v>0.13</v>
      </c>
      <c r="K112" s="31">
        <v>0.14000000000000001</v>
      </c>
      <c r="L112" s="31">
        <v>0.35</v>
      </c>
      <c r="M112" s="31">
        <v>0.39</v>
      </c>
      <c r="N112" s="31">
        <v>0.44</v>
      </c>
      <c r="O112" s="195">
        <f t="shared" ref="O112:Q113" si="175">HHProps_SSW*IF($H112="S1",I112,(I112+L112))</f>
        <v>253535.38999999998</v>
      </c>
      <c r="P112" s="195">
        <f t="shared" si="175"/>
        <v>280507.24</v>
      </c>
      <c r="Q112" s="195">
        <f t="shared" si="175"/>
        <v>312873.46000000002</v>
      </c>
      <c r="R112" s="286">
        <f t="shared" ref="R112:T115" si="176">-O112/(IF($H112="S1",($E112-$F112),($E112-$G112)))</f>
        <v>1267.67695</v>
      </c>
      <c r="S112" s="195">
        <f t="shared" si="176"/>
        <v>1402.5362</v>
      </c>
      <c r="T112" s="287">
        <f t="shared" si="176"/>
        <v>1564.3673000000001</v>
      </c>
      <c r="U112" s="106">
        <v>0</v>
      </c>
      <c r="V112" s="106">
        <v>50</v>
      </c>
      <c r="W112" s="106">
        <v>100</v>
      </c>
      <c r="X112" s="103" t="str">
        <f>H112</f>
        <v>S2</v>
      </c>
      <c r="Y112" s="31">
        <v>0.12</v>
      </c>
      <c r="Z112" s="31">
        <v>0.13</v>
      </c>
      <c r="AA112" s="31">
        <v>0.15</v>
      </c>
      <c r="AB112" s="31">
        <v>0.32</v>
      </c>
      <c r="AC112" s="31">
        <v>0.38</v>
      </c>
      <c r="AD112" s="31">
        <v>0.43</v>
      </c>
      <c r="AE112" s="195">
        <f t="shared" ref="AE112:AG113" si="177">HHProps_CAM*IF($H112="S1",Y112,(Y112+AB112))</f>
        <v>59788.08</v>
      </c>
      <c r="AF112" s="195">
        <f t="shared" si="177"/>
        <v>69299.820000000007</v>
      </c>
      <c r="AG112" s="195">
        <f t="shared" si="177"/>
        <v>78811.56</v>
      </c>
      <c r="AH112" s="286">
        <f t="shared" ref="AH112:AJ115" si="178">-AE112/(IF($H112="S1",($U112-$V112),($U112-$W112)))</f>
        <v>597.88080000000002</v>
      </c>
      <c r="AI112" s="195">
        <f t="shared" si="178"/>
        <v>692.99820000000011</v>
      </c>
      <c r="AJ112" s="287">
        <f t="shared" si="178"/>
        <v>788.11559999999997</v>
      </c>
      <c r="AK112" s="111"/>
      <c r="AL112" s="111"/>
      <c r="AM112" s="111"/>
    </row>
    <row r="113" spans="1:39" x14ac:dyDescent="0.35">
      <c r="A113" s="7"/>
      <c r="B113" s="7"/>
      <c r="C113" s="7"/>
      <c r="D113" s="7" t="s">
        <v>435</v>
      </c>
      <c r="E113" s="106">
        <v>0</v>
      </c>
      <c r="F113" s="106">
        <v>150</v>
      </c>
      <c r="G113" s="106">
        <v>200</v>
      </c>
      <c r="H113" s="199" t="s">
        <v>352</v>
      </c>
      <c r="I113" s="31">
        <v>0.14000000000000001</v>
      </c>
      <c r="J113" s="31">
        <v>0.16</v>
      </c>
      <c r="K113" s="31">
        <v>0.18</v>
      </c>
      <c r="L113" s="31">
        <v>0.31</v>
      </c>
      <c r="M113" s="31">
        <v>0.36</v>
      </c>
      <c r="N113" s="31">
        <v>0.4</v>
      </c>
      <c r="O113" s="195">
        <f t="shared" si="175"/>
        <v>242746.65</v>
      </c>
      <c r="P113" s="195">
        <f t="shared" si="175"/>
        <v>280507.24</v>
      </c>
      <c r="Q113" s="195">
        <f t="shared" si="175"/>
        <v>312873.46000000002</v>
      </c>
      <c r="R113" s="286">
        <f t="shared" si="176"/>
        <v>1213.73325</v>
      </c>
      <c r="S113" s="195">
        <f t="shared" si="176"/>
        <v>1402.5362</v>
      </c>
      <c r="T113" s="287">
        <f t="shared" si="176"/>
        <v>1564.3673000000001</v>
      </c>
      <c r="U113" s="106">
        <v>0</v>
      </c>
      <c r="V113" s="106">
        <v>50</v>
      </c>
      <c r="W113" s="106">
        <v>100</v>
      </c>
      <c r="X113" s="103" t="str">
        <f>H113</f>
        <v>S2</v>
      </c>
      <c r="Y113" s="31">
        <v>0.16</v>
      </c>
      <c r="Z113" s="31">
        <v>0.19</v>
      </c>
      <c r="AA113" s="31">
        <v>0.22</v>
      </c>
      <c r="AB113" s="31">
        <v>1.04</v>
      </c>
      <c r="AC113" s="31">
        <v>1.27</v>
      </c>
      <c r="AD113" s="31">
        <v>1.49</v>
      </c>
      <c r="AE113" s="195">
        <f t="shared" si="177"/>
        <v>163058.4</v>
      </c>
      <c r="AF113" s="195">
        <f t="shared" si="177"/>
        <v>198387.72</v>
      </c>
      <c r="AG113" s="195">
        <f t="shared" si="177"/>
        <v>232358.22</v>
      </c>
      <c r="AH113" s="286">
        <f t="shared" si="178"/>
        <v>1630.5839999999998</v>
      </c>
      <c r="AI113" s="195">
        <f t="shared" si="178"/>
        <v>1983.8771999999999</v>
      </c>
      <c r="AJ113" s="287">
        <f t="shared" si="178"/>
        <v>2323.5821999999998</v>
      </c>
      <c r="AK113" s="111"/>
      <c r="AL113" s="111"/>
      <c r="AM113" s="111"/>
    </row>
    <row r="114" spans="1:39" x14ac:dyDescent="0.35">
      <c r="A114" s="7"/>
      <c r="B114" s="7"/>
      <c r="C114" s="7"/>
      <c r="D114" s="7" t="s">
        <v>436</v>
      </c>
      <c r="E114" s="106">
        <v>0</v>
      </c>
      <c r="F114" s="106">
        <v>150</v>
      </c>
      <c r="G114" s="106">
        <v>200</v>
      </c>
      <c r="H114" s="199" t="s">
        <v>352</v>
      </c>
      <c r="I114" s="105">
        <v>7.0000000000000001E-3</v>
      </c>
      <c r="J114" s="105">
        <v>8.0000000000000002E-3</v>
      </c>
      <c r="K114" s="105">
        <v>0.01</v>
      </c>
      <c r="L114" s="105">
        <v>0</v>
      </c>
      <c r="M114" s="105">
        <v>0</v>
      </c>
      <c r="N114" s="105">
        <v>0</v>
      </c>
      <c r="O114" s="195">
        <f t="shared" ref="O114:Q115" si="179">NHHProps_SSW*AvgNHHBill_SSW*IF($H114="S1",I114,(I114+L114))</f>
        <v>928668.38399999996</v>
      </c>
      <c r="P114" s="195">
        <f t="shared" si="179"/>
        <v>1061335.2960000001</v>
      </c>
      <c r="Q114" s="195">
        <f t="shared" si="179"/>
        <v>1326669.1200000001</v>
      </c>
      <c r="R114" s="286">
        <f t="shared" si="176"/>
        <v>4643.3419199999998</v>
      </c>
      <c r="S114" s="195">
        <f t="shared" si="176"/>
        <v>5306.6764800000001</v>
      </c>
      <c r="T114" s="287">
        <f t="shared" si="176"/>
        <v>6633.3456000000006</v>
      </c>
      <c r="U114" s="106">
        <v>0</v>
      </c>
      <c r="V114" s="106">
        <v>50</v>
      </c>
      <c r="W114" s="106">
        <v>100</v>
      </c>
      <c r="X114" s="103" t="str">
        <f>H114</f>
        <v>S2</v>
      </c>
      <c r="Y114" s="105">
        <v>3.0000000000000001E-3</v>
      </c>
      <c r="Z114" s="105">
        <v>2.5000000000000001E-2</v>
      </c>
      <c r="AA114" s="105">
        <v>4.7E-2</v>
      </c>
      <c r="AB114" s="105">
        <v>0</v>
      </c>
      <c r="AC114" s="105">
        <v>9.4000000000000004E-3</v>
      </c>
      <c r="AD114" s="105">
        <v>0.02</v>
      </c>
      <c r="AE114" s="195">
        <f t="shared" ref="AE114:AG115" si="180">NHHProps_CAM*AvgNHHBill_CAM*IF($H114="S1",Y114,(Y114+AB114))</f>
        <v>131973.12</v>
      </c>
      <c r="AF114" s="195">
        <f t="shared" si="180"/>
        <v>1513291.7760000001</v>
      </c>
      <c r="AG114" s="195">
        <f t="shared" si="180"/>
        <v>2947399.6800000002</v>
      </c>
      <c r="AH114" s="286">
        <f t="shared" si="178"/>
        <v>1319.7311999999999</v>
      </c>
      <c r="AI114" s="195">
        <f t="shared" si="178"/>
        <v>15132.91776</v>
      </c>
      <c r="AJ114" s="287">
        <f t="shared" si="178"/>
        <v>29473.996800000001</v>
      </c>
      <c r="AK114" s="111"/>
      <c r="AL114" s="111"/>
      <c r="AM114" s="111"/>
    </row>
    <row r="115" spans="1:39" x14ac:dyDescent="0.35">
      <c r="A115" s="7"/>
      <c r="B115" s="7"/>
      <c r="C115" s="7"/>
      <c r="D115" s="7" t="s">
        <v>437</v>
      </c>
      <c r="E115" s="106">
        <v>0</v>
      </c>
      <c r="F115" s="106">
        <v>150</v>
      </c>
      <c r="G115" s="106">
        <v>200</v>
      </c>
      <c r="H115" s="199" t="s">
        <v>352</v>
      </c>
      <c r="I115" s="105">
        <v>2E-3</v>
      </c>
      <c r="J115" s="105">
        <v>8.0000000000000002E-3</v>
      </c>
      <c r="K115" s="105">
        <v>1.2999999999999999E-2</v>
      </c>
      <c r="L115" s="105">
        <v>0</v>
      </c>
      <c r="M115" s="105">
        <v>0</v>
      </c>
      <c r="N115" s="105">
        <v>0</v>
      </c>
      <c r="O115" s="195">
        <f t="shared" si="179"/>
        <v>265333.82400000002</v>
      </c>
      <c r="P115" s="195">
        <f t="shared" si="179"/>
        <v>1061335.2960000001</v>
      </c>
      <c r="Q115" s="195">
        <f t="shared" si="179"/>
        <v>1724669.8559999999</v>
      </c>
      <c r="R115" s="286">
        <f t="shared" si="176"/>
        <v>1326.66912</v>
      </c>
      <c r="S115" s="195">
        <f t="shared" si="176"/>
        <v>5306.6764800000001</v>
      </c>
      <c r="T115" s="287">
        <f t="shared" si="176"/>
        <v>8623.3492800000004</v>
      </c>
      <c r="U115" s="106">
        <v>0</v>
      </c>
      <c r="V115" s="106">
        <v>50</v>
      </c>
      <c r="W115" s="106">
        <v>100</v>
      </c>
      <c r="X115" s="103" t="str">
        <f>H115</f>
        <v>S2</v>
      </c>
      <c r="Y115" s="105">
        <v>0</v>
      </c>
      <c r="Z115" s="105">
        <v>2.5999999999999999E-2</v>
      </c>
      <c r="AA115" s="105">
        <v>5.0999999999999997E-2</v>
      </c>
      <c r="AB115" s="105">
        <v>0</v>
      </c>
      <c r="AC115" s="105">
        <v>0</v>
      </c>
      <c r="AD115" s="105">
        <v>0</v>
      </c>
      <c r="AE115" s="195">
        <f t="shared" si="180"/>
        <v>0</v>
      </c>
      <c r="AF115" s="195">
        <f t="shared" si="180"/>
        <v>1143767.04</v>
      </c>
      <c r="AG115" s="195">
        <f t="shared" si="180"/>
        <v>2243543.04</v>
      </c>
      <c r="AH115" s="286">
        <f t="shared" si="178"/>
        <v>0</v>
      </c>
      <c r="AI115" s="195">
        <f t="shared" si="178"/>
        <v>11437.670400000001</v>
      </c>
      <c r="AJ115" s="287">
        <f t="shared" si="178"/>
        <v>22435.430400000001</v>
      </c>
      <c r="AK115" s="111"/>
      <c r="AL115" s="111"/>
      <c r="AM115" s="111"/>
    </row>
    <row r="116" spans="1:39" x14ac:dyDescent="0.35">
      <c r="A116" s="7"/>
      <c r="B116" s="7"/>
      <c r="C116" s="7"/>
      <c r="D116" s="7" t="s">
        <v>438</v>
      </c>
      <c r="E116" s="163">
        <f>E113</f>
        <v>0</v>
      </c>
      <c r="F116" s="163">
        <f>F113</f>
        <v>150</v>
      </c>
      <c r="G116" s="163">
        <f>G113</f>
        <v>200</v>
      </c>
      <c r="H116" s="163"/>
      <c r="I116" s="151">
        <f t="shared" ref="I116:W116" si="181">I113</f>
        <v>0.14000000000000001</v>
      </c>
      <c r="J116" s="151">
        <f t="shared" si="181"/>
        <v>0.16</v>
      </c>
      <c r="K116" s="151">
        <f t="shared" si="181"/>
        <v>0.18</v>
      </c>
      <c r="L116" s="151">
        <f t="shared" si="181"/>
        <v>0.31</v>
      </c>
      <c r="M116" s="151">
        <f t="shared" si="181"/>
        <v>0.36</v>
      </c>
      <c r="N116" s="151">
        <f t="shared" si="181"/>
        <v>0.4</v>
      </c>
      <c r="O116" s="197">
        <f t="shared" si="181"/>
        <v>242746.65</v>
      </c>
      <c r="P116" s="197">
        <f t="shared" si="181"/>
        <v>280507.24</v>
      </c>
      <c r="Q116" s="197">
        <f t="shared" si="181"/>
        <v>312873.46000000002</v>
      </c>
      <c r="R116" s="288">
        <f t="shared" si="181"/>
        <v>1213.73325</v>
      </c>
      <c r="S116" s="198">
        <f t="shared" si="181"/>
        <v>1402.5362</v>
      </c>
      <c r="T116" s="289">
        <f t="shared" si="181"/>
        <v>1564.3673000000001</v>
      </c>
      <c r="U116" s="150">
        <f t="shared" si="181"/>
        <v>0</v>
      </c>
      <c r="V116" s="150">
        <f t="shared" si="181"/>
        <v>50</v>
      </c>
      <c r="W116" s="150">
        <f t="shared" si="181"/>
        <v>100</v>
      </c>
      <c r="X116" s="150"/>
      <c r="Y116" s="151">
        <f t="shared" ref="Y116:AJ116" si="182">Y113</f>
        <v>0.16</v>
      </c>
      <c r="Z116" s="151">
        <f t="shared" si="182"/>
        <v>0.19</v>
      </c>
      <c r="AA116" s="151">
        <f t="shared" si="182"/>
        <v>0.22</v>
      </c>
      <c r="AB116" s="151">
        <f t="shared" si="182"/>
        <v>1.04</v>
      </c>
      <c r="AC116" s="151">
        <f t="shared" si="182"/>
        <v>1.27</v>
      </c>
      <c r="AD116" s="151">
        <f t="shared" si="182"/>
        <v>1.49</v>
      </c>
      <c r="AE116" s="197">
        <f t="shared" si="182"/>
        <v>163058.4</v>
      </c>
      <c r="AF116" s="197">
        <f t="shared" si="182"/>
        <v>198387.72</v>
      </c>
      <c r="AG116" s="197">
        <f t="shared" si="182"/>
        <v>232358.22</v>
      </c>
      <c r="AH116" s="288">
        <f t="shared" si="182"/>
        <v>1630.5839999999998</v>
      </c>
      <c r="AI116" s="198">
        <f t="shared" si="182"/>
        <v>1983.8771999999999</v>
      </c>
      <c r="AJ116" s="289">
        <f t="shared" si="182"/>
        <v>2323.5821999999998</v>
      </c>
      <c r="AK116" s="111"/>
      <c r="AL116" s="111"/>
      <c r="AM116" s="111"/>
    </row>
    <row r="117" spans="1:39" x14ac:dyDescent="0.35">
      <c r="A117" s="7"/>
      <c r="B117" s="7"/>
      <c r="C117" s="7"/>
      <c r="D117" s="7" t="s">
        <v>439</v>
      </c>
      <c r="E117" s="163">
        <f>E115</f>
        <v>0</v>
      </c>
      <c r="F117" s="163">
        <f>F115</f>
        <v>150</v>
      </c>
      <c r="G117" s="163">
        <f>G115</f>
        <v>200</v>
      </c>
      <c r="H117" s="163"/>
      <c r="I117" s="150">
        <f t="shared" ref="I117:W117" si="183">I115</f>
        <v>2E-3</v>
      </c>
      <c r="J117" s="150">
        <f t="shared" si="183"/>
        <v>8.0000000000000002E-3</v>
      </c>
      <c r="K117" s="150">
        <f t="shared" si="183"/>
        <v>1.2999999999999999E-2</v>
      </c>
      <c r="L117" s="150">
        <f t="shared" si="183"/>
        <v>0</v>
      </c>
      <c r="M117" s="150">
        <f t="shared" si="183"/>
        <v>0</v>
      </c>
      <c r="N117" s="150">
        <f t="shared" si="183"/>
        <v>0</v>
      </c>
      <c r="O117" s="197">
        <f t="shared" si="183"/>
        <v>265333.82400000002</v>
      </c>
      <c r="P117" s="197">
        <f t="shared" si="183"/>
        <v>1061335.2960000001</v>
      </c>
      <c r="Q117" s="197">
        <f t="shared" si="183"/>
        <v>1724669.8559999999</v>
      </c>
      <c r="R117" s="288">
        <f t="shared" si="183"/>
        <v>1326.66912</v>
      </c>
      <c r="S117" s="198">
        <f t="shared" si="183"/>
        <v>5306.6764800000001</v>
      </c>
      <c r="T117" s="289">
        <f t="shared" si="183"/>
        <v>8623.3492800000004</v>
      </c>
      <c r="U117" s="150">
        <f t="shared" si="183"/>
        <v>0</v>
      </c>
      <c r="V117" s="150">
        <f t="shared" si="183"/>
        <v>50</v>
      </c>
      <c r="W117" s="150">
        <f t="shared" si="183"/>
        <v>100</v>
      </c>
      <c r="X117" s="150"/>
      <c r="Y117" s="150">
        <f t="shared" ref="Y117:AJ117" si="184">Y115</f>
        <v>0</v>
      </c>
      <c r="Z117" s="150">
        <f t="shared" si="184"/>
        <v>2.5999999999999999E-2</v>
      </c>
      <c r="AA117" s="150">
        <f t="shared" si="184"/>
        <v>5.0999999999999997E-2</v>
      </c>
      <c r="AB117" s="150">
        <f t="shared" si="184"/>
        <v>0</v>
      </c>
      <c r="AC117" s="150">
        <f t="shared" si="184"/>
        <v>0</v>
      </c>
      <c r="AD117" s="150">
        <f t="shared" si="184"/>
        <v>0</v>
      </c>
      <c r="AE117" s="197">
        <f t="shared" si="184"/>
        <v>0</v>
      </c>
      <c r="AF117" s="197">
        <f t="shared" si="184"/>
        <v>1143767.04</v>
      </c>
      <c r="AG117" s="197">
        <f t="shared" si="184"/>
        <v>2243543.04</v>
      </c>
      <c r="AH117" s="288">
        <f t="shared" si="184"/>
        <v>0</v>
      </c>
      <c r="AI117" s="198">
        <f t="shared" si="184"/>
        <v>11437.670400000001</v>
      </c>
      <c r="AJ117" s="289">
        <f t="shared" si="184"/>
        <v>22435.430400000001</v>
      </c>
      <c r="AK117" s="111"/>
      <c r="AL117" s="111"/>
      <c r="AM117" s="111"/>
    </row>
    <row r="118" spans="1:39" x14ac:dyDescent="0.35">
      <c r="A118" s="7"/>
      <c r="B118" s="7"/>
      <c r="C118" s="7"/>
      <c r="D118" s="7" t="s">
        <v>440</v>
      </c>
      <c r="E118" s="134"/>
      <c r="F118" s="134"/>
      <c r="G118" s="134"/>
      <c r="H118" s="134"/>
      <c r="I118" s="152"/>
      <c r="J118" s="139"/>
      <c r="K118" s="153"/>
      <c r="L118" s="154"/>
      <c r="M118" s="155"/>
      <c r="N118" s="155"/>
      <c r="O118" s="197">
        <f t="shared" ref="O118:T118" si="185">SUM(O116:O117)</f>
        <v>508080.47400000005</v>
      </c>
      <c r="P118" s="197">
        <f t="shared" si="185"/>
        <v>1341842.5360000001</v>
      </c>
      <c r="Q118" s="197">
        <f t="shared" si="185"/>
        <v>2037543.3159999999</v>
      </c>
      <c r="R118" s="290">
        <f t="shared" si="185"/>
        <v>2540.4023699999998</v>
      </c>
      <c r="S118" s="291">
        <f t="shared" si="185"/>
        <v>6709.2126800000005</v>
      </c>
      <c r="T118" s="292">
        <f t="shared" si="185"/>
        <v>10187.71658</v>
      </c>
      <c r="U118" s="134"/>
      <c r="V118" s="134"/>
      <c r="W118" s="134"/>
      <c r="X118" s="134"/>
      <c r="Y118" s="152"/>
      <c r="Z118" s="139"/>
      <c r="AA118" s="156"/>
      <c r="AB118" s="154"/>
      <c r="AC118" s="152"/>
      <c r="AD118" s="139"/>
      <c r="AE118" s="197">
        <f t="shared" ref="AE118:AJ118" si="186">SUM(AE116:AE117)</f>
        <v>163058.4</v>
      </c>
      <c r="AF118" s="197">
        <f t="shared" si="186"/>
        <v>1342154.76</v>
      </c>
      <c r="AG118" s="197">
        <f t="shared" si="186"/>
        <v>2475901.2600000002</v>
      </c>
      <c r="AH118" s="290">
        <f t="shared" si="186"/>
        <v>1630.5839999999998</v>
      </c>
      <c r="AI118" s="291">
        <f t="shared" si="186"/>
        <v>13421.547600000002</v>
      </c>
      <c r="AJ118" s="292">
        <f t="shared" si="186"/>
        <v>24759.012600000002</v>
      </c>
      <c r="AK118" s="111"/>
      <c r="AL118" s="111"/>
      <c r="AM118" s="111"/>
    </row>
    <row r="119" spans="1:39" x14ac:dyDescent="0.35">
      <c r="A119" s="7" t="s">
        <v>158</v>
      </c>
      <c r="B119" s="7" t="s">
        <v>467</v>
      </c>
      <c r="C119" s="7" t="s">
        <v>468</v>
      </c>
      <c r="D119" s="7" t="s">
        <v>433</v>
      </c>
      <c r="E119" s="106">
        <f>1</f>
        <v>1</v>
      </c>
      <c r="F119" s="106">
        <v>0.5</v>
      </c>
      <c r="G119" s="106">
        <v>0.2</v>
      </c>
      <c r="H119" s="199" t="s">
        <v>352</v>
      </c>
      <c r="I119" s="31">
        <v>7.0000000000000007E-2</v>
      </c>
      <c r="J119" s="31">
        <v>0.08</v>
      </c>
      <c r="K119" s="31">
        <v>0.08</v>
      </c>
      <c r="L119" s="31">
        <v>0.42</v>
      </c>
      <c r="M119" s="31">
        <v>0.47</v>
      </c>
      <c r="N119" s="31">
        <v>0.52</v>
      </c>
      <c r="O119" s="195">
        <f t="shared" ref="O119:Q120" si="187">HHProps_SSW*IF($H119="S1",I119,(I119+L119))</f>
        <v>264324.13</v>
      </c>
      <c r="P119" s="195">
        <f t="shared" si="187"/>
        <v>296690.34999999998</v>
      </c>
      <c r="Q119" s="195">
        <f t="shared" si="187"/>
        <v>323662.2</v>
      </c>
      <c r="R119" s="286"/>
      <c r="S119" s="195"/>
      <c r="T119" s="287"/>
      <c r="U119" s="106">
        <f>1</f>
        <v>1</v>
      </c>
      <c r="V119" s="106">
        <v>0.5</v>
      </c>
      <c r="W119" s="106">
        <v>0.2</v>
      </c>
      <c r="X119" s="103" t="str">
        <f>H119</f>
        <v>S2</v>
      </c>
      <c r="Y119" s="31">
        <v>0.18</v>
      </c>
      <c r="Z119" s="31">
        <v>0.2</v>
      </c>
      <c r="AA119" s="31">
        <v>0.23</v>
      </c>
      <c r="AB119" s="31">
        <v>0.6</v>
      </c>
      <c r="AC119" s="31">
        <v>0.68</v>
      </c>
      <c r="AD119" s="31">
        <v>0.75</v>
      </c>
      <c r="AE119" s="195">
        <f t="shared" ref="AE119:AG120" si="188">HHProps_CAM*IF($H119="S1",Y119,(Y119+AB119))</f>
        <v>105987.96</v>
      </c>
      <c r="AF119" s="195">
        <f t="shared" si="188"/>
        <v>119576.16000000002</v>
      </c>
      <c r="AG119" s="195">
        <f t="shared" si="188"/>
        <v>133164.35999999999</v>
      </c>
      <c r="AH119" s="286"/>
      <c r="AI119" s="195"/>
      <c r="AJ119" s="287"/>
      <c r="AK119" s="111"/>
      <c r="AL119" s="111"/>
      <c r="AM119" s="111"/>
    </row>
    <row r="120" spans="1:39" x14ac:dyDescent="0.35">
      <c r="A120" s="7"/>
      <c r="B120" s="7"/>
      <c r="C120" s="7" t="s">
        <v>469</v>
      </c>
      <c r="D120" s="7" t="s">
        <v>435</v>
      </c>
      <c r="E120" s="107">
        <f>5*365/3</f>
        <v>608.33333333333337</v>
      </c>
      <c r="F120" s="107">
        <f>3*365/3</f>
        <v>365</v>
      </c>
      <c r="G120" s="107">
        <f>2*365/3</f>
        <v>243.33333333333334</v>
      </c>
      <c r="H120" s="199" t="s">
        <v>352</v>
      </c>
      <c r="I120" s="31">
        <v>0.05</v>
      </c>
      <c r="J120" s="31">
        <v>0.06</v>
      </c>
      <c r="K120" s="31">
        <v>7.0000000000000007E-2</v>
      </c>
      <c r="L120" s="31">
        <v>0.41</v>
      </c>
      <c r="M120" s="31">
        <v>0.46</v>
      </c>
      <c r="N120" s="31">
        <v>0.51</v>
      </c>
      <c r="O120" s="195">
        <f t="shared" si="187"/>
        <v>248141.02</v>
      </c>
      <c r="P120" s="195">
        <f t="shared" si="187"/>
        <v>280507.24</v>
      </c>
      <c r="Q120" s="195">
        <f t="shared" si="187"/>
        <v>312873.46000000002</v>
      </c>
      <c r="R120" s="286">
        <f>O120/(IF($H120="S1",($E120-$F120),($E120-$G120)))</f>
        <v>679.83841095890409</v>
      </c>
      <c r="S120" s="195">
        <f>P120/(IF($H120="S1",($E120-$F120),($E120-$G120)))</f>
        <v>768.51298630136989</v>
      </c>
      <c r="T120" s="287">
        <f>Q120/(IF($H120="S1",($E120-$F120),($E120-$G120)))</f>
        <v>857.18756164383569</v>
      </c>
      <c r="U120" s="107">
        <f>3*365/3</f>
        <v>365</v>
      </c>
      <c r="V120" s="107">
        <f>2*365/3</f>
        <v>243.33333333333334</v>
      </c>
      <c r="W120" s="107">
        <f>1*365/3</f>
        <v>121.66666666666667</v>
      </c>
      <c r="X120" s="103" t="str">
        <f>H120</f>
        <v>S2</v>
      </c>
      <c r="Y120" s="31">
        <v>0.19</v>
      </c>
      <c r="Z120" s="31">
        <v>0.21</v>
      </c>
      <c r="AA120" s="31">
        <v>0.23</v>
      </c>
      <c r="AB120" s="31">
        <v>0.44</v>
      </c>
      <c r="AC120" s="31">
        <v>0.51</v>
      </c>
      <c r="AD120" s="31">
        <v>0.56999999999999995</v>
      </c>
      <c r="AE120" s="195">
        <f t="shared" si="188"/>
        <v>85605.66</v>
      </c>
      <c r="AF120" s="195">
        <f t="shared" si="188"/>
        <v>97835.04</v>
      </c>
      <c r="AG120" s="195">
        <f t="shared" si="188"/>
        <v>108705.59999999999</v>
      </c>
      <c r="AH120" s="286">
        <f>AE120/(IF($H120="S1",($U120-$V120),($U120-$W120)))</f>
        <v>351.80408219178088</v>
      </c>
      <c r="AI120" s="195">
        <f>AF120/(IF($H120="S1",($U120-$V120),($U120-$W120)))</f>
        <v>402.06180821917809</v>
      </c>
      <c r="AJ120" s="287">
        <f>AG120/(IF($H120="S1",($U120-$V120),($U120-$W120)))</f>
        <v>446.73534246575343</v>
      </c>
      <c r="AK120" s="111"/>
      <c r="AL120" s="111"/>
      <c r="AM120" s="111"/>
    </row>
    <row r="121" spans="1:39" x14ac:dyDescent="0.35">
      <c r="A121" s="7"/>
      <c r="B121" s="7"/>
      <c r="C121" s="123" t="s">
        <v>470</v>
      </c>
      <c r="D121" s="7" t="s">
        <v>436</v>
      </c>
      <c r="E121" s="106">
        <f>1</f>
        <v>1</v>
      </c>
      <c r="F121" s="106">
        <v>0.5</v>
      </c>
      <c r="G121" s="106">
        <v>0.2</v>
      </c>
      <c r="H121" s="199" t="s">
        <v>352</v>
      </c>
      <c r="I121" s="105">
        <v>0</v>
      </c>
      <c r="J121" s="105">
        <v>0</v>
      </c>
      <c r="K121" s="105">
        <v>1E-3</v>
      </c>
      <c r="L121" s="105">
        <v>4.0000000000000001E-3</v>
      </c>
      <c r="M121" s="105">
        <v>4.0000000000000001E-3</v>
      </c>
      <c r="N121" s="105">
        <v>4.0000000000000001E-3</v>
      </c>
      <c r="O121" s="195">
        <f t="shared" ref="O121:Q122" si="189">NHHProps_SSW*AvgNHHBill_SSW*IF($H121="S1",I121,(I121+L121))</f>
        <v>530667.64800000004</v>
      </c>
      <c r="P121" s="195">
        <f t="shared" si="189"/>
        <v>530667.64800000004</v>
      </c>
      <c r="Q121" s="195">
        <f t="shared" si="189"/>
        <v>663334.56000000006</v>
      </c>
      <c r="R121" s="286"/>
      <c r="S121" s="195"/>
      <c r="T121" s="287"/>
      <c r="U121" s="106">
        <f>1</f>
        <v>1</v>
      </c>
      <c r="V121" s="106">
        <v>0.5</v>
      </c>
      <c r="W121" s="106">
        <v>0.2</v>
      </c>
      <c r="X121" s="103" t="str">
        <f>H121</f>
        <v>S2</v>
      </c>
      <c r="Y121" s="105">
        <v>1E-3</v>
      </c>
      <c r="Z121" s="105">
        <v>1E-3</v>
      </c>
      <c r="AA121" s="105">
        <v>1E-3</v>
      </c>
      <c r="AB121" s="105">
        <v>3.0000000000000001E-3</v>
      </c>
      <c r="AC121" s="105">
        <v>3.0000000000000001E-3</v>
      </c>
      <c r="AD121" s="105">
        <v>4.0000000000000001E-3</v>
      </c>
      <c r="AE121" s="195">
        <f t="shared" ref="AE121:AG122" si="190">NHHProps_CAM*AvgNHHBill_CAM*IF($H121="S1",Y121,(Y121+AB121))</f>
        <v>175964.16</v>
      </c>
      <c r="AF121" s="195">
        <f t="shared" si="190"/>
        <v>175964.16</v>
      </c>
      <c r="AG121" s="195">
        <f t="shared" si="190"/>
        <v>219955.20000000001</v>
      </c>
      <c r="AH121" s="286"/>
      <c r="AI121" s="195"/>
      <c r="AJ121" s="287"/>
      <c r="AK121" s="111"/>
      <c r="AL121" s="111"/>
      <c r="AM121" s="111"/>
    </row>
    <row r="122" spans="1:39" x14ac:dyDescent="0.35">
      <c r="A122" s="7"/>
      <c r="B122" s="7"/>
      <c r="C122" s="7"/>
      <c r="D122" s="7" t="s">
        <v>437</v>
      </c>
      <c r="E122" s="107">
        <f>5*365/3</f>
        <v>608.33333333333337</v>
      </c>
      <c r="F122" s="107">
        <f>3*365/3</f>
        <v>365</v>
      </c>
      <c r="G122" s="107">
        <f>2*365/3</f>
        <v>243.33333333333334</v>
      </c>
      <c r="H122" s="199" t="s">
        <v>352</v>
      </c>
      <c r="I122" s="105">
        <v>1E-3</v>
      </c>
      <c r="J122" s="105">
        <v>1E-3</v>
      </c>
      <c r="K122" s="105">
        <v>1E-3</v>
      </c>
      <c r="L122" s="105">
        <v>1E-3</v>
      </c>
      <c r="M122" s="105">
        <v>1E-3</v>
      </c>
      <c r="N122" s="105">
        <v>2E-3</v>
      </c>
      <c r="O122" s="195">
        <f t="shared" si="189"/>
        <v>265333.82400000002</v>
      </c>
      <c r="P122" s="195">
        <f t="shared" si="189"/>
        <v>265333.82400000002</v>
      </c>
      <c r="Q122" s="195">
        <f t="shared" si="189"/>
        <v>398000.73600000003</v>
      </c>
      <c r="R122" s="286">
        <f>O122/(IF($H122="S1",($E122-$F122),($E122-$G122)))</f>
        <v>726.94198356164395</v>
      </c>
      <c r="S122" s="195">
        <f>P122/(IF($H122="S1",($E122-$F122),($E122-$G122)))</f>
        <v>726.94198356164395</v>
      </c>
      <c r="T122" s="287">
        <f>Q122/(IF($H122="S1",($E122-$F122),($E122-$G122)))</f>
        <v>1090.4129753424659</v>
      </c>
      <c r="U122" s="107">
        <f>3*365/3</f>
        <v>365</v>
      </c>
      <c r="V122" s="107">
        <f>2*365/3</f>
        <v>243.33333333333334</v>
      </c>
      <c r="W122" s="107">
        <f>1*365/3</f>
        <v>121.66666666666667</v>
      </c>
      <c r="X122" s="103" t="str">
        <f>H122</f>
        <v>S2</v>
      </c>
      <c r="Y122" s="105">
        <v>2E-3</v>
      </c>
      <c r="Z122" s="105">
        <v>3.0000000000000001E-3</v>
      </c>
      <c r="AA122" s="105">
        <v>3.0000000000000001E-3</v>
      </c>
      <c r="AB122" s="105">
        <v>4.0000000000000001E-3</v>
      </c>
      <c r="AC122" s="105">
        <v>5.0000000000000001E-3</v>
      </c>
      <c r="AD122" s="105">
        <v>6.0000000000000001E-3</v>
      </c>
      <c r="AE122" s="195">
        <f t="shared" si="190"/>
        <v>263946.23999999999</v>
      </c>
      <c r="AF122" s="195">
        <f t="shared" si="190"/>
        <v>351928.32000000001</v>
      </c>
      <c r="AG122" s="195">
        <f t="shared" si="190"/>
        <v>395919.36000000004</v>
      </c>
      <c r="AH122" s="286">
        <f>AE122/(IF($H122="S1",($U122-$V122),($U122-$W122)))</f>
        <v>1084.7105753424657</v>
      </c>
      <c r="AI122" s="195">
        <f>AF122/(IF($H122="S1",($U122-$V122),($U122-$W122)))</f>
        <v>1446.2807671232879</v>
      </c>
      <c r="AJ122" s="287">
        <f>AG122/(IF($H122="S1",($U122-$V122),($U122-$W122)))</f>
        <v>1627.0658630136988</v>
      </c>
      <c r="AK122" s="111"/>
      <c r="AL122" s="111"/>
      <c r="AM122" s="111"/>
    </row>
    <row r="123" spans="1:39" x14ac:dyDescent="0.35">
      <c r="A123" s="7"/>
      <c r="B123" s="7"/>
      <c r="C123" s="7"/>
      <c r="D123" s="7" t="s">
        <v>438</v>
      </c>
      <c r="E123" s="161">
        <f>E120</f>
        <v>608.33333333333337</v>
      </c>
      <c r="F123" s="161">
        <f>F120</f>
        <v>365</v>
      </c>
      <c r="G123" s="161">
        <f>G120</f>
        <v>243.33333333333334</v>
      </c>
      <c r="H123" s="161"/>
      <c r="I123" s="151">
        <f t="shared" ref="I123:W123" si="191">I120</f>
        <v>0.05</v>
      </c>
      <c r="J123" s="151">
        <f t="shared" si="191"/>
        <v>0.06</v>
      </c>
      <c r="K123" s="151">
        <f t="shared" si="191"/>
        <v>7.0000000000000007E-2</v>
      </c>
      <c r="L123" s="151">
        <f t="shared" si="191"/>
        <v>0.41</v>
      </c>
      <c r="M123" s="151">
        <f t="shared" si="191"/>
        <v>0.46</v>
      </c>
      <c r="N123" s="151">
        <f t="shared" si="191"/>
        <v>0.51</v>
      </c>
      <c r="O123" s="197">
        <f t="shared" si="191"/>
        <v>248141.02</v>
      </c>
      <c r="P123" s="197">
        <f t="shared" si="191"/>
        <v>280507.24</v>
      </c>
      <c r="Q123" s="197">
        <f t="shared" si="191"/>
        <v>312873.46000000002</v>
      </c>
      <c r="R123" s="288">
        <f t="shared" si="191"/>
        <v>679.83841095890409</v>
      </c>
      <c r="S123" s="198">
        <f t="shared" si="191"/>
        <v>768.51298630136989</v>
      </c>
      <c r="T123" s="289">
        <f t="shared" si="191"/>
        <v>857.18756164383569</v>
      </c>
      <c r="U123" s="150">
        <f t="shared" si="191"/>
        <v>365</v>
      </c>
      <c r="V123" s="150">
        <f t="shared" si="191"/>
        <v>243.33333333333334</v>
      </c>
      <c r="W123" s="150">
        <f t="shared" si="191"/>
        <v>121.66666666666667</v>
      </c>
      <c r="X123" s="150"/>
      <c r="Y123" s="151">
        <f t="shared" ref="Y123:AJ123" si="192">Y120</f>
        <v>0.19</v>
      </c>
      <c r="Z123" s="151">
        <f t="shared" si="192"/>
        <v>0.21</v>
      </c>
      <c r="AA123" s="151">
        <f t="shared" si="192"/>
        <v>0.23</v>
      </c>
      <c r="AB123" s="151">
        <f t="shared" si="192"/>
        <v>0.44</v>
      </c>
      <c r="AC123" s="151">
        <f t="shared" si="192"/>
        <v>0.51</v>
      </c>
      <c r="AD123" s="151">
        <f t="shared" si="192"/>
        <v>0.56999999999999995</v>
      </c>
      <c r="AE123" s="197">
        <f t="shared" si="192"/>
        <v>85605.66</v>
      </c>
      <c r="AF123" s="197">
        <f t="shared" si="192"/>
        <v>97835.04</v>
      </c>
      <c r="AG123" s="197">
        <f t="shared" si="192"/>
        <v>108705.59999999999</v>
      </c>
      <c r="AH123" s="288">
        <f t="shared" si="192"/>
        <v>351.80408219178088</v>
      </c>
      <c r="AI123" s="198">
        <f t="shared" si="192"/>
        <v>402.06180821917809</v>
      </c>
      <c r="AJ123" s="289">
        <f t="shared" si="192"/>
        <v>446.73534246575343</v>
      </c>
      <c r="AK123" s="111"/>
      <c r="AL123" s="111"/>
      <c r="AM123" s="111"/>
    </row>
    <row r="124" spans="1:39" x14ac:dyDescent="0.35">
      <c r="A124" s="7"/>
      <c r="B124" s="7"/>
      <c r="C124" s="7"/>
      <c r="D124" s="7" t="s">
        <v>439</v>
      </c>
      <c r="E124" s="161">
        <f>E122</f>
        <v>608.33333333333337</v>
      </c>
      <c r="F124" s="161">
        <f>F122</f>
        <v>365</v>
      </c>
      <c r="G124" s="161">
        <f>G122</f>
        <v>243.33333333333334</v>
      </c>
      <c r="H124" s="161"/>
      <c r="I124" s="150">
        <f t="shared" ref="I124:W124" si="193">I122</f>
        <v>1E-3</v>
      </c>
      <c r="J124" s="150">
        <f t="shared" si="193"/>
        <v>1E-3</v>
      </c>
      <c r="K124" s="150">
        <f t="shared" si="193"/>
        <v>1E-3</v>
      </c>
      <c r="L124" s="150">
        <f t="shared" si="193"/>
        <v>1E-3</v>
      </c>
      <c r="M124" s="150">
        <f t="shared" si="193"/>
        <v>1E-3</v>
      </c>
      <c r="N124" s="150">
        <f t="shared" si="193"/>
        <v>2E-3</v>
      </c>
      <c r="O124" s="197">
        <f t="shared" si="193"/>
        <v>265333.82400000002</v>
      </c>
      <c r="P124" s="197">
        <f t="shared" si="193"/>
        <v>265333.82400000002</v>
      </c>
      <c r="Q124" s="197">
        <f t="shared" si="193"/>
        <v>398000.73600000003</v>
      </c>
      <c r="R124" s="288">
        <f t="shared" si="193"/>
        <v>726.94198356164395</v>
      </c>
      <c r="S124" s="198">
        <f t="shared" si="193"/>
        <v>726.94198356164395</v>
      </c>
      <c r="T124" s="289">
        <f t="shared" si="193"/>
        <v>1090.4129753424659</v>
      </c>
      <c r="U124" s="150">
        <f t="shared" si="193"/>
        <v>365</v>
      </c>
      <c r="V124" s="150">
        <f t="shared" si="193"/>
        <v>243.33333333333334</v>
      </c>
      <c r="W124" s="150">
        <f t="shared" si="193"/>
        <v>121.66666666666667</v>
      </c>
      <c r="X124" s="150"/>
      <c r="Y124" s="150">
        <f t="shared" ref="Y124:AJ124" si="194">Y122</f>
        <v>2E-3</v>
      </c>
      <c r="Z124" s="150">
        <f t="shared" si="194"/>
        <v>3.0000000000000001E-3</v>
      </c>
      <c r="AA124" s="150">
        <f t="shared" si="194"/>
        <v>3.0000000000000001E-3</v>
      </c>
      <c r="AB124" s="150">
        <f t="shared" si="194"/>
        <v>4.0000000000000001E-3</v>
      </c>
      <c r="AC124" s="150">
        <f t="shared" si="194"/>
        <v>5.0000000000000001E-3</v>
      </c>
      <c r="AD124" s="150">
        <f t="shared" si="194"/>
        <v>6.0000000000000001E-3</v>
      </c>
      <c r="AE124" s="197">
        <f t="shared" si="194"/>
        <v>263946.23999999999</v>
      </c>
      <c r="AF124" s="197">
        <f t="shared" si="194"/>
        <v>351928.32000000001</v>
      </c>
      <c r="AG124" s="197">
        <f t="shared" si="194"/>
        <v>395919.36000000004</v>
      </c>
      <c r="AH124" s="288">
        <f t="shared" si="194"/>
        <v>1084.7105753424657</v>
      </c>
      <c r="AI124" s="198">
        <f t="shared" si="194"/>
        <v>1446.2807671232879</v>
      </c>
      <c r="AJ124" s="289">
        <f t="shared" si="194"/>
        <v>1627.0658630136988</v>
      </c>
      <c r="AK124" s="111"/>
      <c r="AL124" s="111"/>
      <c r="AM124" s="111"/>
    </row>
    <row r="125" spans="1:39" x14ac:dyDescent="0.35">
      <c r="A125" s="7"/>
      <c r="B125" s="7"/>
      <c r="C125" s="7"/>
      <c r="D125" s="7" t="s">
        <v>440</v>
      </c>
      <c r="E125" s="134"/>
      <c r="F125" s="134"/>
      <c r="G125" s="134"/>
      <c r="H125" s="134"/>
      <c r="I125" s="152"/>
      <c r="J125" s="139"/>
      <c r="K125" s="153"/>
      <c r="L125" s="154"/>
      <c r="M125" s="155"/>
      <c r="N125" s="155"/>
      <c r="O125" s="197">
        <f t="shared" ref="O125:T125" si="195">SUM(O123:O124)</f>
        <v>513474.84400000004</v>
      </c>
      <c r="P125" s="197">
        <f t="shared" si="195"/>
        <v>545841.06400000001</v>
      </c>
      <c r="Q125" s="197">
        <f t="shared" si="195"/>
        <v>710874.196</v>
      </c>
      <c r="R125" s="290">
        <f t="shared" si="195"/>
        <v>1406.780394520548</v>
      </c>
      <c r="S125" s="291">
        <f t="shared" si="195"/>
        <v>1495.454969863014</v>
      </c>
      <c r="T125" s="292">
        <f t="shared" si="195"/>
        <v>1947.6005369863014</v>
      </c>
      <c r="U125" s="134"/>
      <c r="V125" s="134"/>
      <c r="W125" s="134"/>
      <c r="X125" s="134"/>
      <c r="Y125" s="152"/>
      <c r="Z125" s="139"/>
      <c r="AA125" s="156"/>
      <c r="AB125" s="154"/>
      <c r="AC125" s="152"/>
      <c r="AD125" s="139"/>
      <c r="AE125" s="197">
        <f t="shared" ref="AE125:AJ125" si="196">SUM(AE123:AE124)</f>
        <v>349551.9</v>
      </c>
      <c r="AF125" s="197">
        <f t="shared" si="196"/>
        <v>449763.36</v>
      </c>
      <c r="AG125" s="197">
        <f t="shared" si="196"/>
        <v>504624.96</v>
      </c>
      <c r="AH125" s="290">
        <f t="shared" si="196"/>
        <v>1436.5146575342467</v>
      </c>
      <c r="AI125" s="291">
        <f t="shared" si="196"/>
        <v>1848.342575342466</v>
      </c>
      <c r="AJ125" s="292">
        <f t="shared" si="196"/>
        <v>2073.8012054794522</v>
      </c>
      <c r="AK125" s="111"/>
      <c r="AL125" s="111"/>
      <c r="AM125" s="111"/>
    </row>
    <row r="126" spans="1:39" x14ac:dyDescent="0.35">
      <c r="U126" s="111"/>
      <c r="V126" s="111"/>
      <c r="W126" s="111"/>
      <c r="X126" s="111"/>
      <c r="Y126" s="111"/>
      <c r="Z126" s="111"/>
      <c r="AA126" s="111"/>
      <c r="AB126" s="111"/>
      <c r="AC126" s="111"/>
      <c r="AD126" s="111"/>
      <c r="AK126" s="111"/>
      <c r="AL126" s="111"/>
      <c r="AM126" s="111"/>
    </row>
    <row r="127" spans="1:39" x14ac:dyDescent="0.35">
      <c r="A127" s="7"/>
      <c r="B127" s="7"/>
      <c r="C127" s="7"/>
      <c r="D127" s="7"/>
      <c r="E127" s="7"/>
      <c r="F127" s="7"/>
      <c r="G127" s="7"/>
      <c r="H127" s="7"/>
      <c r="I127" s="109"/>
      <c r="J127" s="7"/>
      <c r="K127" s="110"/>
      <c r="L127" s="7"/>
      <c r="M127" s="7"/>
      <c r="N127" s="7"/>
      <c r="O127" s="7"/>
      <c r="P127" s="7"/>
      <c r="Q127" s="7"/>
      <c r="R127" s="7"/>
      <c r="S127" s="7"/>
      <c r="T127" s="7"/>
      <c r="U127" s="111"/>
      <c r="V127" s="111"/>
      <c r="W127" s="111"/>
      <c r="X127" s="111"/>
      <c r="Y127" s="111"/>
      <c r="Z127" s="111"/>
      <c r="AA127" s="111"/>
      <c r="AB127" s="111"/>
      <c r="AC127" s="111"/>
      <c r="AD127" s="111"/>
      <c r="AE127" s="7"/>
      <c r="AF127" s="7"/>
      <c r="AG127" s="7"/>
      <c r="AH127" s="7"/>
      <c r="AI127" s="7"/>
      <c r="AJ127" s="7"/>
      <c r="AK127" s="111"/>
      <c r="AL127" s="111"/>
      <c r="AM127" s="111"/>
    </row>
    <row r="128" spans="1:39" x14ac:dyDescent="0.35"/>
    <row r="129" spans="21:30" x14ac:dyDescent="0.35"/>
    <row r="130" spans="21:30" x14ac:dyDescent="0.35"/>
    <row r="131" spans="21:30" x14ac:dyDescent="0.35"/>
    <row r="132" spans="21:30" x14ac:dyDescent="0.35"/>
    <row r="133" spans="21:30" x14ac:dyDescent="0.35"/>
    <row r="134" spans="21:30" x14ac:dyDescent="0.35"/>
    <row r="135" spans="21:30" x14ac:dyDescent="0.35"/>
    <row r="136" spans="21:30" x14ac:dyDescent="0.35"/>
    <row r="137" spans="21:30" hidden="1" x14ac:dyDescent="0.35">
      <c r="U137" s="111"/>
      <c r="V137" s="111"/>
      <c r="W137" s="111"/>
      <c r="X137" s="111"/>
      <c r="Y137" s="111"/>
      <c r="Z137" s="111"/>
      <c r="AA137" s="111"/>
      <c r="AB137" s="111"/>
      <c r="AC137" s="111"/>
      <c r="AD137" s="111"/>
    </row>
    <row r="138" spans="21:30" hidden="1" x14ac:dyDescent="0.35">
      <c r="U138" s="111"/>
      <c r="V138" s="111"/>
      <c r="W138" s="111"/>
      <c r="X138" s="111"/>
      <c r="Y138" s="111"/>
      <c r="Z138" s="111"/>
      <c r="AA138" s="111"/>
      <c r="AB138" s="111"/>
      <c r="AC138" s="111"/>
      <c r="AD138" s="111"/>
    </row>
    <row r="139" spans="21:30" hidden="1" x14ac:dyDescent="0.35">
      <c r="U139" s="111"/>
      <c r="V139" s="111"/>
      <c r="W139" s="111"/>
      <c r="X139" s="111"/>
      <c r="Y139" s="111"/>
      <c r="Z139" s="111"/>
      <c r="AA139" s="111"/>
      <c r="AB139" s="111"/>
      <c r="AC139" s="111"/>
      <c r="AD139" s="111"/>
    </row>
    <row r="140" spans="21:30" hidden="1" x14ac:dyDescent="0.35">
      <c r="U140" s="111"/>
      <c r="V140" s="111"/>
      <c r="W140" s="111"/>
      <c r="X140" s="111"/>
      <c r="Y140" s="111"/>
      <c r="Z140" s="111"/>
      <c r="AA140" s="111"/>
      <c r="AB140" s="111"/>
      <c r="AC140" s="111"/>
      <c r="AD140" s="111"/>
    </row>
    <row r="141" spans="21:30" hidden="1" x14ac:dyDescent="0.35">
      <c r="U141" s="50"/>
      <c r="V141" s="50"/>
      <c r="W141" s="50"/>
      <c r="X141" s="50"/>
      <c r="Y141" s="50"/>
      <c r="Z141" s="50"/>
      <c r="AA141" s="50"/>
      <c r="AB141" s="50"/>
      <c r="AC141" s="50"/>
      <c r="AD141" s="50"/>
    </row>
    <row r="379" x14ac:dyDescent="0.35"/>
    <row r="380" x14ac:dyDescent="0.35"/>
    <row r="381" x14ac:dyDescent="0.35"/>
    <row r="382" x14ac:dyDescent="0.35"/>
    <row r="383" x14ac:dyDescent="0.35"/>
    <row r="384" x14ac:dyDescent="0.35"/>
    <row r="385" x14ac:dyDescent="0.35"/>
    <row r="386" x14ac:dyDescent="0.35"/>
    <row r="387" x14ac:dyDescent="0.35"/>
    <row r="388" x14ac:dyDescent="0.35"/>
    <row r="389" x14ac:dyDescent="0.35"/>
    <row r="390" x14ac:dyDescent="0.35"/>
    <row r="391" x14ac:dyDescent="0.35"/>
    <row r="392" x14ac:dyDescent="0.35"/>
    <row r="393" x14ac:dyDescent="0.35"/>
  </sheetData>
  <pageMargins left="0.7" right="0.7" top="0.75" bottom="0.75" header="0.3" footer="0.3"/>
  <pageSetup paperSize="9" orientation="portrait" r:id="rId1"/>
  <ignoredErrors>
    <ignoredError sqref="E22 E43" formula="1"/>
  </ignoredError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sheetPr>
  <dimension ref="A1:AM412"/>
  <sheetViews>
    <sheetView zoomScale="70" zoomScaleNormal="70" workbookViewId="0">
      <pane xSplit="4" ySplit="6" topLeftCell="E7" activePane="bottomRight" state="frozen"/>
      <selection pane="topRight" activeCell="E1" sqref="E1"/>
      <selection pane="bottomLeft" activeCell="A7" sqref="A7"/>
      <selection pane="bottomRight" activeCell="C10" sqref="C10"/>
    </sheetView>
  </sheetViews>
  <sheetFormatPr defaultRowHeight="14.5" zeroHeight="1" x14ac:dyDescent="0.35"/>
  <cols>
    <col min="1" max="1" width="27.7265625" style="133" customWidth="1"/>
    <col min="2" max="2" width="44" style="133" customWidth="1"/>
    <col min="3" max="3" width="22.453125" style="133" customWidth="1"/>
    <col min="4" max="4" width="19.453125" style="133" customWidth="1"/>
    <col min="5" max="19" width="14.1796875" style="133" customWidth="1"/>
    <col min="20" max="28" width="14.1796875" style="7" customWidth="1"/>
    <col min="29" max="34" width="14.1796875" style="133" customWidth="1"/>
  </cols>
  <sheetData>
    <row r="1" spans="1:34" ht="28.5" x14ac:dyDescent="0.65">
      <c r="A1" s="76" t="s">
        <v>471</v>
      </c>
      <c r="B1" s="77"/>
      <c r="C1" s="77"/>
      <c r="D1" s="77"/>
      <c r="E1" s="77"/>
      <c r="F1" s="77"/>
      <c r="G1" s="77"/>
      <c r="H1" s="76"/>
      <c r="I1" s="76"/>
      <c r="J1" s="76"/>
      <c r="K1" s="76"/>
      <c r="L1" s="76"/>
      <c r="M1" s="76"/>
      <c r="N1" s="76"/>
      <c r="O1" s="76"/>
      <c r="P1" s="76"/>
      <c r="Q1" s="76"/>
      <c r="R1" s="76"/>
      <c r="S1" s="76"/>
      <c r="T1" s="77"/>
      <c r="U1" s="77"/>
      <c r="V1" s="77"/>
      <c r="W1" s="77"/>
      <c r="X1" s="76"/>
      <c r="Y1" s="76"/>
      <c r="Z1" s="76"/>
      <c r="AA1" s="76"/>
      <c r="AB1" s="76"/>
      <c r="AC1" s="76"/>
      <c r="AD1" s="76"/>
      <c r="AE1" s="76"/>
      <c r="AF1" s="76"/>
      <c r="AG1" s="76"/>
      <c r="AH1" s="76"/>
    </row>
    <row r="2" spans="1:34" ht="21.5" thickBot="1" x14ac:dyDescent="0.55000000000000004">
      <c r="A2" s="85"/>
      <c r="B2" s="85"/>
      <c r="C2" s="85"/>
      <c r="D2" s="85"/>
      <c r="E2" s="126" t="s">
        <v>409</v>
      </c>
      <c r="F2" s="126"/>
      <c r="G2" s="126"/>
      <c r="H2" s="126"/>
      <c r="I2" s="126"/>
      <c r="J2" s="126"/>
      <c r="K2" s="126"/>
      <c r="L2" s="126"/>
      <c r="M2" s="126"/>
      <c r="N2" s="126"/>
      <c r="O2" s="126"/>
      <c r="P2" s="126"/>
      <c r="Q2" s="126"/>
      <c r="R2" s="126"/>
      <c r="S2" s="126"/>
      <c r="T2" s="233" t="s">
        <v>47</v>
      </c>
      <c r="U2" s="125"/>
      <c r="V2" s="125"/>
      <c r="W2" s="125"/>
      <c r="X2" s="125"/>
      <c r="Y2" s="125"/>
      <c r="Z2" s="125"/>
      <c r="AA2" s="125"/>
      <c r="AB2" s="125"/>
      <c r="AC2" s="125"/>
      <c r="AD2" s="125"/>
      <c r="AE2" s="125"/>
      <c r="AF2" s="125"/>
      <c r="AG2" s="125"/>
      <c r="AH2" s="125"/>
    </row>
    <row r="3" spans="1:34" ht="19.5" x14ac:dyDescent="0.45">
      <c r="A3" s="85"/>
      <c r="B3" s="85"/>
      <c r="C3" s="85"/>
      <c r="D3" s="85"/>
      <c r="E3" s="85"/>
      <c r="F3" s="85"/>
      <c r="G3" s="85"/>
      <c r="H3" s="85"/>
      <c r="I3" s="85"/>
      <c r="J3" s="85"/>
      <c r="K3" s="85"/>
      <c r="L3" s="85"/>
      <c r="M3" s="85"/>
      <c r="N3" s="85"/>
      <c r="O3" s="85"/>
      <c r="P3" s="85"/>
      <c r="Q3" s="277"/>
      <c r="R3" s="278"/>
      <c r="S3" s="279"/>
      <c r="T3" s="85"/>
      <c r="U3" s="85"/>
      <c r="V3" s="85"/>
      <c r="W3" s="85"/>
      <c r="X3" s="85"/>
      <c r="Y3" s="85"/>
      <c r="Z3" s="85"/>
      <c r="AA3" s="85"/>
      <c r="AB3" s="85"/>
      <c r="AC3" s="85"/>
      <c r="AD3" s="85"/>
      <c r="AE3" s="85"/>
      <c r="AF3" s="277"/>
      <c r="AG3" s="278"/>
      <c r="AH3" s="279"/>
    </row>
    <row r="4" spans="1:34" x14ac:dyDescent="0.35">
      <c r="A4" s="52"/>
      <c r="B4" s="52"/>
      <c r="C4" s="52"/>
      <c r="D4" s="52"/>
      <c r="E4" s="52" t="s">
        <v>410</v>
      </c>
      <c r="F4" s="52"/>
      <c r="G4" s="52"/>
      <c r="H4" s="52" t="s">
        <v>412</v>
      </c>
      <c r="I4" s="52"/>
      <c r="J4" s="52"/>
      <c r="K4" s="52"/>
      <c r="L4" s="52"/>
      <c r="M4" s="52"/>
      <c r="N4" s="196" t="s">
        <v>415</v>
      </c>
      <c r="O4" s="98"/>
      <c r="P4" s="196"/>
      <c r="Q4" s="280" t="s">
        <v>414</v>
      </c>
      <c r="R4" s="196"/>
      <c r="S4" s="281"/>
      <c r="T4" s="52" t="s">
        <v>410</v>
      </c>
      <c r="U4" s="52"/>
      <c r="V4" s="52"/>
      <c r="W4" s="52" t="s">
        <v>412</v>
      </c>
      <c r="X4" s="52"/>
      <c r="Y4" s="52"/>
      <c r="Z4" s="52"/>
      <c r="AA4" s="52"/>
      <c r="AB4" s="52"/>
      <c r="AC4" s="196" t="s">
        <v>415</v>
      </c>
      <c r="AD4" s="98"/>
      <c r="AE4" s="196"/>
      <c r="AF4" s="280" t="s">
        <v>414</v>
      </c>
      <c r="AG4" s="196"/>
      <c r="AH4" s="281"/>
    </row>
    <row r="5" spans="1:34" x14ac:dyDescent="0.35">
      <c r="A5" s="52" t="s">
        <v>203</v>
      </c>
      <c r="B5" s="52" t="s">
        <v>416</v>
      </c>
      <c r="C5" s="52" t="s">
        <v>417</v>
      </c>
      <c r="D5" s="52" t="s">
        <v>418</v>
      </c>
      <c r="E5" s="82" t="s">
        <v>472</v>
      </c>
      <c r="F5" s="134"/>
      <c r="G5" s="134"/>
      <c r="H5" s="82"/>
      <c r="I5" s="134"/>
      <c r="J5" s="134"/>
      <c r="K5" s="134"/>
      <c r="L5" s="134"/>
      <c r="M5" s="134"/>
      <c r="N5" s="54"/>
      <c r="O5" s="134"/>
      <c r="P5" s="54"/>
      <c r="Q5" s="282"/>
      <c r="R5" s="54"/>
      <c r="S5" s="283"/>
      <c r="T5" s="82"/>
      <c r="U5" s="134"/>
      <c r="V5" s="134"/>
      <c r="W5" s="82"/>
      <c r="X5" s="134"/>
      <c r="Y5" s="134"/>
      <c r="Z5" s="134"/>
      <c r="AA5" s="134"/>
      <c r="AB5" s="134"/>
      <c r="AC5" s="54"/>
      <c r="AD5" s="134"/>
      <c r="AE5" s="54"/>
      <c r="AF5" s="282"/>
      <c r="AG5" s="54"/>
      <c r="AH5" s="283"/>
    </row>
    <row r="6" spans="1:34" x14ac:dyDescent="0.35">
      <c r="A6" s="134"/>
      <c r="B6" s="82" t="s">
        <v>473</v>
      </c>
      <c r="C6" s="134"/>
      <c r="D6" s="134"/>
      <c r="E6" s="86" t="s">
        <v>350</v>
      </c>
      <c r="F6" s="128" t="s">
        <v>351</v>
      </c>
      <c r="G6" s="129" t="s">
        <v>352</v>
      </c>
      <c r="H6" s="86" t="s">
        <v>422</v>
      </c>
      <c r="I6" s="86" t="s">
        <v>423</v>
      </c>
      <c r="J6" s="86" t="s">
        <v>424</v>
      </c>
      <c r="K6" s="86" t="s">
        <v>425</v>
      </c>
      <c r="L6" s="86" t="s">
        <v>426</v>
      </c>
      <c r="M6" s="86" t="s">
        <v>427</v>
      </c>
      <c r="N6" s="86" t="s">
        <v>428</v>
      </c>
      <c r="O6" s="86" t="s">
        <v>429</v>
      </c>
      <c r="P6" s="86" t="s">
        <v>430</v>
      </c>
      <c r="Q6" s="284" t="s">
        <v>428</v>
      </c>
      <c r="R6" s="86" t="s">
        <v>429</v>
      </c>
      <c r="S6" s="285" t="s">
        <v>430</v>
      </c>
      <c r="T6" s="86" t="s">
        <v>350</v>
      </c>
      <c r="U6" s="128" t="s">
        <v>351</v>
      </c>
      <c r="V6" s="129" t="s">
        <v>352</v>
      </c>
      <c r="W6" s="86" t="s">
        <v>422</v>
      </c>
      <c r="X6" s="86" t="s">
        <v>423</v>
      </c>
      <c r="Y6" s="86" t="s">
        <v>424</v>
      </c>
      <c r="Z6" s="86" t="s">
        <v>425</v>
      </c>
      <c r="AA6" s="86" t="s">
        <v>426</v>
      </c>
      <c r="AB6" s="86" t="s">
        <v>427</v>
      </c>
      <c r="AC6" s="86" t="s">
        <v>428</v>
      </c>
      <c r="AD6" s="86" t="s">
        <v>429</v>
      </c>
      <c r="AE6" s="86" t="s">
        <v>430</v>
      </c>
      <c r="AF6" s="284" t="s">
        <v>428</v>
      </c>
      <c r="AG6" s="86" t="s">
        <v>429</v>
      </c>
      <c r="AH6" s="285" t="s">
        <v>430</v>
      </c>
    </row>
    <row r="7" spans="1:34" x14ac:dyDescent="0.35">
      <c r="A7" s="7" t="s">
        <v>125</v>
      </c>
      <c r="B7" s="7" t="s">
        <v>474</v>
      </c>
      <c r="C7" s="7" t="s">
        <v>432</v>
      </c>
      <c r="D7" s="7" t="s">
        <v>475</v>
      </c>
      <c r="E7" s="533">
        <f>1/80</f>
        <v>1.2500000000000001E-2</v>
      </c>
      <c r="F7" s="533">
        <f>1/100</f>
        <v>0.01</v>
      </c>
      <c r="G7" s="533">
        <f>1/120</f>
        <v>8.3333333333333332E-3</v>
      </c>
      <c r="H7" s="566">
        <v>0.7973647526847536</v>
      </c>
      <c r="I7" s="566">
        <v>0.88929876177631462</v>
      </c>
      <c r="J7" s="566">
        <v>0.98123277086787564</v>
      </c>
      <c r="K7" s="566">
        <v>0.20121309901600892</v>
      </c>
      <c r="L7" s="566">
        <v>0.22437782965097952</v>
      </c>
      <c r="M7" s="566">
        <v>0.24754256028595023</v>
      </c>
      <c r="N7" s="195">
        <f>HHProps_SSW*(H7+K7)</f>
        <v>538669.84058790421</v>
      </c>
      <c r="O7" s="195">
        <f>HHProps_SSW*(I7+L7)</f>
        <v>600758.3594497653</v>
      </c>
      <c r="P7" s="195">
        <f>HHProps_SSW*(J7+M7)</f>
        <v>662846.87831162638</v>
      </c>
      <c r="Q7" s="286">
        <f t="shared" ref="Q7:S8" si="0">N7/(($E7-$G7)*AllProps_SSW)</f>
        <v>227.0373828706098</v>
      </c>
      <c r="R7" s="195">
        <f t="shared" si="0"/>
        <v>253.20631561301954</v>
      </c>
      <c r="S7" s="287">
        <f t="shared" si="0"/>
        <v>279.37524835542928</v>
      </c>
      <c r="T7" s="496">
        <f>1/80</f>
        <v>1.2500000000000001E-2</v>
      </c>
      <c r="U7" s="497">
        <f>1/100</f>
        <v>0.01</v>
      </c>
      <c r="V7" s="497">
        <f>1/120</f>
        <v>8.3333333333333332E-3</v>
      </c>
      <c r="W7" s="566">
        <v>0.91009474174902627</v>
      </c>
      <c r="X7" s="566">
        <v>1.0483009561625427</v>
      </c>
      <c r="Y7" s="566">
        <v>1.1865071705760593</v>
      </c>
      <c r="Z7" s="566">
        <v>1.2246300473433234</v>
      </c>
      <c r="AA7" s="566">
        <v>1.4106837870846367</v>
      </c>
      <c r="AB7" s="566">
        <v>1.59673752682595</v>
      </c>
      <c r="AC7" s="195">
        <f>HHProps_CAM*(W7+Z7)</f>
        <v>290070.67379144666</v>
      </c>
      <c r="AD7" s="195">
        <f>HHProps_CAM*(X7+AA7)</f>
        <v>334131.76488191326</v>
      </c>
      <c r="AE7" s="195">
        <f>HHProps_CAM*(Y7+AB7)</f>
        <v>378192.85597237985</v>
      </c>
      <c r="AF7" s="286">
        <f t="shared" ref="AF7:AF18" si="1">AC7/(($T7-$V7)*AllProps_CAM)</f>
        <v>481.86498407981492</v>
      </c>
      <c r="AG7" s="195">
        <f t="shared" ref="AG7:AG18" si="2">AD7/(($T7-$V7)*AllProps_CAM)</f>
        <v>555.0592049203259</v>
      </c>
      <c r="AH7" s="287">
        <f t="shared" ref="AH7:AH18" si="3">AE7/(($T7-$V7)*AllProps_CAM)</f>
        <v>628.25342576083688</v>
      </c>
    </row>
    <row r="8" spans="1:34" x14ac:dyDescent="0.35">
      <c r="A8" s="7"/>
      <c r="B8" s="482" t="s">
        <v>476</v>
      </c>
      <c r="C8" s="7"/>
      <c r="D8" s="7" t="s">
        <v>477</v>
      </c>
      <c r="E8" s="533">
        <f>1/80</f>
        <v>1.2500000000000001E-2</v>
      </c>
      <c r="F8" s="533">
        <f>1/100</f>
        <v>0.01</v>
      </c>
      <c r="G8" s="533">
        <f>1/120</f>
        <v>8.3333333333333332E-3</v>
      </c>
      <c r="H8" s="567">
        <v>1.3311764704168196E-4</v>
      </c>
      <c r="I8" s="567">
        <v>1.5617999911371258E-4</v>
      </c>
      <c r="J8" s="567">
        <v>1.7924235118574319E-4</v>
      </c>
      <c r="K8" s="567">
        <v>5.9302164181717959E-4</v>
      </c>
      <c r="L8" s="567">
        <v>6.9518632551394011E-4</v>
      </c>
      <c r="M8" s="567">
        <v>7.9735100921070063E-4</v>
      </c>
      <c r="N8" s="195">
        <f>NHHProps_SSW*AvgNHHBill_SSW*(H8+K8)</f>
        <v>96334.657134781155</v>
      </c>
      <c r="O8" s="195">
        <f>NHHProps_SSW*AvgNHHBill_SSW*(I8+L8)</f>
        <v>112948.14126914022</v>
      </c>
      <c r="P8" s="195">
        <f>NHHProps_SSW*AvgNHHBill_SSW*(J8+M8)</f>
        <v>129561.62540349929</v>
      </c>
      <c r="Q8" s="286">
        <f t="shared" si="0"/>
        <v>40.602919984804799</v>
      </c>
      <c r="R8" s="195">
        <f t="shared" si="0"/>
        <v>47.605134837061335</v>
      </c>
      <c r="S8" s="287">
        <f t="shared" si="0"/>
        <v>54.607349689317864</v>
      </c>
      <c r="T8" s="496">
        <f>1/80</f>
        <v>1.2500000000000001E-2</v>
      </c>
      <c r="U8" s="497">
        <f>1/100</f>
        <v>0.01</v>
      </c>
      <c r="V8" s="497">
        <f>1/120</f>
        <v>8.3333333333333332E-3</v>
      </c>
      <c r="W8" s="567">
        <v>0</v>
      </c>
      <c r="X8" s="567">
        <v>1.0438910529886973E-3</v>
      </c>
      <c r="Y8" s="567">
        <v>3.6052723139528967E-2</v>
      </c>
      <c r="Z8" s="567">
        <v>0</v>
      </c>
      <c r="AA8" s="567">
        <v>6.3529836977335285E-4</v>
      </c>
      <c r="AB8" s="567">
        <v>2.1941213280705946E-2</v>
      </c>
      <c r="AC8" s="195">
        <f>NHHProps_CAM*AvgNHHBill_CAM*(W8+Z8)</f>
        <v>0</v>
      </c>
      <c r="AD8" s="195">
        <f>NHHProps_CAM*AvgNHHBill_CAM*(X8+AA8)</f>
        <v>73869.289064302255</v>
      </c>
      <c r="AE8" s="195">
        <f>NHHProps_CAM*AvgNHHBill_CAM*(Y8+AB8)</f>
        <v>2551213.5768200108</v>
      </c>
      <c r="AF8" s="286">
        <f t="shared" si="1"/>
        <v>0</v>
      </c>
      <c r="AG8" s="195">
        <f t="shared" si="2"/>
        <v>122.71155623456495</v>
      </c>
      <c r="AH8" s="287">
        <f t="shared" si="3"/>
        <v>4238.0723066904939</v>
      </c>
    </row>
    <row r="9" spans="1:34" x14ac:dyDescent="0.35">
      <c r="A9" s="7" t="s">
        <v>129</v>
      </c>
      <c r="B9" s="7" t="s">
        <v>441</v>
      </c>
      <c r="C9" s="7" t="s">
        <v>432</v>
      </c>
      <c r="D9" s="7" t="s">
        <v>475</v>
      </c>
      <c r="E9" s="498">
        <f>1/15</f>
        <v>6.6666666666666666E-2</v>
      </c>
      <c r="F9" s="498">
        <f>1/20</f>
        <v>0.05</v>
      </c>
      <c r="G9" s="498">
        <f>1/25</f>
        <v>0.04</v>
      </c>
      <c r="H9" s="566">
        <v>3.0198098440831309</v>
      </c>
      <c r="I9" s="566">
        <v>3.3679929677046498</v>
      </c>
      <c r="J9" s="566">
        <v>3.7161760913261688</v>
      </c>
      <c r="K9" s="566">
        <v>0.54419587911439482</v>
      </c>
      <c r="L9" s="566">
        <v>0.60669022375558512</v>
      </c>
      <c r="M9" s="566">
        <v>0.66918456839677543</v>
      </c>
      <c r="N9" s="195">
        <f>HHProps_SSW*(H9+K9)</f>
        <v>1922556.5553045038</v>
      </c>
      <c r="O9" s="195">
        <f>HHProps_SSW*(I9+L9)</f>
        <v>2144091.1767517347</v>
      </c>
      <c r="P9" s="195">
        <f>HHProps_SSW*(J9+M9)</f>
        <v>2365625.7981989658</v>
      </c>
      <c r="Q9" s="286">
        <f>N9/(($E9-$G9)*AllProps_SSW)</f>
        <v>126.61170623685102</v>
      </c>
      <c r="R9" s="195">
        <f>O9/(($E9-$G9)*AllProps_SSW)</f>
        <v>141.20106972505607</v>
      </c>
      <c r="S9" s="287">
        <f>P9/(($E9-$G9)*AllProps_SSW)</f>
        <v>155.79043321326114</v>
      </c>
      <c r="T9" s="496">
        <f>1/45</f>
        <v>2.2222222222222223E-2</v>
      </c>
      <c r="U9" s="497">
        <f>1/55</f>
        <v>1.8181818181818181E-2</v>
      </c>
      <c r="V9" s="497">
        <f>1/65</f>
        <v>1.5384615384615385E-2</v>
      </c>
      <c r="W9" s="31">
        <v>2.7046003436132477</v>
      </c>
      <c r="X9" s="31">
        <v>3.1155463151224057</v>
      </c>
      <c r="Y9" s="31">
        <v>3.5264922866315636</v>
      </c>
      <c r="Z9" s="31">
        <v>1.1653338225722623</v>
      </c>
      <c r="AA9" s="31">
        <v>1.3419840000849801</v>
      </c>
      <c r="AB9" s="31">
        <v>1.5186341775976975</v>
      </c>
      <c r="AC9" s="195">
        <f>HHProps_CAM*(W9+Z9)</f>
        <v>525854.39436961943</v>
      </c>
      <c r="AD9" s="195">
        <f>HHProps_CAM*(X9+AA9)</f>
        <v>605698.13429100998</v>
      </c>
      <c r="AE9" s="195">
        <f>HHProps_CAM*(Y9+AB9)</f>
        <v>685541.87421240041</v>
      </c>
      <c r="AF9" s="286">
        <f t="shared" si="1"/>
        <v>532.31865371317224</v>
      </c>
      <c r="AG9" s="195">
        <f t="shared" si="2"/>
        <v>613.1439022942551</v>
      </c>
      <c r="AH9" s="287">
        <f t="shared" si="3"/>
        <v>693.96915087533785</v>
      </c>
    </row>
    <row r="10" spans="1:34" x14ac:dyDescent="0.35">
      <c r="A10" s="7"/>
      <c r="B10" s="7"/>
      <c r="C10" s="7" t="s">
        <v>434</v>
      </c>
      <c r="D10" s="7" t="s">
        <v>22</v>
      </c>
      <c r="E10" s="498">
        <f>1/15</f>
        <v>6.6666666666666666E-2</v>
      </c>
      <c r="F10" s="498">
        <f>1/20</f>
        <v>0.05</v>
      </c>
      <c r="G10" s="498">
        <f>1/25</f>
        <v>0.04</v>
      </c>
      <c r="H10" s="567">
        <v>1.6529853579860133E-2</v>
      </c>
      <c r="I10" s="567">
        <v>1.9376915692789636E-2</v>
      </c>
      <c r="J10" s="567">
        <v>2.222397780571914E-2</v>
      </c>
      <c r="K10" s="567">
        <v>4.2523734552100609E-4</v>
      </c>
      <c r="L10" s="567">
        <v>4.9841954334050795E-4</v>
      </c>
      <c r="M10" s="567">
        <v>5.7160174116000981E-4</v>
      </c>
      <c r="N10" s="195">
        <f>NHHProps_SSW*AvgNHHBill_SSW*(H10+K10)</f>
        <v>2249379.5557495379</v>
      </c>
      <c r="O10" s="195">
        <f>NHHProps_SSW*AvgNHHBill_SSW*(I10+L10)</f>
        <v>2636799.3507421771</v>
      </c>
      <c r="P10" s="195">
        <f>NHHProps_SSW*AvgNHHBill_SSW*(J10+M10)</f>
        <v>3024219.1457348159</v>
      </c>
      <c r="Q10" s="286">
        <f t="shared" ref="Q10:Q18" si="4">N10/(($E10-$G10)*AllProps_SSW)</f>
        <v>148.13493144945809</v>
      </c>
      <c r="R10" s="195">
        <f t="shared" ref="R10:R18" si="5">O10/(($E10-$G10)*AllProps_SSW)</f>
        <v>173.64881354494736</v>
      </c>
      <c r="S10" s="287">
        <f t="shared" ref="S10:S18" si="6">P10/(($E10-$G10)*AllProps_SSW)</f>
        <v>199.16269564043657</v>
      </c>
      <c r="T10" s="496">
        <f>1/45</f>
        <v>2.2222222222222223E-2</v>
      </c>
      <c r="U10" s="497">
        <f>1/55</f>
        <v>1.8181818181818181E-2</v>
      </c>
      <c r="V10" s="497">
        <f>1/65</f>
        <v>1.5384615384615385E-2</v>
      </c>
      <c r="W10" s="105">
        <v>5.5626362204284248E-2</v>
      </c>
      <c r="X10" s="105">
        <v>5.6414013673365619E-2</v>
      </c>
      <c r="Y10" s="105">
        <v>5.720166514244699E-2</v>
      </c>
      <c r="Z10" s="105">
        <v>1.3542562089060434E-4</v>
      </c>
      <c r="AA10" s="105">
        <v>1.4754621463399648E-4</v>
      </c>
      <c r="AB10" s="105">
        <v>1.5966680837738861E-4</v>
      </c>
      <c r="AC10" s="195">
        <f>NHHProps_CAM*AvgNHHBill_CAM*(W10+Z10)</f>
        <v>2453019.0386887798</v>
      </c>
      <c r="AD10" s="195">
        <f>NHHProps_CAM*AvgNHHBill_CAM*(X10+AA10)</f>
        <v>2488201.8434953867</v>
      </c>
      <c r="AE10" s="195">
        <f>NHHProps_CAM*AvgNHHBill_CAM*(Y10+AB10)</f>
        <v>2523384.6483019935</v>
      </c>
      <c r="AF10" s="286">
        <f t="shared" si="1"/>
        <v>2483.1736811345572</v>
      </c>
      <c r="AG10" s="195">
        <f t="shared" si="2"/>
        <v>2518.7889835624424</v>
      </c>
      <c r="AH10" s="287">
        <f t="shared" si="3"/>
        <v>2554.404285990327</v>
      </c>
    </row>
    <row r="11" spans="1:34" x14ac:dyDescent="0.35">
      <c r="A11" s="7" t="s">
        <v>131</v>
      </c>
      <c r="B11" s="7" t="s">
        <v>442</v>
      </c>
      <c r="C11" s="7" t="s">
        <v>432</v>
      </c>
      <c r="D11" s="7" t="s">
        <v>475</v>
      </c>
      <c r="E11" s="498">
        <f>1/60</f>
        <v>1.6666666666666666E-2</v>
      </c>
      <c r="F11" s="498">
        <f>1/75</f>
        <v>1.3333333333333334E-2</v>
      </c>
      <c r="G11" s="498">
        <f>1/90</f>
        <v>1.1111111111111112E-2</v>
      </c>
      <c r="H11" s="566">
        <v>0.27632784951021006</v>
      </c>
      <c r="I11" s="566">
        <v>0.30818609087835352</v>
      </c>
      <c r="J11" s="566">
        <v>0.34004433224649699</v>
      </c>
      <c r="K11" s="566">
        <v>0.16651459677103786</v>
      </c>
      <c r="L11" s="566">
        <v>0.18578205633963885</v>
      </c>
      <c r="M11" s="566">
        <v>0.20504951590823983</v>
      </c>
      <c r="N11" s="195">
        <f>HHProps_SSW*(H11+K11)</f>
        <v>238885.60069461752</v>
      </c>
      <c r="O11" s="195">
        <f>HHProps_SSW*(I11+L11)</f>
        <v>266464.69543083216</v>
      </c>
      <c r="P11" s="195">
        <f>HHProps_SSW*(J11+M11)</f>
        <v>294043.79016704677</v>
      </c>
      <c r="Q11" s="286">
        <f t="shared" si="4"/>
        <v>75.513734249516901</v>
      </c>
      <c r="R11" s="195">
        <f t="shared" si="5"/>
        <v>84.231716516748989</v>
      </c>
      <c r="S11" s="287">
        <f t="shared" si="6"/>
        <v>92.949698783981077</v>
      </c>
      <c r="T11" s="496">
        <f>1/70</f>
        <v>1.4285714285714285E-2</v>
      </c>
      <c r="U11" s="497">
        <f>1/85</f>
        <v>1.1764705882352941E-2</v>
      </c>
      <c r="V11" s="497">
        <f>1/100</f>
        <v>0.01</v>
      </c>
      <c r="W11" s="31">
        <v>4.0827190636202153E-2</v>
      </c>
      <c r="X11" s="31">
        <v>4.7204807663126298E-2</v>
      </c>
      <c r="Y11" s="31">
        <v>5.3582424690050444E-2</v>
      </c>
      <c r="Z11" s="31">
        <v>0.10583995205327912</v>
      </c>
      <c r="AA11" s="31">
        <v>0.1217094578997745</v>
      </c>
      <c r="AB11" s="31">
        <v>0.13757896374626985</v>
      </c>
      <c r="AC11" s="195">
        <f>HHProps_CAM*(W11+Z11)</f>
        <v>19929.424682932095</v>
      </c>
      <c r="AD11" s="195">
        <f>HHProps_CAM*(X11+AA11)</f>
        <v>22952.408233218084</v>
      </c>
      <c r="AE11" s="195">
        <f>HHProps_CAM*(Y11+AB11)</f>
        <v>25975.391783504074</v>
      </c>
      <c r="AF11" s="286">
        <f t="shared" si="1"/>
        <v>32.187100050418458</v>
      </c>
      <c r="AG11" s="195">
        <f t="shared" si="2"/>
        <v>37.069382180075451</v>
      </c>
      <c r="AH11" s="287">
        <f t="shared" si="3"/>
        <v>41.951664309732443</v>
      </c>
    </row>
    <row r="12" spans="1:34" x14ac:dyDescent="0.35">
      <c r="A12" s="7"/>
      <c r="B12" s="7"/>
      <c r="C12" s="7" t="s">
        <v>434</v>
      </c>
      <c r="D12" s="7" t="s">
        <v>22</v>
      </c>
      <c r="E12" s="498">
        <f>1/60</f>
        <v>1.6666666666666666E-2</v>
      </c>
      <c r="F12" s="498">
        <f>1/75</f>
        <v>1.3333333333333334E-2</v>
      </c>
      <c r="G12" s="498">
        <f>1/90</f>
        <v>1.1111111111111112E-2</v>
      </c>
      <c r="H12" s="567">
        <v>3.1445347895279869E-3</v>
      </c>
      <c r="I12" s="567">
        <v>3.6865032727528453E-3</v>
      </c>
      <c r="J12" s="567">
        <v>4.2284717559777042E-3</v>
      </c>
      <c r="K12" s="567">
        <v>4.4061675409921321E-6</v>
      </c>
      <c r="L12" s="567">
        <v>5.1592292451456759E-6</v>
      </c>
      <c r="M12" s="567">
        <v>5.912290949298786E-6</v>
      </c>
      <c r="N12" s="195">
        <f>NHHProps_SSW*AvgNHHBill_SSW*(H12+K12)</f>
        <v>417760.27284466603</v>
      </c>
      <c r="O12" s="195">
        <f>NHHProps_SSW*AvgNHHBill_SSW*(I12+L12)</f>
        <v>489761.46428626729</v>
      </c>
      <c r="P12" s="195">
        <f>NHHProps_SSW*AvgNHHBill_SSW*(J12+M12)</f>
        <v>561762.65572786855</v>
      </c>
      <c r="Q12" s="286">
        <f t="shared" si="4"/>
        <v>132.05751259962224</v>
      </c>
      <c r="R12" s="195">
        <f t="shared" si="5"/>
        <v>154.81769077846621</v>
      </c>
      <c r="S12" s="287">
        <f t="shared" si="6"/>
        <v>177.57786895731019</v>
      </c>
      <c r="T12" s="496">
        <f>1/70</f>
        <v>1.4285714285714285E-2</v>
      </c>
      <c r="U12" s="497">
        <f>1/85</f>
        <v>1.1764705882352941E-2</v>
      </c>
      <c r="V12" s="497">
        <f>1/100</f>
        <v>0.01</v>
      </c>
      <c r="W12" s="105">
        <v>0</v>
      </c>
      <c r="X12" s="105">
        <v>4.257264223936371E-2</v>
      </c>
      <c r="Y12" s="105">
        <v>1.4703255477634358</v>
      </c>
      <c r="Z12" s="105">
        <v>5.3122801635380405E-2</v>
      </c>
      <c r="AA12" s="105">
        <v>1.0971349631991048E-2</v>
      </c>
      <c r="AB12" s="105">
        <v>0</v>
      </c>
      <c r="AC12" s="195">
        <f>NHHProps_CAM*AvgNHHBill_CAM*(W12+Z12)</f>
        <v>2336927.2916540848</v>
      </c>
      <c r="AD12" s="195">
        <f>NHHProps_CAM*AvgNHHBill_CAM*(X12+AA12)</f>
        <v>2355455.8881724421</v>
      </c>
      <c r="AE12" s="195">
        <f>NHHProps_CAM*AvgNHHBill_CAM*(Y12+AB12)</f>
        <v>64681149.984683216</v>
      </c>
      <c r="AF12" s="286">
        <f t="shared" si="1"/>
        <v>3774.2641217055425</v>
      </c>
      <c r="AG12" s="195">
        <f t="shared" si="2"/>
        <v>3804.1888084146854</v>
      </c>
      <c r="AH12" s="287">
        <f t="shared" si="3"/>
        <v>104463.55973918781</v>
      </c>
    </row>
    <row r="13" spans="1:34" x14ac:dyDescent="0.35">
      <c r="A13" s="7" t="s">
        <v>133</v>
      </c>
      <c r="B13" s="7" t="s">
        <v>478</v>
      </c>
      <c r="C13" s="7" t="s">
        <v>432</v>
      </c>
      <c r="D13" s="7" t="s">
        <v>475</v>
      </c>
      <c r="E13" s="498">
        <f>1/3</f>
        <v>0.33333333333333331</v>
      </c>
      <c r="F13" s="498">
        <f>1/4</f>
        <v>0.25</v>
      </c>
      <c r="G13" s="498">
        <f>1/5</f>
        <v>0.2</v>
      </c>
      <c r="H13" s="566">
        <v>1.911703268012757</v>
      </c>
      <c r="I13" s="566">
        <v>2.1317184182528393</v>
      </c>
      <c r="J13" s="566">
        <v>2.3517335684929215</v>
      </c>
      <c r="K13" s="566">
        <v>1.2336458719948413</v>
      </c>
      <c r="L13" s="566">
        <v>1.3756516158641041</v>
      </c>
      <c r="M13" s="566">
        <v>1.5176573597333669</v>
      </c>
      <c r="N13" s="195">
        <f>HHProps_SSW*(H13+K13)</f>
        <v>1696717.7040382789</v>
      </c>
      <c r="O13" s="195">
        <f>HHProps_SSW*(I13+L13)</f>
        <v>1892005.1690939416</v>
      </c>
      <c r="P13" s="195">
        <f>HHProps_SSW*(J13+M13)</f>
        <v>2087292.6341496042</v>
      </c>
      <c r="Q13" s="286">
        <f t="shared" si="4"/>
        <v>22.347776757759309</v>
      </c>
      <c r="R13" s="195">
        <f t="shared" si="5"/>
        <v>24.919943395889828</v>
      </c>
      <c r="S13" s="287">
        <f t="shared" si="6"/>
        <v>27.492110034020346</v>
      </c>
      <c r="T13" s="496">
        <f>1/3</f>
        <v>0.33333333333333331</v>
      </c>
      <c r="U13" s="497">
        <f>1/4</f>
        <v>0.25</v>
      </c>
      <c r="V13" s="497">
        <f>1/5</f>
        <v>0.2</v>
      </c>
      <c r="W13" s="31">
        <v>0.36910050057866128</v>
      </c>
      <c r="X13" s="31">
        <v>0.4252755260698568</v>
      </c>
      <c r="Y13" s="522">
        <v>0.48145055156105232</v>
      </c>
      <c r="Z13" s="522">
        <v>0.18843221404216126</v>
      </c>
      <c r="AA13" s="31">
        <v>0.21698708612330625</v>
      </c>
      <c r="AB13" s="31">
        <v>0.24554195820445124</v>
      </c>
      <c r="AC13" s="195">
        <f>HHProps_CAM*(W13+Z13)</f>
        <v>75758.660328106605</v>
      </c>
      <c r="AD13" s="195">
        <f>HHProps_CAM*(X13+AA13)</f>
        <v>87271.928270031378</v>
      </c>
      <c r="AE13" s="195">
        <f>HHProps_CAM*(Y13+AB13)</f>
        <v>98785.19621195615</v>
      </c>
      <c r="AF13" s="286">
        <f t="shared" si="1"/>
        <v>3.9328180327311464</v>
      </c>
      <c r="AG13" s="195">
        <f t="shared" si="2"/>
        <v>4.5305000347829747</v>
      </c>
      <c r="AH13" s="287">
        <f t="shared" si="3"/>
        <v>5.1281820368348026</v>
      </c>
    </row>
    <row r="14" spans="1:34" x14ac:dyDescent="0.35">
      <c r="A14" s="7"/>
      <c r="B14" s="482" t="s">
        <v>479</v>
      </c>
      <c r="C14" s="7" t="s">
        <v>434</v>
      </c>
      <c r="D14" s="7" t="s">
        <v>22</v>
      </c>
      <c r="E14" s="498">
        <f>1/3</f>
        <v>0.33333333333333331</v>
      </c>
      <c r="F14" s="498">
        <f>1/4</f>
        <v>0.25</v>
      </c>
      <c r="G14" s="498">
        <f>1/5</f>
        <v>0.2</v>
      </c>
      <c r="H14" s="567">
        <v>3.5183810705973926E-3</v>
      </c>
      <c r="I14" s="567">
        <v>4.1232652328514917E-3</v>
      </c>
      <c r="J14" s="567">
        <v>4.7281493951055907E-3</v>
      </c>
      <c r="K14" s="567">
        <v>2.811717685899418E-3</v>
      </c>
      <c r="L14" s="567">
        <v>3.2944798024680151E-3</v>
      </c>
      <c r="M14" s="567">
        <v>3.7772419190366122E-3</v>
      </c>
      <c r="N14" s="195">
        <f>NHHProps_SSW*AvgNHHBill_SSW*(H14+K14)</f>
        <v>839794.65467947186</v>
      </c>
      <c r="O14" s="195">
        <f>NHHProps_SSW*AvgNHHBill_SSW*(I14+L14)</f>
        <v>984089.32783916988</v>
      </c>
      <c r="P14" s="195">
        <f>NHHProps_SSW*AvgNHHBill_SSW*(J14+M14)</f>
        <v>1128384.0009988679</v>
      </c>
      <c r="Q14" s="286">
        <f t="shared" si="4"/>
        <v>11.061087781702666</v>
      </c>
      <c r="R14" s="195">
        <f t="shared" si="5"/>
        <v>12.961619104875577</v>
      </c>
      <c r="S14" s="287">
        <f t="shared" si="6"/>
        <v>14.862150428048491</v>
      </c>
      <c r="T14" s="496">
        <f>1/3</f>
        <v>0.33333333333333331</v>
      </c>
      <c r="U14" s="497">
        <f>1/4</f>
        <v>0.25</v>
      </c>
      <c r="V14" s="497">
        <f>1/5</f>
        <v>0.2</v>
      </c>
      <c r="W14" s="105">
        <v>5.0162152546914092E-2</v>
      </c>
      <c r="X14" s="105">
        <v>5.0233968528763127E-2</v>
      </c>
      <c r="Y14" s="105">
        <v>5.0305784510612163E-2</v>
      </c>
      <c r="Z14" s="105">
        <v>3.2982673397256232E-3</v>
      </c>
      <c r="AA14" s="105">
        <v>3.7020561693646287E-3</v>
      </c>
      <c r="AB14" s="105">
        <v>4.1058449990036341E-3</v>
      </c>
      <c r="AC14" s="195">
        <f>NHHProps_CAM*AvgNHHBill_CAM*(W14+Z14)</f>
        <v>2351779.4696499631</v>
      </c>
      <c r="AD14" s="195">
        <f>NHHProps_CAM*AvgNHHBill_CAM*(X14+AA14)</f>
        <v>2372701.8199363262</v>
      </c>
      <c r="AE14" s="195">
        <f>NHHProps_CAM*AvgNHHBill_CAM*(Y14+AB14)</f>
        <v>2393624.1702226889</v>
      </c>
      <c r="AF14" s="286">
        <f t="shared" si="1"/>
        <v>122.08664550282214</v>
      </c>
      <c r="AG14" s="195">
        <f t="shared" si="2"/>
        <v>123.17277606712938</v>
      </c>
      <c r="AH14" s="287">
        <f t="shared" si="3"/>
        <v>124.25890663143659</v>
      </c>
    </row>
    <row r="15" spans="1:34" x14ac:dyDescent="0.35">
      <c r="A15" s="7" t="s">
        <v>135</v>
      </c>
      <c r="B15" s="7" t="s">
        <v>480</v>
      </c>
      <c r="C15" s="7" t="s">
        <v>432</v>
      </c>
      <c r="D15" s="7" t="s">
        <v>475</v>
      </c>
      <c r="E15" s="569">
        <v>0</v>
      </c>
      <c r="F15" s="569">
        <v>2000</v>
      </c>
      <c r="G15" s="569">
        <v>4000</v>
      </c>
      <c r="H15" s="31">
        <v>4.7434509173148891</v>
      </c>
      <c r="I15" s="31">
        <v>5.2894480160712298</v>
      </c>
      <c r="J15" s="31">
        <v>5.8354451148275706</v>
      </c>
      <c r="K15" s="31">
        <v>0.5437012128536951</v>
      </c>
      <c r="L15" s="31">
        <v>0.60625599239311434</v>
      </c>
      <c r="M15" s="31">
        <v>0.66881077193253358</v>
      </c>
      <c r="N15" s="195">
        <f>HHProps_SSW*(H15+K15)</f>
        <v>2852085.4836417506</v>
      </c>
      <c r="O15" s="195">
        <f>HHProps_SSW*(I15+L15)</f>
        <v>3180360.8832139806</v>
      </c>
      <c r="P15" s="195">
        <f>HHProps_SSW*(J15+M15)</f>
        <v>3508636.2827862101</v>
      </c>
      <c r="Q15" s="286">
        <f t="shared" ref="Q15:S16" si="7">-N15/(($E15-$G15))</f>
        <v>713.02137091043767</v>
      </c>
      <c r="R15" s="195">
        <f>-O15/(($E15-$G15))</f>
        <v>795.09022080349519</v>
      </c>
      <c r="S15" s="287">
        <f t="shared" si="7"/>
        <v>877.15907069655248</v>
      </c>
      <c r="T15" s="578">
        <v>0</v>
      </c>
      <c r="U15" s="579">
        <v>650</v>
      </c>
      <c r="V15" s="579">
        <v>1350</v>
      </c>
      <c r="W15" s="31">
        <v>2.2918302422500729</v>
      </c>
      <c r="X15" s="31">
        <v>2.6407734226292283</v>
      </c>
      <c r="Y15" s="31">
        <v>2.9897166030083837</v>
      </c>
      <c r="Z15" s="31">
        <v>0.44101776703248419</v>
      </c>
      <c r="AA15" s="31">
        <v>0.50756688037153719</v>
      </c>
      <c r="AB15" s="31">
        <v>0.57411599371059019</v>
      </c>
      <c r="AC15" s="195">
        <f>HHProps_CAM*(W15+Z15)</f>
        <v>371344.85319733241</v>
      </c>
      <c r="AD15" s="195">
        <f>HHProps_CAM*(X15+AA15)</f>
        <v>427802.77705234999</v>
      </c>
      <c r="AE15" s="195">
        <f>HHProps_CAM*(Y15+AB15)</f>
        <v>484260.70090736763</v>
      </c>
      <c r="AF15" s="286">
        <f t="shared" ref="AF15:AH16" si="8">-AC15/(($T15-$V15))</f>
        <v>275.07026162765362</v>
      </c>
      <c r="AG15" s="195">
        <f t="shared" si="8"/>
        <v>316.89094596470369</v>
      </c>
      <c r="AH15" s="287">
        <f t="shared" si="8"/>
        <v>358.71163030175381</v>
      </c>
    </row>
    <row r="16" spans="1:34" x14ac:dyDescent="0.35">
      <c r="A16" s="7"/>
      <c r="B16" s="482" t="s">
        <v>481</v>
      </c>
      <c r="C16" s="7" t="s">
        <v>434</v>
      </c>
      <c r="D16" s="7" t="s">
        <v>22</v>
      </c>
      <c r="E16" s="569">
        <v>0</v>
      </c>
      <c r="F16" s="569">
        <v>2000</v>
      </c>
      <c r="G16" s="569">
        <v>4000</v>
      </c>
      <c r="H16" s="105">
        <v>3.5467790509849289E-3</v>
      </c>
      <c r="I16" s="105">
        <v>4.1590321254674992E-3</v>
      </c>
      <c r="J16" s="105">
        <v>4.7712851999500696E-3</v>
      </c>
      <c r="K16" s="105">
        <v>4.4073049905152348E-4</v>
      </c>
      <c r="L16" s="105">
        <v>5.1578958405461544E-4</v>
      </c>
      <c r="M16" s="105">
        <v>5.9084866905770739E-4</v>
      </c>
      <c r="N16" s="195">
        <f>NHHProps_SSW*AvgNHHBill_SSW*(H16+K16)</f>
        <v>529010.57857384568</v>
      </c>
      <c r="O16" s="195">
        <f>NHHProps_SSW*AvgNHHBill_SSW*(I16+L16)</f>
        <v>620194.16035286</v>
      </c>
      <c r="P16" s="195">
        <f>NHHProps_SSW*AvgNHHBill_SSW*(J16+M16)</f>
        <v>711377.74213187431</v>
      </c>
      <c r="Q16" s="286">
        <f t="shared" si="7"/>
        <v>132.25264464346142</v>
      </c>
      <c r="R16" s="195">
        <f t="shared" si="7"/>
        <v>155.04854008821499</v>
      </c>
      <c r="S16" s="287">
        <f t="shared" si="7"/>
        <v>177.84443553296859</v>
      </c>
      <c r="T16" s="578">
        <v>0</v>
      </c>
      <c r="U16" s="579">
        <v>650</v>
      </c>
      <c r="V16" s="579">
        <v>1350</v>
      </c>
      <c r="W16" s="105">
        <v>5.7821959481593799E-2</v>
      </c>
      <c r="X16" s="105">
        <v>5.8970314160098417E-2</v>
      </c>
      <c r="Y16" s="105">
        <v>6.0118668838603034E-2</v>
      </c>
      <c r="Z16" s="105">
        <v>3.9152606797240169E-4</v>
      </c>
      <c r="AA16" s="105">
        <v>4.2450333610873081E-4</v>
      </c>
      <c r="AB16" s="105">
        <v>4.5748060424505993E-4</v>
      </c>
      <c r="AC16" s="195">
        <f>NHHProps_CAM*AvgNHHBill_CAM*(W16+Z16)</f>
        <v>2560871.7713503889</v>
      </c>
      <c r="AD16" s="195">
        <f>NHHProps_CAM*AvgNHHBill_CAM*(X16+AA16)</f>
        <v>2612839.7922683484</v>
      </c>
      <c r="AE16" s="195">
        <f>NHHProps_CAM*AvgNHHBill_CAM*(Y16+AB16)</f>
        <v>2664807.8131863084</v>
      </c>
      <c r="AF16" s="286">
        <f t="shared" si="8"/>
        <v>1896.94205285214</v>
      </c>
      <c r="AG16" s="195">
        <f t="shared" si="8"/>
        <v>1935.4368831617396</v>
      </c>
      <c r="AH16" s="287">
        <f t="shared" si="8"/>
        <v>1973.9317134713394</v>
      </c>
    </row>
    <row r="17" spans="1:34" x14ac:dyDescent="0.35">
      <c r="A17" s="7" t="s">
        <v>445</v>
      </c>
      <c r="B17" s="7" t="s">
        <v>482</v>
      </c>
      <c r="C17" s="7" t="s">
        <v>432</v>
      </c>
      <c r="D17" s="7" t="s">
        <v>475</v>
      </c>
      <c r="E17" s="496">
        <f>1/70</f>
        <v>1.4285714285714285E-2</v>
      </c>
      <c r="F17" s="497">
        <f>1/90</f>
        <v>1.1111111111111112E-2</v>
      </c>
      <c r="G17" s="497">
        <f>1/105</f>
        <v>9.5238095238095247E-3</v>
      </c>
      <c r="H17" s="31">
        <v>0.36493894747059469</v>
      </c>
      <c r="I17" s="31">
        <v>0.39718669024665654</v>
      </c>
      <c r="J17" s="31">
        <v>0.42943443302271839</v>
      </c>
      <c r="K17" s="31">
        <v>0.4947803713943642</v>
      </c>
      <c r="L17" s="31">
        <v>0.53859352958370721</v>
      </c>
      <c r="M17" s="31">
        <v>0.58240668777305005</v>
      </c>
      <c r="N17" s="195">
        <f>HHProps_SSW*(H17+K17)</f>
        <v>463764.41021055682</v>
      </c>
      <c r="O17" s="195">
        <f>HHProps_SSW*(I17+L17)</f>
        <v>504794.47444463195</v>
      </c>
      <c r="P17" s="195">
        <f>HHProps_SSW*(J17+M17)</f>
        <v>545824.53867870697</v>
      </c>
      <c r="Q17" s="286">
        <f t="shared" si="4"/>
        <v>171.03310557881539</v>
      </c>
      <c r="R17" s="195">
        <f t="shared" si="5"/>
        <v>186.16470937063306</v>
      </c>
      <c r="S17" s="287">
        <f t="shared" si="6"/>
        <v>201.2963131624507</v>
      </c>
      <c r="T17" s="533">
        <f>1/40</f>
        <v>2.5000000000000001E-2</v>
      </c>
      <c r="U17" s="533">
        <f>1/50</f>
        <v>0.02</v>
      </c>
      <c r="V17" s="533">
        <f>1/60</f>
        <v>1.6666666666666666E-2</v>
      </c>
      <c r="W17" s="31">
        <v>4.7278250612377316E-2</v>
      </c>
      <c r="X17" s="31">
        <v>5.3490671066612649E-2</v>
      </c>
      <c r="Y17" s="31">
        <v>5.9703091520847983E-2</v>
      </c>
      <c r="Z17" s="31">
        <v>0.29581160570148801</v>
      </c>
      <c r="AA17" s="31">
        <v>0.33457681646237136</v>
      </c>
      <c r="AB17" s="31">
        <v>0.37334202722325471</v>
      </c>
      <c r="AC17" s="195">
        <f>HHProps_CAM*(W17+Z17)</f>
        <v>46619.735855640654</v>
      </c>
      <c r="AD17" s="195">
        <f>HHProps_CAM*(X17+AA17)</f>
        <v>52731.386340413403</v>
      </c>
      <c r="AE17" s="195">
        <f>HHProps_CAM*(Y17+AB17)</f>
        <v>58843.036825186158</v>
      </c>
      <c r="AF17" s="286">
        <f t="shared" si="1"/>
        <v>38.722318913277661</v>
      </c>
      <c r="AG17" s="195">
        <f t="shared" si="2"/>
        <v>43.79865138952065</v>
      </c>
      <c r="AH17" s="287">
        <f t="shared" si="3"/>
        <v>48.874983865763646</v>
      </c>
    </row>
    <row r="18" spans="1:34" x14ac:dyDescent="0.35">
      <c r="A18" s="7"/>
      <c r="B18" s="482" t="s">
        <v>483</v>
      </c>
      <c r="C18" s="7" t="s">
        <v>434</v>
      </c>
      <c r="D18" s="7" t="s">
        <v>22</v>
      </c>
      <c r="E18" s="496">
        <f>1/80</f>
        <v>1.2500000000000001E-2</v>
      </c>
      <c r="F18" s="497">
        <f>1/100</f>
        <v>0.01</v>
      </c>
      <c r="G18" s="497">
        <f>1/120</f>
        <v>8.3333333333333332E-3</v>
      </c>
      <c r="H18" s="105">
        <v>2.0291267173295669E-4</v>
      </c>
      <c r="I18" s="105">
        <v>2.3562800507588295E-4</v>
      </c>
      <c r="J18" s="105">
        <v>2.6834333841880924E-4</v>
      </c>
      <c r="K18" s="105">
        <v>3.519299703461325E-4</v>
      </c>
      <c r="L18" s="105">
        <v>4.1117889914467278E-4</v>
      </c>
      <c r="M18" s="105">
        <v>4.7042782794321305E-4</v>
      </c>
      <c r="N18" s="195">
        <f>NHHProps_SSW*AvgNHHBill_SSW*(H18+K18)</f>
        <v>73609.25997055402</v>
      </c>
      <c r="O18" s="195">
        <f>NHHProps_SSW*AvgNHHBill_SSW*(I18+L18)</f>
        <v>85809.874643220901</v>
      </c>
      <c r="P18" s="195">
        <f>NHHProps_SSW*AvgNHHBill_SSW*(J18+M18)</f>
        <v>98010.489315887768</v>
      </c>
      <c r="Q18" s="286">
        <f t="shared" si="4"/>
        <v>31.024669434838586</v>
      </c>
      <c r="R18" s="195">
        <f t="shared" si="5"/>
        <v>36.166957745748803</v>
      </c>
      <c r="S18" s="287">
        <f t="shared" si="6"/>
        <v>41.30924605665902</v>
      </c>
      <c r="T18" s="534">
        <f>1/40</f>
        <v>2.5000000000000001E-2</v>
      </c>
      <c r="U18" s="533">
        <f>1/50</f>
        <v>0.02</v>
      </c>
      <c r="V18" s="533">
        <f>1/60</f>
        <v>1.6666666666666666E-2</v>
      </c>
      <c r="W18" s="105">
        <v>1.5046397617298195E-4</v>
      </c>
      <c r="X18" s="105">
        <v>2.654718763279678E-4</v>
      </c>
      <c r="Y18" s="105">
        <v>3.8047977648295365E-4</v>
      </c>
      <c r="Z18" s="105">
        <v>7.600217590545918E-6</v>
      </c>
      <c r="AA18" s="105">
        <v>1.3401602008677625E-5</v>
      </c>
      <c r="AB18" s="105">
        <v>1.9202986426809332E-5</v>
      </c>
      <c r="AC18" s="195">
        <f>NHHProps_CAM*AvgNHHBill_CAM*(W18+Z18)</f>
        <v>6953.4082704191051</v>
      </c>
      <c r="AD18" s="195">
        <f>NHHProps_CAM*AvgNHHBill_CAM*(X18+AA18)</f>
        <v>12267.934340446502</v>
      </c>
      <c r="AE18" s="195">
        <f>NHHProps_CAM*AvgNHHBill_CAM*(Y18+AB18)</f>
        <v>17582.460410473901</v>
      </c>
      <c r="AF18" s="286">
        <f t="shared" si="1"/>
        <v>5.7754958847286879</v>
      </c>
      <c r="AG18" s="195">
        <f t="shared" si="2"/>
        <v>10.189737398103325</v>
      </c>
      <c r="AH18" s="287">
        <f t="shared" si="3"/>
        <v>14.603978911477967</v>
      </c>
    </row>
    <row r="19" spans="1:34" x14ac:dyDescent="0.35">
      <c r="A19" s="7" t="s">
        <v>143</v>
      </c>
      <c r="B19" s="7" t="s">
        <v>447</v>
      </c>
      <c r="C19" s="7" t="s">
        <v>432</v>
      </c>
      <c r="D19" s="7" t="s">
        <v>475</v>
      </c>
      <c r="E19" s="496">
        <f>1/40</f>
        <v>2.5000000000000001E-2</v>
      </c>
      <c r="F19" s="497">
        <f>1/50</f>
        <v>0.02</v>
      </c>
      <c r="G19" s="497">
        <f>1/65</f>
        <v>1.5384615384615385E-2</v>
      </c>
      <c r="H19" s="31">
        <v>0.37508366263630205</v>
      </c>
      <c r="I19" s="31">
        <v>0.4084226191643695</v>
      </c>
      <c r="J19" s="31">
        <v>0.44176157569243696</v>
      </c>
      <c r="K19" s="31">
        <v>0.25969737115341135</v>
      </c>
      <c r="L19" s="31">
        <v>0.28250000903457151</v>
      </c>
      <c r="M19" s="31">
        <v>0.30530264691573167</v>
      </c>
      <c r="N19" s="195">
        <f>HHProps_SSW*(H19+K19)</f>
        <v>342424.37652442162</v>
      </c>
      <c r="O19" s="195">
        <f>HHProps_SSW*(I19+L19)</f>
        <v>372709.22978775215</v>
      </c>
      <c r="P19" s="195">
        <f>HHProps_SSW*(J19+M19)</f>
        <v>402994.08305108268</v>
      </c>
      <c r="Q19" s="286">
        <f t="shared" ref="Q19:S20" si="9">N19/(($E19-$G19)*100)</f>
        <v>356121.35158539849</v>
      </c>
      <c r="R19" s="195">
        <f t="shared" si="9"/>
        <v>387617.59897926223</v>
      </c>
      <c r="S19" s="287">
        <f t="shared" si="9"/>
        <v>419113.84637312597</v>
      </c>
      <c r="T19" s="496">
        <f>1/20</f>
        <v>0.05</v>
      </c>
      <c r="U19" s="497">
        <f>1/25</f>
        <v>0.04</v>
      </c>
      <c r="V19" s="497">
        <f>1/30</f>
        <v>3.3333333333333333E-2</v>
      </c>
      <c r="W19" s="31">
        <v>0.13790441502151365</v>
      </c>
      <c r="X19" s="31">
        <v>0.15591350717379643</v>
      </c>
      <c r="Y19" s="31">
        <v>0.1739225993260792</v>
      </c>
      <c r="Z19" s="31">
        <v>4.4357392179560917E-2</v>
      </c>
      <c r="AA19" s="31">
        <v>5.0130987785217407E-2</v>
      </c>
      <c r="AB19" s="31">
        <v>5.5904583390873896E-2</v>
      </c>
      <c r="AC19" s="195">
        <f>HHProps_CAM*(W19+Z19)</f>
        <v>24766.098886096413</v>
      </c>
      <c r="AD19" s="195">
        <f>HHProps_CAM*(X19+AA19)</f>
        <v>27997.738064020719</v>
      </c>
      <c r="AE19" s="195">
        <f>HHProps_CAM*(Y19+AB19)</f>
        <v>31229.377241945022</v>
      </c>
      <c r="AF19" s="286">
        <f t="shared" ref="AF19:AH20" si="10">AC19/(($T19-$V19)*100)</f>
        <v>14859.659331657846</v>
      </c>
      <c r="AG19" s="195">
        <f t="shared" si="10"/>
        <v>16798.64283841243</v>
      </c>
      <c r="AH19" s="287">
        <f t="shared" si="10"/>
        <v>18737.626345167009</v>
      </c>
    </row>
    <row r="20" spans="1:34" x14ac:dyDescent="0.35">
      <c r="A20" s="7"/>
      <c r="B20" s="7"/>
      <c r="C20" s="7" t="s">
        <v>448</v>
      </c>
      <c r="D20" s="7" t="s">
        <v>22</v>
      </c>
      <c r="E20" s="496">
        <f>1/40</f>
        <v>2.5000000000000001E-2</v>
      </c>
      <c r="F20" s="497">
        <f>1/50</f>
        <v>0.02</v>
      </c>
      <c r="G20" s="497">
        <f>1/60</f>
        <v>1.6666666666666666E-2</v>
      </c>
      <c r="H20" s="105">
        <v>8.933401804030863E-4</v>
      </c>
      <c r="I20" s="105">
        <v>1.0363458862342743E-3</v>
      </c>
      <c r="J20" s="105">
        <v>1.1793515920654623E-3</v>
      </c>
      <c r="K20" s="105">
        <v>5.4087327997823719E-4</v>
      </c>
      <c r="L20" s="105">
        <v>6.2724159084084235E-4</v>
      </c>
      <c r="M20" s="105">
        <v>7.136099017034474E-4</v>
      </c>
      <c r="N20" s="195">
        <f>NHHProps_SSW*AvgNHHBill_SSW*(H20+K20)</f>
        <v>190272.67093762453</v>
      </c>
      <c r="O20" s="195">
        <f>NHHProps_SSW*AvgNHHBill_SSW*(I20+L20)</f>
        <v>220703.0134254265</v>
      </c>
      <c r="P20" s="195">
        <f>NHHProps_SSW*AvgNHHBill_SSW*(J20+M20)</f>
        <v>251133.3559132285</v>
      </c>
      <c r="Q20" s="286">
        <f t="shared" si="9"/>
        <v>228327.2051251494</v>
      </c>
      <c r="R20" s="195">
        <f t="shared" si="9"/>
        <v>264843.61611051176</v>
      </c>
      <c r="S20" s="287">
        <f t="shared" si="9"/>
        <v>301360.02709587413</v>
      </c>
      <c r="T20" s="496">
        <f>1/50</f>
        <v>0.02</v>
      </c>
      <c r="U20" s="497">
        <f>1/65</f>
        <v>1.5384615384615385E-2</v>
      </c>
      <c r="V20" s="497">
        <f>1/75</f>
        <v>1.3333333333333334E-2</v>
      </c>
      <c r="W20" s="105">
        <v>7.7454840373107961E-4</v>
      </c>
      <c r="X20" s="105">
        <v>1.3694025744847137E-3</v>
      </c>
      <c r="Y20" s="105">
        <v>1.9642567452383478E-3</v>
      </c>
      <c r="Z20" s="105">
        <v>6.2826523130465981E-4</v>
      </c>
      <c r="AA20" s="105">
        <v>1.1073984405910726E-3</v>
      </c>
      <c r="AB20" s="105">
        <v>1.5865316498774856E-3</v>
      </c>
      <c r="AC20" s="195">
        <f>NHHProps_CAM*AvgNHHBill_CAM*(W20+Z20)</f>
        <v>61711.230731402611</v>
      </c>
      <c r="AD20" s="195">
        <f>NHHProps_CAM*AvgNHHBill_CAM*(X20+AA20)</f>
        <v>108957.05252623952</v>
      </c>
      <c r="AE20" s="195">
        <f>NHHProps_CAM*AvgNHHBill_CAM*(Y20+AB20)</f>
        <v>156202.87432107644</v>
      </c>
      <c r="AF20" s="286">
        <f t="shared" si="10"/>
        <v>92566.846097103917</v>
      </c>
      <c r="AG20" s="195">
        <f t="shared" si="10"/>
        <v>163435.57878935931</v>
      </c>
      <c r="AH20" s="287">
        <f t="shared" si="10"/>
        <v>234304.31148161466</v>
      </c>
    </row>
    <row r="21" spans="1:34" x14ac:dyDescent="0.35">
      <c r="A21" s="7" t="s">
        <v>139</v>
      </c>
      <c r="B21" s="7" t="s">
        <v>452</v>
      </c>
      <c r="C21" s="7" t="s">
        <v>432</v>
      </c>
      <c r="D21" s="7" t="s">
        <v>475</v>
      </c>
      <c r="E21" s="103">
        <f>1/10</f>
        <v>0.1</v>
      </c>
      <c r="F21" s="103">
        <f>1/12</f>
        <v>8.3333333333333329E-2</v>
      </c>
      <c r="G21" s="103">
        <f>1/15</f>
        <v>6.6666666666666666E-2</v>
      </c>
      <c r="H21" s="31">
        <v>0.71690504395643695</v>
      </c>
      <c r="I21" s="31">
        <v>0.78010561855806027</v>
      </c>
      <c r="J21" s="31">
        <v>0.84330619315968358</v>
      </c>
      <c r="K21" s="31">
        <v>0.34054490031517803</v>
      </c>
      <c r="L21" s="31">
        <v>0.37050953266002729</v>
      </c>
      <c r="M21" s="31">
        <v>0.40047416500487654</v>
      </c>
      <c r="N21" s="195">
        <f>HHProps_SSW*(H21+K21)</f>
        <v>570427.6255880472</v>
      </c>
      <c r="O21" s="195">
        <f>HHProps_SSW*(I21+L21)</f>
        <v>620684.38532763149</v>
      </c>
      <c r="P21" s="195">
        <f>HHProps_SSW*(J21+M21)</f>
        <v>670941.14506721578</v>
      </c>
      <c r="Q21" s="286">
        <f t="shared" ref="Q21:S24" si="11">N21/(($E21-$G21)*AllProps_SSW)</f>
        <v>30.052823054206286</v>
      </c>
      <c r="R21" s="195">
        <f t="shared" si="11"/>
        <v>32.700586661683175</v>
      </c>
      <c r="S21" s="287">
        <f t="shared" si="11"/>
        <v>35.348350269160065</v>
      </c>
      <c r="T21" s="496">
        <f>1/11</f>
        <v>9.0909090909090912E-2</v>
      </c>
      <c r="U21" s="497">
        <f>1/13</f>
        <v>7.6923076923076927E-2</v>
      </c>
      <c r="V21" s="497">
        <f>1/15</f>
        <v>6.6666666666666666E-2</v>
      </c>
      <c r="W21" s="31">
        <v>1.8944756108760648</v>
      </c>
      <c r="X21" s="31">
        <v>2.1416418362159599</v>
      </c>
      <c r="Y21" s="31">
        <v>2.3888080615558551</v>
      </c>
      <c r="Z21" s="31">
        <v>0.74375865882010261</v>
      </c>
      <c r="AA21" s="31">
        <v>0.84070533256091329</v>
      </c>
      <c r="AB21" s="31">
        <v>0.93765200630172396</v>
      </c>
      <c r="AC21" s="195">
        <f>HHProps_CAM*(W21+Z21)</f>
        <v>358488.54903485463</v>
      </c>
      <c r="AD21" s="195">
        <f>HHProps_CAM*(X21+AA21)</f>
        <v>405247.29798773909</v>
      </c>
      <c r="AE21" s="195">
        <f>HHProps_CAM*(Y21+AB21)</f>
        <v>452006.04694062355</v>
      </c>
      <c r="AF21" s="286">
        <f t="shared" ref="AF21:AH24" si="12">AC21/(($T21-$V21)*AllProps_CAM)</f>
        <v>102.35511336079676</v>
      </c>
      <c r="AG21" s="195">
        <f t="shared" si="12"/>
        <v>115.70560129846363</v>
      </c>
      <c r="AH21" s="287">
        <f t="shared" si="12"/>
        <v>129.0560892361305</v>
      </c>
    </row>
    <row r="22" spans="1:34" x14ac:dyDescent="0.35">
      <c r="A22" s="7"/>
      <c r="B22" s="7"/>
      <c r="C22" s="7" t="s">
        <v>434</v>
      </c>
      <c r="D22" s="7" t="s">
        <v>22</v>
      </c>
      <c r="E22" s="103">
        <f>1/10</f>
        <v>0.1</v>
      </c>
      <c r="F22" s="103">
        <f>1/12</f>
        <v>8.3333333333333329E-2</v>
      </c>
      <c r="G22" s="103">
        <f>1/15</f>
        <v>6.6666666666666666E-2</v>
      </c>
      <c r="H22" s="105">
        <v>6.0115048432303147E-5</v>
      </c>
      <c r="I22" s="105">
        <v>6.9813125314618224E-5</v>
      </c>
      <c r="J22" s="105">
        <v>7.9511202196933301E-5</v>
      </c>
      <c r="K22" s="105">
        <v>3.666006889246064E-4</v>
      </c>
      <c r="L22" s="105">
        <v>4.2539865887973236E-4</v>
      </c>
      <c r="M22" s="105">
        <v>4.8419662883485826E-4</v>
      </c>
      <c r="N22" s="195">
        <f>NHHProps_SSW*AvgNHHBill_SSW*(H22+K22)</f>
        <v>56611.059176944233</v>
      </c>
      <c r="O22" s="195">
        <f>NHHProps_SSW*AvgNHHBill_SSW*(I22+L22)</f>
        <v>65698.218195074893</v>
      </c>
      <c r="P22" s="195">
        <f>NHHProps_SSW*AvgNHHBill_SSW*(J22+M22)</f>
        <v>74785.37721320556</v>
      </c>
      <c r="Q22" s="286">
        <f t="shared" si="11"/>
        <v>2.9825381311117827</v>
      </c>
      <c r="R22" s="195">
        <f t="shared" si="11"/>
        <v>3.461292612463883</v>
      </c>
      <c r="S22" s="287">
        <f t="shared" si="11"/>
        <v>3.9400470938159837</v>
      </c>
      <c r="T22" s="496">
        <f>1/11</f>
        <v>9.0909090909090912E-2</v>
      </c>
      <c r="U22" s="497">
        <f>1/13</f>
        <v>7.6923076923076927E-2</v>
      </c>
      <c r="V22" s="497">
        <f>1/15</f>
        <v>6.6666666666666666E-2</v>
      </c>
      <c r="W22" s="105">
        <v>2.7396587868638138E-5</v>
      </c>
      <c r="X22" s="105">
        <v>4.8585541264324922E-5</v>
      </c>
      <c r="Y22" s="105">
        <v>6.9774494660011709E-5</v>
      </c>
      <c r="Z22" s="105">
        <v>2.6869090592967224E-3</v>
      </c>
      <c r="AA22" s="105">
        <v>4.7427328754792901E-3</v>
      </c>
      <c r="AB22" s="105">
        <v>6.7985566916618587E-3</v>
      </c>
      <c r="AC22" s="195">
        <f>NHHProps_CAM*AvgNHHBill_CAM*(W22+Z22)</f>
        <v>119405.12829667726</v>
      </c>
      <c r="AD22" s="195">
        <f>NHHProps_CAM*AvgNHHBill_CAM*(X22+AA22)</f>
        <v>210775.08012370506</v>
      </c>
      <c r="AE22" s="195">
        <f>NHHProps_CAM*AvgNHHBill_CAM*(Y22+AB22)</f>
        <v>302145.03195073287</v>
      </c>
      <c r="AF22" s="286">
        <f t="shared" si="12"/>
        <v>34.092373314492129</v>
      </c>
      <c r="AG22" s="195">
        <f t="shared" si="12"/>
        <v>60.18018505130911</v>
      </c>
      <c r="AH22" s="287">
        <f t="shared" si="12"/>
        <v>86.267996788126098</v>
      </c>
    </row>
    <row r="23" spans="1:34" x14ac:dyDescent="0.35">
      <c r="A23" s="7" t="s">
        <v>141</v>
      </c>
      <c r="B23" s="7" t="s">
        <v>453</v>
      </c>
      <c r="C23" s="7" t="s">
        <v>432</v>
      </c>
      <c r="D23" s="7" t="s">
        <v>475</v>
      </c>
      <c r="E23" s="496">
        <f>1/80</f>
        <v>1.2500000000000001E-2</v>
      </c>
      <c r="F23" s="497">
        <f>1/100</f>
        <v>0.01</v>
      </c>
      <c r="G23" s="497">
        <f>1/120</f>
        <v>8.3333333333333332E-3</v>
      </c>
      <c r="H23" s="31">
        <v>1.3101072761519508</v>
      </c>
      <c r="I23" s="31">
        <v>1.4255548334023851</v>
      </c>
      <c r="J23" s="31">
        <v>1.5410023906528194</v>
      </c>
      <c r="K23" s="31">
        <v>0.18672413333359894</v>
      </c>
      <c r="L23" s="31">
        <v>0.20311814361894776</v>
      </c>
      <c r="M23" s="31">
        <v>0.21951215390429657</v>
      </c>
      <c r="N23" s="195">
        <f>HHProps_SSW*(H23+K23)</f>
        <v>807446.24503865652</v>
      </c>
      <c r="O23" s="195">
        <f>HHProps_SSW*(I23+L23)</f>
        <v>878566.46470545675</v>
      </c>
      <c r="P23" s="195">
        <f>HHProps_SSW*(J23+M23)</f>
        <v>949686.68437225698</v>
      </c>
      <c r="Q23" s="286">
        <f t="shared" si="11"/>
        <v>340.32067227339428</v>
      </c>
      <c r="R23" s="195">
        <f t="shared" si="11"/>
        <v>370.29626646056914</v>
      </c>
      <c r="S23" s="287">
        <f t="shared" si="11"/>
        <v>400.27186064774401</v>
      </c>
      <c r="T23" s="496">
        <f>1/80</f>
        <v>1.2500000000000001E-2</v>
      </c>
      <c r="U23" s="497">
        <f>1/100</f>
        <v>0.01</v>
      </c>
      <c r="V23" s="497">
        <f>1/120</f>
        <v>8.3333333333333332E-3</v>
      </c>
      <c r="W23" s="31">
        <v>1.1578042781221995</v>
      </c>
      <c r="X23" s="31">
        <v>1.309191820402853</v>
      </c>
      <c r="Y23" s="31">
        <v>1.4605793626835064</v>
      </c>
      <c r="Z23" s="31">
        <v>0.46242483584795102</v>
      </c>
      <c r="AA23" s="31">
        <v>0.52259303136744828</v>
      </c>
      <c r="AB23" s="31">
        <v>0.58276122688694532</v>
      </c>
      <c r="AC23" s="195">
        <f>HHProps_CAM*(W23+Z23)</f>
        <v>220159.97246449199</v>
      </c>
      <c r="AD23" s="195">
        <f>HHProps_CAM*(X23+AA23)</f>
        <v>248906.58922825207</v>
      </c>
      <c r="AE23" s="195">
        <f>HHProps_CAM*(Y23+AB23)</f>
        <v>277653.20599201211</v>
      </c>
      <c r="AF23" s="286">
        <f t="shared" si="12"/>
        <v>365.72942807341161</v>
      </c>
      <c r="AG23" s="195">
        <f t="shared" si="12"/>
        <v>413.48326629553054</v>
      </c>
      <c r="AH23" s="287">
        <f t="shared" si="12"/>
        <v>461.23710451764947</v>
      </c>
    </row>
    <row r="24" spans="1:34" x14ac:dyDescent="0.35">
      <c r="A24" s="7"/>
      <c r="B24" s="7"/>
      <c r="C24" s="7"/>
      <c r="D24" s="7" t="s">
        <v>22</v>
      </c>
      <c r="E24" s="496">
        <f>1/80</f>
        <v>1.2500000000000001E-2</v>
      </c>
      <c r="F24" s="497">
        <f>1/100</f>
        <v>0.01</v>
      </c>
      <c r="G24" s="497">
        <f>1/120</f>
        <v>8.3333333333333332E-3</v>
      </c>
      <c r="H24" s="105">
        <v>2.8055524476967926E-3</v>
      </c>
      <c r="I24" s="105">
        <v>3.2547973798216128E-3</v>
      </c>
      <c r="J24" s="105">
        <v>3.7040423119464329E-3</v>
      </c>
      <c r="K24" s="105">
        <v>6.8521584744180367E-4</v>
      </c>
      <c r="L24" s="105">
        <v>7.948008279647506E-4</v>
      </c>
      <c r="M24" s="105">
        <v>9.0438580848769797E-4</v>
      </c>
      <c r="N24" s="195">
        <f>NHHProps_SSW*AvgNHHBill_SSW*(H24+K24)</f>
        <v>463109.45022354217</v>
      </c>
      <c r="O24" s="195">
        <f>NHHProps_SSW*AvgNHHBill_SSW*(I24+L24)</f>
        <v>537247.68906775117</v>
      </c>
      <c r="P24" s="195">
        <f>NHHProps_SSW*AvgNHHBill_SSW*(J24+M24)</f>
        <v>611385.92791196029</v>
      </c>
      <c r="Q24" s="286">
        <f t="shared" si="11"/>
        <v>195.19035527707794</v>
      </c>
      <c r="R24" s="195">
        <f t="shared" si="11"/>
        <v>226.43797756730081</v>
      </c>
      <c r="S24" s="287">
        <f t="shared" si="11"/>
        <v>257.68559985752375</v>
      </c>
      <c r="T24" s="496">
        <f>1/80</f>
        <v>1.2500000000000001E-2</v>
      </c>
      <c r="U24" s="497">
        <f>1/100</f>
        <v>0.01</v>
      </c>
      <c r="V24" s="497">
        <f>1/120</f>
        <v>8.3333333333333332E-3</v>
      </c>
      <c r="W24" s="105">
        <v>5.367193553620277E-6</v>
      </c>
      <c r="X24" s="105">
        <v>9.4713974082152442E-6</v>
      </c>
      <c r="Y24" s="105">
        <v>1.3575601262810212E-5</v>
      </c>
      <c r="Z24" s="105">
        <v>3.5316956104929938E-4</v>
      </c>
      <c r="AA24" s="105">
        <v>6.2354630531377838E-4</v>
      </c>
      <c r="AB24" s="105">
        <v>8.9392304957825732E-4</v>
      </c>
      <c r="AC24" s="195">
        <f>NHHProps_CAM*AvgNHHBill_CAM*(W24+Z24)</f>
        <v>15772.404713207223</v>
      </c>
      <c r="AD24" s="195">
        <f>NHHProps_CAM*AvgNHHBill_CAM*(X24+AA24)</f>
        <v>27847.107081151327</v>
      </c>
      <c r="AE24" s="195">
        <f>NHHProps_CAM*AvgNHHBill_CAM*(Y24+AB24)</f>
        <v>39921.809449095432</v>
      </c>
      <c r="AF24" s="286">
        <f t="shared" si="12"/>
        <v>26.201095914626386</v>
      </c>
      <c r="AG24" s="195">
        <f t="shared" si="12"/>
        <v>46.25957403737916</v>
      </c>
      <c r="AH24" s="287">
        <f t="shared" si="12"/>
        <v>66.318052160131941</v>
      </c>
    </row>
    <row r="25" spans="1:34" x14ac:dyDescent="0.35">
      <c r="A25" s="7" t="s">
        <v>40</v>
      </c>
      <c r="B25" s="7" t="s">
        <v>484</v>
      </c>
      <c r="C25" s="7" t="s">
        <v>148</v>
      </c>
      <c r="D25" s="7" t="s">
        <v>475</v>
      </c>
      <c r="E25" s="107">
        <v>70.5</v>
      </c>
      <c r="F25" s="107">
        <v>52.875</v>
      </c>
      <c r="G25" s="107">
        <v>35.25</v>
      </c>
      <c r="H25" s="31">
        <v>1.1133669909056221</v>
      </c>
      <c r="I25" s="31">
        <v>1.2301339708448666</v>
      </c>
      <c r="J25" s="31">
        <v>1.3469009507841112</v>
      </c>
      <c r="K25" s="31">
        <v>0.39939968889109578</v>
      </c>
      <c r="L25" s="31">
        <v>0.44133293088857806</v>
      </c>
      <c r="M25" s="31">
        <v>0.48326617288606033</v>
      </c>
      <c r="N25" s="195">
        <f>HHProps_SSW*(H25+K25)</f>
        <v>816042.31944950204</v>
      </c>
      <c r="O25" s="195">
        <f>HHProps_SSW*(I25+L25)</f>
        <v>901651.09107038425</v>
      </c>
      <c r="P25" s="195">
        <f>HHProps_SSW*(J25+M25)</f>
        <v>987259.86269126635</v>
      </c>
      <c r="Q25" s="286">
        <f>N25/($E25-$G25)</f>
        <v>23150.136721971689</v>
      </c>
      <c r="R25" s="195">
        <f>O25/(($E25-$G25))</f>
        <v>25578.754356606645</v>
      </c>
      <c r="S25" s="287">
        <f>P25/(($E25-$G25))</f>
        <v>28007.371991241598</v>
      </c>
      <c r="T25" s="483">
        <v>13.5</v>
      </c>
      <c r="U25" s="483">
        <v>10.125</v>
      </c>
      <c r="V25" s="483">
        <v>6.75</v>
      </c>
      <c r="W25" s="31">
        <v>2.8055796683559659</v>
      </c>
      <c r="X25" s="31">
        <v>3.1349723048319831</v>
      </c>
      <c r="Y25" s="115">
        <v>3.4643649413080002</v>
      </c>
      <c r="Z25" s="115">
        <v>4.6058366710095555E-3</v>
      </c>
      <c r="AA25" s="31">
        <v>5.1405797633106154E-3</v>
      </c>
      <c r="AB25" s="31">
        <v>5.6753228556116753E-3</v>
      </c>
      <c r="AC25" s="195">
        <f>HHProps_CAM*(W25+Z25)</f>
        <v>381853.62679407548</v>
      </c>
      <c r="AD25" s="195">
        <f>HHProps_CAM*(X25+AA25)</f>
        <v>426684.81898457772</v>
      </c>
      <c r="AE25" s="195">
        <f>HHProps_CAM*(Y25+AB25)</f>
        <v>471516.01117507991</v>
      </c>
      <c r="AF25" s="286">
        <f>AC25/($T25-$V25)</f>
        <v>56570.907673196365</v>
      </c>
      <c r="AG25" s="195">
        <f>AD25/(($T25-$V25))</f>
        <v>63212.565775492993</v>
      </c>
      <c r="AH25" s="287">
        <f>AE25/(($T25-$V25))</f>
        <v>69854.223877789613</v>
      </c>
    </row>
    <row r="26" spans="1:34" x14ac:dyDescent="0.35">
      <c r="A26" s="7"/>
      <c r="B26" s="7"/>
      <c r="C26" s="7"/>
      <c r="D26" s="7" t="s">
        <v>22</v>
      </c>
      <c r="E26" s="107">
        <v>70.5</v>
      </c>
      <c r="F26" s="107">
        <v>52.875</v>
      </c>
      <c r="G26" s="107">
        <v>35.25</v>
      </c>
      <c r="H26" s="105">
        <v>1.202561017672666E-2</v>
      </c>
      <c r="I26" s="105">
        <v>1.8366495603833657E-2</v>
      </c>
      <c r="J26" s="105">
        <v>2.4707381030940653E-2</v>
      </c>
      <c r="K26" s="105">
        <v>4.3779828845979495E-3</v>
      </c>
      <c r="L26" s="105">
        <v>6.6875105310339848E-3</v>
      </c>
      <c r="M26" s="105">
        <v>8.9970381774700237E-3</v>
      </c>
      <c r="N26" s="195">
        <f>NHHProps_SSW*AvgNHHBill_SSW*(H26+K26)</f>
        <v>2176214.0371505627</v>
      </c>
      <c r="O26" s="195">
        <f>NHHProps_SSW*AvgNHHBill_SSW*(I26+L26)</f>
        <v>3323837.6271419455</v>
      </c>
      <c r="P26" s="195">
        <f>NHHProps_SSW*AvgNHHBill_SSW*(J26+M26)</f>
        <v>4471461.2171333292</v>
      </c>
      <c r="Q26" s="286">
        <f>N26/($E26-$G26)</f>
        <v>61736.568429803199</v>
      </c>
      <c r="R26" s="195">
        <f>O26/(($E26-$G26))</f>
        <v>94293.266018211216</v>
      </c>
      <c r="S26" s="287">
        <f>P26/(($E26-$G26))</f>
        <v>126849.96360661928</v>
      </c>
      <c r="T26" s="483">
        <v>13.5</v>
      </c>
      <c r="U26" s="483">
        <v>10.125</v>
      </c>
      <c r="V26" s="483">
        <v>6.75</v>
      </c>
      <c r="W26" s="105">
        <v>6.731529552804788E-2</v>
      </c>
      <c r="X26" s="105">
        <v>7.1569068986342493E-2</v>
      </c>
      <c r="Y26" s="105">
        <v>7.5822842444637106E-2</v>
      </c>
      <c r="Z26" s="105">
        <v>2.9370006353683031E-2</v>
      </c>
      <c r="AA26" s="105">
        <v>3.5284810800562588E-2</v>
      </c>
      <c r="AB26" s="105">
        <v>4.1199615247442145E-2</v>
      </c>
      <c r="AC26" s="195">
        <f>NHHProps_CAM*AvgNHHBill_CAM*(W26+Z26)</f>
        <v>4253286.9824912995</v>
      </c>
      <c r="AD26" s="195">
        <f>NHHProps_CAM*AvgNHHBill_CAM*(X26+AA26)</f>
        <v>4700613.2998609329</v>
      </c>
      <c r="AE26" s="195">
        <f>NHHProps_CAM*AvgNHHBill_CAM*(Y26+AB26)</f>
        <v>5147939.6172305662</v>
      </c>
      <c r="AF26" s="286">
        <f>AC26/($T26-$V26)</f>
        <v>630116.58999871102</v>
      </c>
      <c r="AG26" s="195">
        <f>AD26/(($T26-$V26))</f>
        <v>696387.155534953</v>
      </c>
      <c r="AH26" s="287">
        <f>AE26/(($T26-$V26))</f>
        <v>762657.72107119497</v>
      </c>
    </row>
    <row r="27" spans="1:34" x14ac:dyDescent="0.35">
      <c r="A27" s="7" t="s">
        <v>455</v>
      </c>
      <c r="B27" s="7" t="s">
        <v>485</v>
      </c>
      <c r="C27" s="7" t="s">
        <v>457</v>
      </c>
      <c r="D27" s="7" t="s">
        <v>475</v>
      </c>
      <c r="E27" s="499">
        <v>0.33</v>
      </c>
      <c r="F27" s="500">
        <v>0.4</v>
      </c>
      <c r="G27" s="500">
        <v>0.5</v>
      </c>
      <c r="H27" s="31">
        <v>3.6014494095149354</v>
      </c>
      <c r="I27" s="31">
        <v>3.9796847923577343</v>
      </c>
      <c r="J27" s="31">
        <v>4.3579201752005332</v>
      </c>
      <c r="K27" s="31">
        <v>0.47465145207669757</v>
      </c>
      <c r="L27" s="31">
        <v>0.52424962900217631</v>
      </c>
      <c r="M27" s="31">
        <v>0.57384780592765505</v>
      </c>
      <c r="N27" s="195">
        <f>HHProps_SSW*(H27+K27)</f>
        <v>2198799.6204744056</v>
      </c>
      <c r="O27" s="195">
        <f>HHProps_SSW*(I27+L27)</f>
        <v>2429588.8724551261</v>
      </c>
      <c r="P27" s="195">
        <f>HHProps_SSW*(J27+M27)</f>
        <v>2660378.1244358467</v>
      </c>
      <c r="Q27" s="286">
        <f>-N27/(($E27-$G27)*HHProps_SSW)</f>
        <v>23.977063891715488</v>
      </c>
      <c r="R27" s="195">
        <f>-O27/(($E27-$G27)*HHProps_SSW)</f>
        <v>26.493731890352418</v>
      </c>
      <c r="S27" s="287">
        <f>-P27/(($E27-$G27)*HHProps_SSW)</f>
        <v>29.010399888989348</v>
      </c>
      <c r="T27" s="532">
        <v>0.7</v>
      </c>
      <c r="U27" s="542">
        <v>0.8</v>
      </c>
      <c r="V27" s="542">
        <v>0.95</v>
      </c>
      <c r="W27" s="31">
        <v>1.2861932377052572</v>
      </c>
      <c r="X27" s="31">
        <v>1.4360208416640492</v>
      </c>
      <c r="Y27" s="31">
        <v>1.5858484456228412</v>
      </c>
      <c r="Z27" s="31">
        <v>0.82228239805643</v>
      </c>
      <c r="AA27" s="31">
        <v>0.918140410423955</v>
      </c>
      <c r="AB27" s="31">
        <v>1.01399842279148</v>
      </c>
      <c r="AC27" s="195">
        <f>HHProps_CAM*(W27+Z27)</f>
        <v>286503.88633856957</v>
      </c>
      <c r="AD27" s="195">
        <f>HHProps_CAM*(X27+AA27)</f>
        <v>319888.13925622217</v>
      </c>
      <c r="AE27" s="195">
        <f>HHProps_CAM*(Y27+AB27)</f>
        <v>353272.39217387477</v>
      </c>
      <c r="AF27" s="286">
        <f>-AC27/(($T27-$V27)*HHProps_CAM)</f>
        <v>8.4339025430467487</v>
      </c>
      <c r="AG27" s="195">
        <f>-AD27/(($T27-$V27)*HHProps_CAM)</f>
        <v>9.4166450083520168</v>
      </c>
      <c r="AH27" s="287">
        <f>-AE27/(($T27-$V27)*HHProps_CAM)</f>
        <v>10.399387473657285</v>
      </c>
    </row>
    <row r="28" spans="1:34" x14ac:dyDescent="0.35">
      <c r="A28" s="7"/>
      <c r="B28" s="482" t="s">
        <v>486</v>
      </c>
      <c r="C28" s="7"/>
      <c r="D28" s="7" t="s">
        <v>22</v>
      </c>
      <c r="E28" s="535"/>
      <c r="F28" s="536"/>
      <c r="G28" s="536"/>
      <c r="H28" s="568"/>
      <c r="I28" s="568"/>
      <c r="J28" s="568"/>
      <c r="K28" s="568"/>
      <c r="L28" s="568"/>
      <c r="M28" s="568"/>
      <c r="N28" s="195"/>
      <c r="O28" s="195"/>
      <c r="P28" s="195"/>
      <c r="Q28" s="538"/>
      <c r="R28" s="537"/>
      <c r="S28" s="539"/>
      <c r="T28" s="540"/>
      <c r="U28" s="540"/>
      <c r="V28" s="540"/>
      <c r="W28" s="541"/>
      <c r="X28" s="541"/>
      <c r="Y28" s="541"/>
      <c r="Z28" s="541"/>
      <c r="AA28" s="541"/>
      <c r="AB28" s="541"/>
      <c r="AC28" s="195"/>
      <c r="AD28" s="195"/>
      <c r="AE28" s="195"/>
      <c r="AF28" s="538"/>
      <c r="AG28" s="537"/>
      <c r="AH28" s="539"/>
    </row>
    <row r="29" spans="1:34" x14ac:dyDescent="0.35">
      <c r="A29" s="53" t="s">
        <v>461</v>
      </c>
      <c r="B29" s="7" t="s">
        <v>487</v>
      </c>
      <c r="C29" s="7" t="s">
        <v>463</v>
      </c>
      <c r="D29" s="7" t="s">
        <v>475</v>
      </c>
      <c r="E29" s="499">
        <v>0.11</v>
      </c>
      <c r="F29" s="500">
        <v>0.14000000000000001</v>
      </c>
      <c r="G29" s="500">
        <v>0.18</v>
      </c>
      <c r="H29" s="31">
        <v>0.73632440442085445</v>
      </c>
      <c r="I29" s="31">
        <v>0.81357078115486769</v>
      </c>
      <c r="J29" s="31">
        <v>0.89081715788888094</v>
      </c>
      <c r="K29" s="31">
        <v>0.76369701627435893</v>
      </c>
      <c r="L29" s="31">
        <v>0.84359983447308762</v>
      </c>
      <c r="M29" s="31">
        <v>0.9235026526718163</v>
      </c>
      <c r="N29" s="195">
        <f>HHProps_SSW*(H29+K29)</f>
        <v>809167.05511556379</v>
      </c>
      <c r="O29" s="195">
        <f>HHProps_SSW*(I29+L29)</f>
        <v>893939.14538249734</v>
      </c>
      <c r="P29" s="195">
        <f>HHProps_SSW*(J29+M29)</f>
        <v>978711.23564943089</v>
      </c>
      <c r="Q29" s="286">
        <f t="shared" ref="Q29:S30" si="13">-(N29/($E29-$G29))/100</f>
        <v>115595.29358793769</v>
      </c>
      <c r="R29" s="195">
        <f>-(O29/($E29-$G29))/100</f>
        <v>127705.59219749963</v>
      </c>
      <c r="S29" s="287">
        <f t="shared" si="13"/>
        <v>139815.89080706157</v>
      </c>
      <c r="T29" s="499">
        <v>0.11</v>
      </c>
      <c r="U29" s="500">
        <v>0.14000000000000001</v>
      </c>
      <c r="V29" s="500">
        <v>0.18</v>
      </c>
      <c r="W29" s="31">
        <v>8.7395671526669227E-3</v>
      </c>
      <c r="X29" s="31">
        <v>9.7726891758161544E-3</v>
      </c>
      <c r="Y29" s="31">
        <v>1.0805811198965386E-2</v>
      </c>
      <c r="Z29" s="31">
        <v>0.10956559734558968</v>
      </c>
      <c r="AA29" s="31">
        <v>0.12232845270381847</v>
      </c>
      <c r="AB29" s="31">
        <v>0.13509130806204725</v>
      </c>
      <c r="AC29" s="195">
        <f>HHProps_CAM*(W29+Z29)</f>
        <v>16075.542362352104</v>
      </c>
      <c r="AD29" s="195">
        <f>HHProps_CAM*(X29+AA29)</f>
        <v>17950.16736088851</v>
      </c>
      <c r="AE29" s="195">
        <f>HHProps_CAM*(Y29+AB29)</f>
        <v>19824.792359424922</v>
      </c>
      <c r="AF29" s="286">
        <f t="shared" ref="AF29:AH30" si="14">-(AC29/($T29-$V29))/100</f>
        <v>2296.5060517645866</v>
      </c>
      <c r="AG29" s="195">
        <f t="shared" si="14"/>
        <v>2564.309622984073</v>
      </c>
      <c r="AH29" s="287">
        <f t="shared" si="14"/>
        <v>2832.1131942035609</v>
      </c>
    </row>
    <row r="30" spans="1:34" x14ac:dyDescent="0.35">
      <c r="A30" s="7"/>
      <c r="B30" s="7"/>
      <c r="C30" s="7"/>
      <c r="D30" s="7" t="s">
        <v>22</v>
      </c>
      <c r="E30" s="499">
        <v>0.11</v>
      </c>
      <c r="F30" s="500">
        <v>0.14000000000000001</v>
      </c>
      <c r="G30" s="500">
        <v>0.18</v>
      </c>
      <c r="H30" s="105">
        <v>7.8829222949999347E-3</v>
      </c>
      <c r="I30" s="105">
        <v>1.2065378629958141E-2</v>
      </c>
      <c r="J30" s="105">
        <v>1.6247834964916347E-2</v>
      </c>
      <c r="K30" s="105">
        <v>2.5432230107452648E-3</v>
      </c>
      <c r="L30" s="105">
        <v>3.8869975294432441E-3</v>
      </c>
      <c r="M30" s="105">
        <v>5.2307720481412252E-3</v>
      </c>
      <c r="N30" s="195">
        <f>NHHProps_SSW*AvgNHHBill_SSW*(H30+K30)</f>
        <v>1383204.5017765115</v>
      </c>
      <c r="O30" s="195">
        <f>NHHProps_SSW*AvgNHHBill_SSW*(I30+L30)</f>
        <v>2116352.4841302014</v>
      </c>
      <c r="P30" s="195">
        <f>NHHProps_SSW*AvgNHHBill_SSW*(J30+M30)</f>
        <v>2849500.4664838919</v>
      </c>
      <c r="Q30" s="286">
        <f t="shared" si="13"/>
        <v>197600.64311093025</v>
      </c>
      <c r="R30" s="195">
        <f t="shared" si="13"/>
        <v>302336.06916145736</v>
      </c>
      <c r="S30" s="287">
        <f t="shared" si="13"/>
        <v>407071.49521198461</v>
      </c>
      <c r="T30" s="499">
        <v>0.11</v>
      </c>
      <c r="U30" s="500">
        <v>0.14000000000000001</v>
      </c>
      <c r="V30" s="500">
        <v>0.18</v>
      </c>
      <c r="W30" s="105">
        <v>0</v>
      </c>
      <c r="X30" s="105">
        <v>1.8975572628403961E-4</v>
      </c>
      <c r="Y30" s="105">
        <v>1.4252903078192122E-3</v>
      </c>
      <c r="Z30" s="105">
        <v>0</v>
      </c>
      <c r="AA30" s="105">
        <v>2.794830386975671E-3</v>
      </c>
      <c r="AB30" s="105">
        <v>2.0992486824614534E-2</v>
      </c>
      <c r="AC30" s="195">
        <f>NHHProps_CAM*AvgNHHBill_CAM*(W30+Z30)</f>
        <v>0</v>
      </c>
      <c r="AD30" s="195">
        <f>NHHProps_CAM*AvgNHHBill_CAM*(X30+AA30)</f>
        <v>131295.04709185247</v>
      </c>
      <c r="AE30" s="195">
        <f>NHHProps_CAM*AvgNHHBill_CAM*(Y30+AB30)</f>
        <v>986181.33054397826</v>
      </c>
      <c r="AF30" s="286">
        <f t="shared" si="14"/>
        <v>0</v>
      </c>
      <c r="AG30" s="195">
        <f t="shared" si="14"/>
        <v>18756.43529883607</v>
      </c>
      <c r="AH30" s="287">
        <f t="shared" si="14"/>
        <v>140883.04722056835</v>
      </c>
    </row>
    <row r="31" spans="1:34" x14ac:dyDescent="0.35">
      <c r="A31" s="7" t="s">
        <v>464</v>
      </c>
      <c r="B31" s="7" t="s">
        <v>488</v>
      </c>
      <c r="C31" s="7" t="s">
        <v>155</v>
      </c>
      <c r="D31" s="7" t="s">
        <v>475</v>
      </c>
      <c r="E31" s="508">
        <v>0</v>
      </c>
      <c r="F31" s="509">
        <v>25</v>
      </c>
      <c r="G31" s="509">
        <v>50</v>
      </c>
      <c r="H31" s="31">
        <v>0.2816130727345566</v>
      </c>
      <c r="I31" s="31">
        <v>0.31132700138064179</v>
      </c>
      <c r="J31" s="31">
        <v>0.34104093002672697</v>
      </c>
      <c r="K31" s="31">
        <v>0.12019781107718563</v>
      </c>
      <c r="L31" s="31">
        <v>0.13284027031511708</v>
      </c>
      <c r="M31" s="31">
        <v>0.14548272955304853</v>
      </c>
      <c r="N31" s="195">
        <f>HHProps_SSW*(H31+K31)</f>
        <v>216751.65773075479</v>
      </c>
      <c r="O31" s="195">
        <f>HHProps_SSW*(I31+L31)</f>
        <v>239600.26054174508</v>
      </c>
      <c r="P31" s="195">
        <f>HHProps_SSW*(J31+M31)</f>
        <v>262448.86335273535</v>
      </c>
      <c r="Q31" s="286">
        <f t="shared" ref="Q31:Q36" si="15">-N31/($E31-$G31)</f>
        <v>4335.0331546150956</v>
      </c>
      <c r="R31" s="195">
        <f t="shared" ref="R31:R39" si="16">-O31/(($E31-$G31))</f>
        <v>4792.0052108349018</v>
      </c>
      <c r="S31" s="287">
        <f t="shared" ref="S31:S39" si="17">-P31/(($E31-$G31))</f>
        <v>5248.9772670547072</v>
      </c>
      <c r="T31" s="508">
        <v>0</v>
      </c>
      <c r="U31" s="509">
        <v>4</v>
      </c>
      <c r="V31" s="509">
        <v>9</v>
      </c>
      <c r="W31" s="31">
        <v>0.14796576648039658</v>
      </c>
      <c r="X31" s="31">
        <v>0.16524275196632074</v>
      </c>
      <c r="Y31" s="31">
        <v>0.1825197374522449</v>
      </c>
      <c r="Z31" s="31">
        <v>1.9833281841484279E-2</v>
      </c>
      <c r="AA31" s="31">
        <v>2.2165878650139109E-2</v>
      </c>
      <c r="AB31" s="31">
        <v>2.4498475458793939E-2</v>
      </c>
      <c r="AC31" s="195">
        <f>HHProps_CAM*(W31+Z31)</f>
        <v>22800.870284073815</v>
      </c>
      <c r="AD31" s="195">
        <f>HHProps_CAM*(X31+AA31)</f>
        <v>25465.459545425798</v>
      </c>
      <c r="AE31" s="195">
        <f>HHProps_CAM*(Y31+AB31)</f>
        <v>28130.048806777781</v>
      </c>
      <c r="AF31" s="286">
        <f t="shared" ref="AF31:AF36" si="18">-AC31/($T31-$V31)</f>
        <v>2533.4300315637574</v>
      </c>
      <c r="AG31" s="195">
        <f t="shared" ref="AG31:AG39" si="19">-AD31/(($T31-$V31))</f>
        <v>2829.4955050473109</v>
      </c>
      <c r="AH31" s="287">
        <f t="shared" ref="AH31:AH39" si="20">-AE31/(($T31-$V31))</f>
        <v>3125.5609785308643</v>
      </c>
    </row>
    <row r="32" spans="1:34" x14ac:dyDescent="0.35">
      <c r="A32" s="7"/>
      <c r="B32" s="482" t="s">
        <v>489</v>
      </c>
      <c r="C32" s="7"/>
      <c r="D32" s="7" t="s">
        <v>22</v>
      </c>
      <c r="E32" s="508">
        <v>0</v>
      </c>
      <c r="F32" s="509">
        <v>25</v>
      </c>
      <c r="G32" s="509">
        <v>50</v>
      </c>
      <c r="H32" s="105">
        <v>2.3621667444002399E-4</v>
      </c>
      <c r="I32" s="105">
        <v>3.6163448555426433E-4</v>
      </c>
      <c r="J32" s="105">
        <v>4.8705229666850467E-4</v>
      </c>
      <c r="K32" s="105">
        <v>9.5856085517408911E-4</v>
      </c>
      <c r="L32" s="105">
        <v>1.464595009466312E-3</v>
      </c>
      <c r="M32" s="105">
        <v>1.9706291637585347E-3</v>
      </c>
      <c r="N32" s="195">
        <f>NHHProps_SSW*AvgNHHBill_SSW*(H32+K32)</f>
        <v>158507.44538089295</v>
      </c>
      <c r="O32" s="195">
        <f>NHHProps_SSW*AvgNHHBill_SSW*(I32+L32)</f>
        <v>242280.22770769923</v>
      </c>
      <c r="P32" s="195">
        <f>NHHProps_SSW*AvgNHHBill_SSW*(J32+M32)</f>
        <v>326053.01003450557</v>
      </c>
      <c r="Q32" s="286">
        <f t="shared" si="15"/>
        <v>3170.1489076178591</v>
      </c>
      <c r="R32" s="195">
        <f t="shared" si="16"/>
        <v>4845.6045541539843</v>
      </c>
      <c r="S32" s="287">
        <f t="shared" si="17"/>
        <v>6521.0602006901117</v>
      </c>
      <c r="T32" s="508">
        <v>0</v>
      </c>
      <c r="U32" s="509">
        <v>4</v>
      </c>
      <c r="V32" s="509">
        <v>9</v>
      </c>
      <c r="W32" s="105">
        <v>0</v>
      </c>
      <c r="X32" s="105">
        <v>1.500948855436721E-2</v>
      </c>
      <c r="Y32" s="116">
        <v>0.11273902396799217</v>
      </c>
      <c r="Z32" s="116">
        <v>0</v>
      </c>
      <c r="AA32" s="105">
        <v>5.3297158206472399E-3</v>
      </c>
      <c r="AB32" s="105">
        <v>4.0032471546339612E-2</v>
      </c>
      <c r="AC32" s="195">
        <f>NHHProps_CAM*AvgNHHBill_CAM*(W32+Z32)</f>
        <v>0</v>
      </c>
      <c r="AD32" s="195">
        <f>NHHProps_CAM*AvgNHHBill_CAM*(X32+AA32)</f>
        <v>894742.75322943565</v>
      </c>
      <c r="AE32" s="195">
        <f>NHHProps_CAM*AvgNHHBill_CAM*(Y32+AB32)</f>
        <v>6720576.9700307902</v>
      </c>
      <c r="AF32" s="286">
        <f t="shared" si="18"/>
        <v>0</v>
      </c>
      <c r="AG32" s="195">
        <f t="shared" si="19"/>
        <v>99415.861469937299</v>
      </c>
      <c r="AH32" s="287">
        <f t="shared" si="20"/>
        <v>746730.77444786555</v>
      </c>
    </row>
    <row r="33" spans="1:34" x14ac:dyDescent="0.35">
      <c r="A33" s="7" t="s">
        <v>156</v>
      </c>
      <c r="B33" s="7" t="s">
        <v>490</v>
      </c>
      <c r="C33" s="7" t="s">
        <v>491</v>
      </c>
      <c r="D33" s="7" t="s">
        <v>475</v>
      </c>
      <c r="E33" s="510">
        <v>0</v>
      </c>
      <c r="F33" s="510">
        <v>150</v>
      </c>
      <c r="G33" s="510">
        <v>200</v>
      </c>
      <c r="H33" s="31">
        <v>1.4509797654704093</v>
      </c>
      <c r="I33" s="31">
        <v>1.6031866034099231</v>
      </c>
      <c r="J33" s="31">
        <v>1.755393441349437</v>
      </c>
      <c r="K33" s="31">
        <v>0.91813211964563313</v>
      </c>
      <c r="L33" s="31">
        <v>1.0142326286036367</v>
      </c>
      <c r="M33" s="31">
        <v>1.1103331375616403</v>
      </c>
      <c r="N33" s="195">
        <f>HHProps_SSW*(H33+K33)</f>
        <v>1277986.6079713425</v>
      </c>
      <c r="O33" s="195">
        <f>HHProps_SSW*(I33+L33)</f>
        <v>1411932.7782596988</v>
      </c>
      <c r="P33" s="195">
        <f>HHProps_SSW*(J33+M33)</f>
        <v>1545878.9485480548</v>
      </c>
      <c r="Q33" s="286">
        <f t="shared" si="15"/>
        <v>6389.9330398567126</v>
      </c>
      <c r="R33" s="195">
        <f t="shared" si="16"/>
        <v>7059.6638912984936</v>
      </c>
      <c r="S33" s="287">
        <f t="shared" si="17"/>
        <v>7729.3947427402736</v>
      </c>
      <c r="T33" s="508">
        <v>0</v>
      </c>
      <c r="U33" s="509">
        <v>50</v>
      </c>
      <c r="V33" s="509">
        <v>100</v>
      </c>
      <c r="W33" s="31">
        <v>0.79933212187237435</v>
      </c>
      <c r="X33" s="31">
        <v>0.89295998455831449</v>
      </c>
      <c r="Y33" s="31">
        <v>0.98658784724425463</v>
      </c>
      <c r="Z33" s="31">
        <v>0.39639006719367442</v>
      </c>
      <c r="AA33" s="31">
        <v>0.44225505143140054</v>
      </c>
      <c r="AB33" s="31">
        <v>0.48812003566912665</v>
      </c>
      <c r="AC33" s="195">
        <f>HHProps_CAM*(W33+Z33)</f>
        <v>162477.12249467283</v>
      </c>
      <c r="AD33" s="195">
        <f>HHProps_CAM*(X33+AA33)</f>
        <v>181431.68952035447</v>
      </c>
      <c r="AE33" s="195">
        <f>HHProps_CAM*(Y33+AB33)</f>
        <v>200386.25654603608</v>
      </c>
      <c r="AF33" s="286">
        <f t="shared" si="18"/>
        <v>1624.7712249467284</v>
      </c>
      <c r="AG33" s="195">
        <f t="shared" si="19"/>
        <v>1814.3168952035446</v>
      </c>
      <c r="AH33" s="287">
        <f t="shared" si="20"/>
        <v>2003.8625654603609</v>
      </c>
    </row>
    <row r="34" spans="1:34" x14ac:dyDescent="0.35">
      <c r="A34" s="7"/>
      <c r="B34" s="482" t="s">
        <v>492</v>
      </c>
      <c r="C34" s="482" t="s">
        <v>493</v>
      </c>
      <c r="D34" s="7" t="s">
        <v>22</v>
      </c>
      <c r="E34" s="510">
        <v>0</v>
      </c>
      <c r="F34" s="510">
        <v>150</v>
      </c>
      <c r="G34" s="510">
        <v>200</v>
      </c>
      <c r="H34" s="105">
        <v>3.2839172281231579E-4</v>
      </c>
      <c r="I34" s="105">
        <v>5.0168071093816241E-4</v>
      </c>
      <c r="J34" s="105">
        <v>6.7496969906400903E-4</v>
      </c>
      <c r="K34" s="105">
        <v>4.7007988948026833E-3</v>
      </c>
      <c r="L34" s="105">
        <v>7.1944373918171357E-3</v>
      </c>
      <c r="M34" s="105">
        <v>9.688075888831589E-3</v>
      </c>
      <c r="N34" s="195">
        <f>NHHProps_SSW*AvgNHHBill_SSW*(H34+K34)</f>
        <v>667207.18909835478</v>
      </c>
      <c r="O34" s="195">
        <f>NHHProps_SSW*AvgNHHBill_SSW*(I34+L34)</f>
        <v>1021020.2230798441</v>
      </c>
      <c r="P34" s="195">
        <f>NHHProps_SSW*AvgNHHBill_SSW*(J34+M34)</f>
        <v>1374833.2570613336</v>
      </c>
      <c r="Q34" s="286">
        <f t="shared" si="15"/>
        <v>3336.0359454917739</v>
      </c>
      <c r="R34" s="195">
        <f t="shared" si="16"/>
        <v>5105.1011153992204</v>
      </c>
      <c r="S34" s="287">
        <f t="shared" si="17"/>
        <v>6874.1662853066682</v>
      </c>
      <c r="T34" s="508">
        <v>0</v>
      </c>
      <c r="U34" s="509">
        <v>50</v>
      </c>
      <c r="V34" s="509">
        <v>100</v>
      </c>
      <c r="W34" s="105">
        <v>6.6197381492701629E-2</v>
      </c>
      <c r="X34" s="105">
        <v>7.0247642217123304E-2</v>
      </c>
      <c r="Y34" s="105">
        <v>7.429790294154498E-2</v>
      </c>
      <c r="Z34" s="105">
        <v>1.5343884712304412E-5</v>
      </c>
      <c r="AA34" s="105">
        <v>1.8343670792314581E-5</v>
      </c>
      <c r="AB34" s="105">
        <v>2.1343456872324751E-5</v>
      </c>
      <c r="AC34" s="195">
        <f>NHHProps_CAM*AvgNHHBill_CAM*(W34+Z34)</f>
        <v>2912766.6505868314</v>
      </c>
      <c r="AD34" s="195">
        <f>NHHProps_CAM*AvgNHHBill_CAM*(X34+AA34)</f>
        <v>3091073.7958347313</v>
      </c>
      <c r="AE34" s="195">
        <f>NHHProps_CAM*AvgNHHBill_CAM*(Y34+AB34)</f>
        <v>3269380.9410826317</v>
      </c>
      <c r="AF34" s="286">
        <f t="shared" si="18"/>
        <v>29127.666505868314</v>
      </c>
      <c r="AG34" s="195">
        <f t="shared" si="19"/>
        <v>30910.737958347312</v>
      </c>
      <c r="AH34" s="287">
        <f t="shared" si="20"/>
        <v>32693.809410826318</v>
      </c>
    </row>
    <row r="35" spans="1:34" x14ac:dyDescent="0.35">
      <c r="A35" s="123" t="s">
        <v>494</v>
      </c>
      <c r="D35" s="7" t="s">
        <v>475</v>
      </c>
      <c r="E35" s="508">
        <v>325</v>
      </c>
      <c r="F35" s="509">
        <v>400</v>
      </c>
      <c r="G35" s="509">
        <v>475</v>
      </c>
      <c r="H35" s="31">
        <v>0.27124810015665229</v>
      </c>
      <c r="I35" s="31">
        <v>0.28751420250015919</v>
      </c>
      <c r="J35" s="31">
        <v>0.30378030484366608</v>
      </c>
      <c r="K35" s="31">
        <v>1.0879889115714605</v>
      </c>
      <c r="L35" s="31">
        <v>1.1529072937934399</v>
      </c>
      <c r="M35" s="31">
        <v>1.2178256760154194</v>
      </c>
      <c r="N35" s="195">
        <f>HHProps_SSW*(H35+K35)</f>
        <v>733222.73589557793</v>
      </c>
      <c r="O35" s="195">
        <f>HHProps_SSW*(I35+L35)</f>
        <v>777016.65069613024</v>
      </c>
      <c r="P35" s="195">
        <f>HHProps_SSW*(J35+M35)</f>
        <v>820810.56549668242</v>
      </c>
      <c r="Q35" s="286">
        <f t="shared" si="15"/>
        <v>4888.1515726371863</v>
      </c>
      <c r="R35" s="195">
        <f t="shared" si="16"/>
        <v>5180.1110046408685</v>
      </c>
      <c r="S35" s="287">
        <f t="shared" si="17"/>
        <v>5472.0704366445498</v>
      </c>
      <c r="T35" s="569">
        <v>200</v>
      </c>
      <c r="U35" s="569">
        <v>225</v>
      </c>
      <c r="V35" s="569">
        <v>300</v>
      </c>
      <c r="W35" s="31">
        <v>5.0199873350307234E-2</v>
      </c>
      <c r="X35" s="31">
        <v>5.4061544184371521E-2</v>
      </c>
      <c r="Y35" s="31">
        <v>5.7923215018435809E-2</v>
      </c>
      <c r="Z35" s="31">
        <v>0.31525989949759475</v>
      </c>
      <c r="AA35" s="31">
        <v>0.33585097781762191</v>
      </c>
      <c r="AB35" s="31">
        <v>0.35644205613764912</v>
      </c>
      <c r="AC35" s="195">
        <f>HHProps_CAM*(W35+Z35)</f>
        <v>49659.40485411862</v>
      </c>
      <c r="AD35" s="195">
        <f>HHProps_CAM*(X35+AA35)</f>
        <v>52982.093314674872</v>
      </c>
      <c r="AE35" s="195">
        <f>HHProps_CAM*(Y35+AB35)</f>
        <v>56304.781775231131</v>
      </c>
      <c r="AF35" s="286">
        <f t="shared" si="18"/>
        <v>496.59404854118623</v>
      </c>
      <c r="AG35" s="195">
        <f t="shared" si="19"/>
        <v>529.82093314674876</v>
      </c>
      <c r="AH35" s="287">
        <f t="shared" si="20"/>
        <v>563.04781775231129</v>
      </c>
    </row>
    <row r="36" spans="1:34" x14ac:dyDescent="0.35">
      <c r="D36" s="7" t="s">
        <v>22</v>
      </c>
      <c r="E36" s="508">
        <v>325</v>
      </c>
      <c r="F36" s="509">
        <v>400</v>
      </c>
      <c r="G36" s="509">
        <v>475</v>
      </c>
      <c r="H36" s="105">
        <v>2.735174932810021E-3</v>
      </c>
      <c r="I36" s="105">
        <v>3.277718847688002E-3</v>
      </c>
      <c r="J36" s="105">
        <v>3.8202627625659831E-3</v>
      </c>
      <c r="K36" s="105">
        <v>1.4877798936108232E-3</v>
      </c>
      <c r="L36" s="105">
        <v>1.7821328887994677E-3</v>
      </c>
      <c r="M36" s="105">
        <v>2.0764858839881122E-3</v>
      </c>
      <c r="N36" s="195">
        <f>NHHProps_SSW*AvgNHHBill_SSW*(H36+K36)</f>
        <v>560246.37633674941</v>
      </c>
      <c r="O36" s="195">
        <f>NHHProps_SSW*AvgNHHBill_SSW*(I36+L36)</f>
        <v>671274.90505763039</v>
      </c>
      <c r="P36" s="195">
        <f>NHHProps_SSW*AvgNHHBill_SSW*(J36+M36)</f>
        <v>782303.43377851124</v>
      </c>
      <c r="Q36" s="286">
        <f t="shared" si="15"/>
        <v>3734.9758422449959</v>
      </c>
      <c r="R36" s="195">
        <f t="shared" si="16"/>
        <v>4475.1660337175363</v>
      </c>
      <c r="S36" s="287">
        <f t="shared" si="17"/>
        <v>5215.3562251900748</v>
      </c>
      <c r="T36" s="569">
        <v>200</v>
      </c>
      <c r="U36" s="569">
        <v>225</v>
      </c>
      <c r="V36" s="569">
        <v>300</v>
      </c>
      <c r="W36" s="105">
        <v>1.1380368328158027E-3</v>
      </c>
      <c r="X36" s="105">
        <v>1.5217633807042999E-3</v>
      </c>
      <c r="Y36" s="105">
        <v>1.9054899285927971E-3</v>
      </c>
      <c r="Z36" s="105">
        <v>7.4338850916148705E-5</v>
      </c>
      <c r="AA36" s="105">
        <v>9.9639268114638671E-5</v>
      </c>
      <c r="AB36" s="105">
        <v>1.2493968531312842E-4</v>
      </c>
      <c r="AC36" s="195">
        <f>NHHProps_CAM*AvgNHHBill_CAM*(W36+Z36)</f>
        <v>53333.667198079624</v>
      </c>
      <c r="AD36" s="195">
        <f>NHHProps_CAM*AvgNHHBill_CAM*(X36+AA36)</f>
        <v>71327.188780299883</v>
      </c>
      <c r="AE36" s="195">
        <f>NHHProps_CAM*AvgNHHBill_CAM*(Y36+AB36)</f>
        <v>89320.710362520127</v>
      </c>
      <c r="AF36" s="286">
        <f t="shared" si="18"/>
        <v>533.33667198079627</v>
      </c>
      <c r="AG36" s="195">
        <f t="shared" si="19"/>
        <v>713.27188780299878</v>
      </c>
      <c r="AH36" s="287">
        <f t="shared" si="20"/>
        <v>893.20710362520128</v>
      </c>
    </row>
    <row r="37" spans="1:34" x14ac:dyDescent="0.35">
      <c r="A37" s="123" t="s">
        <v>495</v>
      </c>
      <c r="D37" s="7" t="s">
        <v>475</v>
      </c>
      <c r="E37" s="565">
        <f>1/5</f>
        <v>0.2</v>
      </c>
      <c r="F37" s="500">
        <f>1/4</f>
        <v>0.25</v>
      </c>
      <c r="G37" s="500">
        <f>1/3</f>
        <v>0.33333333333333331</v>
      </c>
      <c r="H37" s="512">
        <v>0.16286203927835741</v>
      </c>
      <c r="I37" s="512">
        <v>0.17275910284428261</v>
      </c>
      <c r="J37" s="512">
        <v>0.18265616641020782</v>
      </c>
      <c r="K37" s="512">
        <v>6.5430895123374189E-2</v>
      </c>
      <c r="L37" s="512">
        <v>6.9434727143626723E-2</v>
      </c>
      <c r="M37" s="512">
        <v>7.3438559163879258E-2</v>
      </c>
      <c r="N37" s="195">
        <f>HHProps_SSW*(H37+K37)</f>
        <v>123149.65565486689</v>
      </c>
      <c r="O37" s="195">
        <f>HHProps_SSW*(I37+L37)</f>
        <v>130648.31306718785</v>
      </c>
      <c r="P37" s="195">
        <f>HHProps_SSW*(J37+M37)</f>
        <v>138146.9704795088</v>
      </c>
      <c r="Q37" s="286">
        <f>-(N37/($E37-$G37))/100</f>
        <v>9236.2241741150192</v>
      </c>
      <c r="R37" s="195">
        <f t="shared" si="16"/>
        <v>979862.34800390911</v>
      </c>
      <c r="S37" s="287">
        <f t="shared" si="17"/>
        <v>1036102.2785963162</v>
      </c>
      <c r="T37" s="571">
        <v>0.2</v>
      </c>
      <c r="U37" s="571">
        <v>0.25</v>
      </c>
      <c r="V37" s="571">
        <v>0.33333333333333331</v>
      </c>
      <c r="W37" s="31">
        <v>6.7524089825687509E-3</v>
      </c>
      <c r="X37" s="31">
        <v>7.2076611529829811E-3</v>
      </c>
      <c r="Y37" s="31">
        <v>7.6629133233972113E-3</v>
      </c>
      <c r="Z37" s="31">
        <v>0.22309966742730386</v>
      </c>
      <c r="AA37" s="31">
        <v>0.23804283382411903</v>
      </c>
      <c r="AB37" s="31">
        <v>0.2529860002209342</v>
      </c>
      <c r="AC37" s="195">
        <f>HHProps_CAM*(W37+Z37)</f>
        <v>31232.759846726312</v>
      </c>
      <c r="AD37" s="195">
        <f>HHProps_CAM*(X37+AA37)</f>
        <v>33325.127758478578</v>
      </c>
      <c r="AE37" s="195">
        <f>HHProps_CAM*(Y37+AB37)</f>
        <v>35417.495670230841</v>
      </c>
      <c r="AF37" s="286">
        <f>-(AC37/($T37-$V37))/100</f>
        <v>2342.4569885044739</v>
      </c>
      <c r="AG37" s="195">
        <f t="shared" si="19"/>
        <v>249938.4581885894</v>
      </c>
      <c r="AH37" s="287">
        <f t="shared" si="20"/>
        <v>265631.21752673137</v>
      </c>
    </row>
    <row r="38" spans="1:34" x14ac:dyDescent="0.35">
      <c r="A38" s="123"/>
      <c r="D38" s="7" t="s">
        <v>22</v>
      </c>
      <c r="E38" s="565">
        <f>1/5</f>
        <v>0.2</v>
      </c>
      <c r="F38" s="500">
        <f>1/4</f>
        <v>0.25</v>
      </c>
      <c r="G38" s="500">
        <f>1/3</f>
        <v>0.33333333333333331</v>
      </c>
      <c r="H38" s="570">
        <v>2.3934767895157907E-3</v>
      </c>
      <c r="I38" s="570">
        <v>2.8679899577491162E-3</v>
      </c>
      <c r="J38" s="570">
        <v>3.3425031259824416E-3</v>
      </c>
      <c r="K38" s="570">
        <v>4.0848320200259592E-4</v>
      </c>
      <c r="L38" s="570">
        <v>4.8949484915029266E-4</v>
      </c>
      <c r="M38" s="570">
        <v>5.7050649629798895E-4</v>
      </c>
      <c r="N38" s="195">
        <f>NHHProps_SSW*AvgNHHBill_SSW*(H38+K38)</f>
        <v>371727.37962229055</v>
      </c>
      <c r="O38" s="195">
        <f>NHHProps_SSW*AvgNHHBill_SSW*(I38+L38)</f>
        <v>445427.14141826087</v>
      </c>
      <c r="P38" s="195">
        <f>NHHProps_SSW*AvgNHHBill_SSW*(J38+M38)</f>
        <v>519126.90321423113</v>
      </c>
      <c r="Q38" s="286">
        <f>-(N38/($E38-$G38))/100</f>
        <v>27879.553471671799</v>
      </c>
      <c r="R38" s="195">
        <f t="shared" si="16"/>
        <v>3340703.5606369572</v>
      </c>
      <c r="S38" s="287">
        <f t="shared" si="17"/>
        <v>3893451.7741067344</v>
      </c>
      <c r="T38" s="571">
        <v>0.2</v>
      </c>
      <c r="U38" s="571">
        <v>0.25</v>
      </c>
      <c r="V38" s="571">
        <v>0.33333333333333331</v>
      </c>
      <c r="W38" s="105">
        <v>3.0067218761121498E-6</v>
      </c>
      <c r="X38" s="105">
        <v>4.0202151245085623E-6</v>
      </c>
      <c r="Y38" s="105">
        <v>5.0337083729049751E-6</v>
      </c>
      <c r="Z38" s="105">
        <v>6.1845977649446597E-3</v>
      </c>
      <c r="AA38" s="105">
        <v>8.2604507154419825E-3</v>
      </c>
      <c r="AB38" s="105">
        <v>1.0336303665939305E-2</v>
      </c>
      <c r="AC38" s="195">
        <f>NHHProps_CAM*AvgNHHBill_CAM*(W38+Z38)</f>
        <v>272199.15648391208</v>
      </c>
      <c r="AD38" s="195">
        <f>NHHProps_CAM*AvgNHHBill_CAM*(X38+AA38)</f>
        <v>363562.67128538777</v>
      </c>
      <c r="AE38" s="195">
        <f>NHHProps_CAM*AvgNHHBill_CAM*(Y38+AB38)</f>
        <v>454926.1860868634</v>
      </c>
      <c r="AF38" s="286">
        <f>-(AC38/($T38-$V38))/100</f>
        <v>20414.936736293414</v>
      </c>
      <c r="AG38" s="195">
        <f t="shared" si="19"/>
        <v>2726720.0346404091</v>
      </c>
      <c r="AH38" s="287">
        <f t="shared" si="20"/>
        <v>3411946.3956514765</v>
      </c>
    </row>
    <row r="39" spans="1:34" x14ac:dyDescent="0.35">
      <c r="A39" s="123" t="s">
        <v>496</v>
      </c>
      <c r="D39" s="7" t="s">
        <v>475</v>
      </c>
      <c r="E39" s="524">
        <v>11000</v>
      </c>
      <c r="F39" s="524">
        <v>14000</v>
      </c>
      <c r="G39" s="524">
        <v>16500</v>
      </c>
      <c r="H39" s="512">
        <v>1.1431291592122459</v>
      </c>
      <c r="I39" s="512">
        <v>1.2115297570478711</v>
      </c>
      <c r="J39" s="512">
        <v>1.2799303548834964</v>
      </c>
      <c r="K39" s="512">
        <v>0.99026600048322266</v>
      </c>
      <c r="L39" s="512">
        <v>1.0494819425093551</v>
      </c>
      <c r="M39" s="512">
        <v>1.1086978845354876</v>
      </c>
      <c r="N39" s="195">
        <f>HHProps_SSW*(H39+K39)</f>
        <v>1150832.2847606444</v>
      </c>
      <c r="O39" s="195">
        <f>HHProps_SSW*(I39+L39)</f>
        <v>1219673.3681740514</v>
      </c>
      <c r="P39" s="195">
        <f>HHProps_SSW*(J39+M39)</f>
        <v>1288514.4515874584</v>
      </c>
      <c r="Q39" s="286">
        <f>-N39/($E39-$G39)</f>
        <v>209.24223359284443</v>
      </c>
      <c r="R39" s="195">
        <f t="shared" si="16"/>
        <v>221.75879421346389</v>
      </c>
      <c r="S39" s="287">
        <f t="shared" si="17"/>
        <v>234.27535483408334</v>
      </c>
      <c r="T39" s="569">
        <v>750</v>
      </c>
      <c r="U39" s="569">
        <v>925</v>
      </c>
      <c r="V39" s="569">
        <v>1100</v>
      </c>
      <c r="W39" s="31">
        <v>0.3495471426667362</v>
      </c>
      <c r="X39" s="31">
        <v>0.3731539462150778</v>
      </c>
      <c r="Y39" s="31">
        <v>0.39676074976341941</v>
      </c>
      <c r="Z39" s="31">
        <v>1.0469573645903001</v>
      </c>
      <c r="AA39" s="31">
        <v>1.1169182584378281</v>
      </c>
      <c r="AB39" s="31">
        <v>1.1868791522853559</v>
      </c>
      <c r="AC39" s="195">
        <f>HHProps_CAM*(W39+Z39)</f>
        <v>189759.82545510062</v>
      </c>
      <c r="AD39" s="195">
        <f>HHProps_CAM*(X39+AA39)</f>
        <v>202473.99131264613</v>
      </c>
      <c r="AE39" s="195">
        <f>HHProps_CAM*(Y39+AB39)</f>
        <v>215188.15717019167</v>
      </c>
      <c r="AF39" s="286">
        <f>-AC39/($T39-$V39)</f>
        <v>542.17092987171611</v>
      </c>
      <c r="AG39" s="195">
        <f t="shared" si="19"/>
        <v>578.49711803613184</v>
      </c>
      <c r="AH39" s="287">
        <f t="shared" si="20"/>
        <v>614.82330620054768</v>
      </c>
    </row>
    <row r="40" spans="1:34" ht="15" thickBot="1" x14ac:dyDescent="0.4">
      <c r="D40" s="7" t="s">
        <v>22</v>
      </c>
      <c r="E40" s="565">
        <v>0</v>
      </c>
      <c r="F40" s="565">
        <v>0.25</v>
      </c>
      <c r="G40" s="565">
        <v>0.5</v>
      </c>
      <c r="H40" s="570">
        <v>1.4535389186447634E-2</v>
      </c>
      <c r="I40" s="570">
        <v>1.7416968825231704E-2</v>
      </c>
      <c r="J40" s="570">
        <v>2.0298548464015773E-2</v>
      </c>
      <c r="K40" s="570">
        <v>7.943588851566874E-3</v>
      </c>
      <c r="L40" s="570">
        <v>9.5197132623794402E-3</v>
      </c>
      <c r="M40" s="570">
        <v>1.109583767319201E-2</v>
      </c>
      <c r="N40" s="195">
        <f>NHHProps_SSW*AvgNHHBill_SSW*(H40+K40)</f>
        <v>2982216.6012192033</v>
      </c>
      <c r="O40" s="195">
        <f>NHHProps_SSW*AvgNHHBill_SSW*(I40+L40)</f>
        <v>3573606.4320890838</v>
      </c>
      <c r="P40" s="195">
        <f>NHHProps_SSW*AvgNHHBill_SSW*(J40+M40)</f>
        <v>4164996.2629589648</v>
      </c>
      <c r="Q40" s="595">
        <f>-N40/(($E40-$G40)*NHHProps_SSW)</f>
        <v>198.89399768035236</v>
      </c>
      <c r="R40" s="596">
        <f>-O40/(($E40-$G40)*NHHProps_SSW)</f>
        <v>238.33576311118338</v>
      </c>
      <c r="S40" s="597">
        <f>-P40/(($E40-$G40)*NHHProps_SSW)</f>
        <v>277.77752854201447</v>
      </c>
      <c r="T40" s="571">
        <v>0</v>
      </c>
      <c r="U40" s="571">
        <v>0.25</v>
      </c>
      <c r="V40" s="571">
        <v>0.5</v>
      </c>
      <c r="W40" s="105">
        <v>1.9085135106616156E-2</v>
      </c>
      <c r="X40" s="105">
        <v>2.5486953508463996E-2</v>
      </c>
      <c r="Y40" s="105">
        <v>3.1888771910311836E-2</v>
      </c>
      <c r="Z40" s="105">
        <v>1.1680058649964076E-4</v>
      </c>
      <c r="AA40" s="105">
        <v>1.5600647907211204E-4</v>
      </c>
      <c r="AB40" s="105">
        <v>1.9521237164458333E-4</v>
      </c>
      <c r="AC40" s="195">
        <f>NHHProps_CAM*AvgNHHBill_CAM*(W40+Z40)</f>
        <v>844713.1211532848</v>
      </c>
      <c r="AD40" s="195">
        <f>NHHProps_CAM*AvgNHHBill_CAM*(X40+AA40)</f>
        <v>1128060.4785301005</v>
      </c>
      <c r="AE40" s="195">
        <f>NHHProps_CAM*AvgNHHBill_CAM*(Y40+AB40)</f>
        <v>1411407.8359069161</v>
      </c>
      <c r="AF40" s="595">
        <f>-AC40/(($T40-$V40)*NHHProps_CAM)</f>
        <v>196.62782149750578</v>
      </c>
      <c r="AG40" s="596">
        <f>-AD40/(($T40-$V40)*NHHProps_CAM)</f>
        <v>262.58391027236979</v>
      </c>
      <c r="AH40" s="597">
        <f>-AE40/(($T40-$V40)*NHHProps_CAM)</f>
        <v>328.53999904723372</v>
      </c>
    </row>
    <row r="41" spans="1:34" x14ac:dyDescent="0.35">
      <c r="T41" s="569"/>
      <c r="U41" s="569"/>
      <c r="V41" s="569"/>
      <c r="W41" s="105"/>
      <c r="X41" s="105"/>
      <c r="Y41" s="105"/>
      <c r="Z41" s="105"/>
      <c r="AA41" s="105"/>
      <c r="AB41" s="105"/>
      <c r="AC41" s="195"/>
      <c r="AD41" s="195"/>
      <c r="AE41" s="195"/>
      <c r="AF41" s="195"/>
      <c r="AG41" s="195"/>
      <c r="AH41" s="195"/>
    </row>
    <row r="42" spans="1:34" x14ac:dyDescent="0.35">
      <c r="T42" s="498"/>
      <c r="U42" s="498"/>
      <c r="V42" s="498"/>
      <c r="W42" s="105"/>
      <c r="X42" s="105"/>
      <c r="Y42" s="105"/>
      <c r="Z42" s="105"/>
      <c r="AA42" s="105"/>
      <c r="AB42" s="105"/>
      <c r="AC42" s="195"/>
      <c r="AD42" s="195"/>
      <c r="AE42" s="195"/>
      <c r="AF42" s="195"/>
      <c r="AG42" s="195"/>
      <c r="AH42" s="195"/>
    </row>
    <row r="43" spans="1:34" x14ac:dyDescent="0.35">
      <c r="A43" s="50"/>
      <c r="B43" s="50"/>
      <c r="C43" s="50"/>
      <c r="D43" s="50"/>
      <c r="E43" s="50"/>
      <c r="F43" s="50"/>
      <c r="G43" s="50"/>
      <c r="H43" s="50"/>
      <c r="I43" s="50"/>
      <c r="J43" s="50"/>
      <c r="K43" s="50"/>
      <c r="L43" s="50"/>
      <c r="M43" s="50"/>
      <c r="N43" s="50"/>
      <c r="O43" s="50"/>
      <c r="P43" s="50"/>
      <c r="Q43" s="50"/>
      <c r="R43" s="50"/>
      <c r="S43" s="50"/>
      <c r="T43" s="103"/>
      <c r="U43" s="103"/>
      <c r="V43" s="103"/>
      <c r="W43" s="105"/>
      <c r="X43" s="105"/>
      <c r="Y43" s="105"/>
      <c r="Z43" s="105"/>
      <c r="AA43" s="105"/>
      <c r="AB43" s="105"/>
      <c r="AC43" s="195"/>
      <c r="AD43" s="195"/>
      <c r="AE43" s="195"/>
      <c r="AF43" s="195"/>
      <c r="AG43" s="195"/>
      <c r="AH43" s="195"/>
    </row>
    <row r="44" spans="1:34" x14ac:dyDescent="0.35">
      <c r="T44" s="498"/>
      <c r="U44" s="498"/>
      <c r="V44" s="498"/>
      <c r="W44" s="105"/>
      <c r="X44" s="105"/>
      <c r="Y44" s="105"/>
      <c r="Z44" s="105"/>
      <c r="AA44" s="105"/>
      <c r="AB44" s="105"/>
      <c r="AC44" s="195"/>
      <c r="AD44" s="195"/>
      <c r="AE44" s="195"/>
      <c r="AF44" s="195"/>
      <c r="AG44" s="195"/>
      <c r="AH44" s="195"/>
    </row>
    <row r="45" spans="1:34" s="20" customFormat="1" x14ac:dyDescent="0.35">
      <c r="A45" s="507" t="s">
        <v>497</v>
      </c>
      <c r="B45" s="507"/>
      <c r="C45" s="507"/>
      <c r="D45" s="507"/>
      <c r="T45" s="501"/>
      <c r="U45" s="501"/>
      <c r="V45" s="501"/>
      <c r="W45" s="512"/>
      <c r="X45" s="512"/>
      <c r="Y45" s="512"/>
      <c r="Z45" s="512"/>
      <c r="AA45" s="512"/>
      <c r="AB45" s="512"/>
      <c r="AC45" s="519"/>
      <c r="AD45" s="519"/>
      <c r="AE45" s="519"/>
      <c r="AF45" s="502"/>
      <c r="AG45" s="502"/>
      <c r="AH45" s="502"/>
    </row>
    <row r="46" spans="1:34" s="20" customFormat="1" x14ac:dyDescent="0.35">
      <c r="A46" s="507" t="s">
        <v>498</v>
      </c>
      <c r="B46" s="507"/>
      <c r="C46" s="507"/>
      <c r="D46" s="507"/>
      <c r="T46" s="501"/>
      <c r="U46" s="501"/>
      <c r="V46" s="501"/>
      <c r="W46" s="501"/>
      <c r="X46" s="501"/>
      <c r="Y46" s="501"/>
      <c r="Z46" s="501"/>
      <c r="AA46" s="501"/>
      <c r="AB46" s="501"/>
      <c r="AC46" s="519"/>
      <c r="AD46" s="519"/>
      <c r="AE46" s="519"/>
      <c r="AF46" s="502"/>
      <c r="AG46" s="502"/>
      <c r="AH46" s="502"/>
    </row>
    <row r="47" spans="1:34" s="20" customFormat="1" x14ac:dyDescent="0.35">
      <c r="A47" s="505"/>
      <c r="C47" s="543" t="s">
        <v>24</v>
      </c>
      <c r="D47" s="543"/>
      <c r="E47" s="543" t="s">
        <v>26</v>
      </c>
      <c r="T47" s="501"/>
      <c r="U47" s="501"/>
      <c r="V47" s="501"/>
      <c r="W47" s="501"/>
      <c r="X47" s="501"/>
      <c r="Y47" s="501"/>
      <c r="Z47" s="501"/>
      <c r="AA47" s="501"/>
      <c r="AB47" s="501"/>
      <c r="AC47" s="519"/>
      <c r="AD47" s="519"/>
      <c r="AE47" s="519"/>
      <c r="AF47" s="502"/>
      <c r="AG47" s="502"/>
      <c r="AH47" s="502"/>
    </row>
    <row r="48" spans="1:34" s="20" customFormat="1" x14ac:dyDescent="0.35">
      <c r="B48" s="504" t="s">
        <v>125</v>
      </c>
      <c r="C48" s="503" t="s">
        <v>499</v>
      </c>
      <c r="D48" s="504"/>
      <c r="E48" s="504" t="s">
        <v>500</v>
      </c>
      <c r="T48" s="133"/>
      <c r="U48" s="133"/>
      <c r="V48" s="133"/>
      <c r="W48" s="90"/>
      <c r="X48" s="138"/>
      <c r="Y48" s="520"/>
      <c r="Z48" s="521"/>
      <c r="AA48" s="90"/>
      <c r="AB48" s="138"/>
      <c r="AC48" s="519"/>
      <c r="AD48" s="519"/>
      <c r="AE48" s="519"/>
      <c r="AF48" s="513"/>
      <c r="AG48" s="513"/>
      <c r="AH48" s="513"/>
    </row>
    <row r="49" spans="1:34" s="20" customFormat="1" x14ac:dyDescent="0.35">
      <c r="B49" s="504" t="s">
        <v>129</v>
      </c>
      <c r="C49" s="503" t="s">
        <v>501</v>
      </c>
      <c r="D49" s="504"/>
      <c r="E49" s="504" t="s">
        <v>502</v>
      </c>
      <c r="T49" s="498"/>
      <c r="U49" s="498"/>
      <c r="V49" s="498"/>
      <c r="W49" s="31"/>
      <c r="X49" s="31"/>
      <c r="Y49" s="31"/>
      <c r="Z49" s="31"/>
      <c r="AA49" s="31"/>
      <c r="AB49" s="31"/>
      <c r="AC49" s="195"/>
      <c r="AD49" s="195"/>
      <c r="AE49" s="195"/>
      <c r="AF49" s="195"/>
      <c r="AG49" s="195"/>
      <c r="AH49" s="195"/>
    </row>
    <row r="50" spans="1:34" s="20" customFormat="1" x14ac:dyDescent="0.35">
      <c r="B50" s="504" t="s">
        <v>503</v>
      </c>
      <c r="C50" s="504" t="s">
        <v>504</v>
      </c>
      <c r="D50" s="504"/>
      <c r="E50" s="504" t="s">
        <v>505</v>
      </c>
      <c r="T50" s="498"/>
      <c r="U50" s="498"/>
      <c r="V50" s="498"/>
      <c r="W50" s="31"/>
      <c r="X50" s="31"/>
      <c r="Y50" s="31"/>
      <c r="Z50" s="31"/>
      <c r="AA50" s="31"/>
      <c r="AB50" s="31"/>
      <c r="AC50" s="195"/>
      <c r="AD50" s="195"/>
      <c r="AE50" s="195"/>
      <c r="AF50" s="195"/>
      <c r="AG50" s="195"/>
      <c r="AH50" s="195"/>
    </row>
    <row r="51" spans="1:34" s="20" customFormat="1" x14ac:dyDescent="0.35">
      <c r="B51" s="504" t="s">
        <v>137</v>
      </c>
      <c r="C51" s="504" t="s">
        <v>506</v>
      </c>
      <c r="D51" s="504"/>
      <c r="E51" s="504" t="s">
        <v>507</v>
      </c>
      <c r="T51" s="498"/>
      <c r="U51" s="498"/>
      <c r="V51" s="498"/>
      <c r="W51" s="105"/>
      <c r="X51" s="105"/>
      <c r="Y51" s="105"/>
      <c r="Z51" s="105"/>
      <c r="AA51" s="105"/>
      <c r="AB51" s="105"/>
      <c r="AC51" s="195"/>
      <c r="AD51" s="195"/>
      <c r="AE51" s="195"/>
      <c r="AF51" s="195"/>
      <c r="AG51" s="195"/>
      <c r="AH51" s="195"/>
    </row>
    <row r="52" spans="1:34" s="20" customFormat="1" x14ac:dyDescent="0.35">
      <c r="B52" s="504" t="s">
        <v>143</v>
      </c>
      <c r="C52" s="504" t="s">
        <v>508</v>
      </c>
      <c r="D52" s="504"/>
      <c r="E52" s="504" t="s">
        <v>509</v>
      </c>
      <c r="T52" s="498"/>
      <c r="U52" s="498"/>
      <c r="V52" s="498"/>
      <c r="W52" s="105"/>
      <c r="X52" s="105"/>
      <c r="Y52" s="105"/>
      <c r="Z52" s="105"/>
      <c r="AA52" s="105"/>
      <c r="AB52" s="105"/>
      <c r="AC52" s="195"/>
      <c r="AD52" s="195"/>
      <c r="AE52" s="195"/>
      <c r="AF52" s="195"/>
      <c r="AG52" s="195"/>
      <c r="AH52" s="195"/>
    </row>
    <row r="53" spans="1:34" s="20" customFormat="1" x14ac:dyDescent="0.35">
      <c r="B53" s="504" t="s">
        <v>139</v>
      </c>
      <c r="C53" s="504" t="s">
        <v>510</v>
      </c>
      <c r="D53" s="504"/>
      <c r="E53" s="504" t="s">
        <v>511</v>
      </c>
      <c r="F53" s="504"/>
      <c r="T53" s="501"/>
      <c r="U53" s="501"/>
      <c r="V53" s="501"/>
      <c r="W53" s="512"/>
      <c r="X53" s="512"/>
      <c r="Y53" s="512"/>
      <c r="Z53" s="512"/>
      <c r="AA53" s="512"/>
      <c r="AB53" s="512"/>
      <c r="AC53" s="519"/>
      <c r="AD53" s="519"/>
      <c r="AE53" s="519"/>
      <c r="AF53" s="502"/>
      <c r="AG53" s="502"/>
      <c r="AH53" s="502"/>
    </row>
    <row r="54" spans="1:34" s="20" customFormat="1" x14ac:dyDescent="0.35">
      <c r="B54" s="504" t="s">
        <v>141</v>
      </c>
      <c r="C54" s="504" t="s">
        <v>512</v>
      </c>
      <c r="D54" s="504"/>
      <c r="E54" s="504" t="s">
        <v>513</v>
      </c>
      <c r="T54" s="501"/>
      <c r="U54" s="501"/>
      <c r="V54" s="501"/>
      <c r="W54" s="501"/>
      <c r="X54" s="501"/>
      <c r="Y54" s="501"/>
      <c r="Z54" s="501"/>
      <c r="AA54" s="501"/>
      <c r="AB54" s="501"/>
      <c r="AC54" s="519"/>
      <c r="AD54" s="519"/>
      <c r="AE54" s="519"/>
      <c r="AF54" s="502"/>
      <c r="AG54" s="502"/>
      <c r="AH54" s="502"/>
    </row>
    <row r="55" spans="1:34" s="20" customFormat="1" x14ac:dyDescent="0.35">
      <c r="A55" s="507" t="s">
        <v>514</v>
      </c>
      <c r="C55" s="543" t="s">
        <v>24</v>
      </c>
      <c r="D55" s="543"/>
      <c r="E55" s="543" t="s">
        <v>26</v>
      </c>
      <c r="T55" s="133"/>
      <c r="U55" s="133"/>
      <c r="V55" s="133"/>
      <c r="W55" s="90"/>
      <c r="X55" s="138"/>
      <c r="Y55" s="520"/>
      <c r="Z55" s="521"/>
      <c r="AA55" s="90"/>
      <c r="AB55" s="138"/>
      <c r="AC55" s="519"/>
      <c r="AD55" s="519"/>
      <c r="AE55" s="519"/>
      <c r="AF55" s="513"/>
      <c r="AG55" s="513"/>
      <c r="AH55" s="513"/>
    </row>
    <row r="56" spans="1:34" s="20" customFormat="1" x14ac:dyDescent="0.35">
      <c r="B56" s="504" t="s">
        <v>133</v>
      </c>
      <c r="C56" s="506" t="s">
        <v>515</v>
      </c>
      <c r="D56" s="504"/>
      <c r="E56" s="506" t="s">
        <v>515</v>
      </c>
      <c r="T56" s="498"/>
      <c r="U56" s="498"/>
      <c r="V56" s="498"/>
      <c r="W56" s="31"/>
      <c r="X56" s="31"/>
      <c r="Y56" s="31"/>
      <c r="Z56" s="31"/>
      <c r="AA56" s="31"/>
      <c r="AB56" s="31"/>
      <c r="AC56" s="195"/>
      <c r="AD56" s="195"/>
      <c r="AE56" s="195"/>
      <c r="AF56" s="195"/>
      <c r="AG56" s="195"/>
      <c r="AH56" s="195"/>
    </row>
    <row r="57" spans="1:34" s="20" customFormat="1" x14ac:dyDescent="0.35">
      <c r="B57" s="504" t="s">
        <v>135</v>
      </c>
      <c r="C57" s="506" t="s">
        <v>516</v>
      </c>
      <c r="D57" s="504"/>
      <c r="E57" s="506" t="s">
        <v>516</v>
      </c>
      <c r="T57" s="498"/>
      <c r="U57" s="498"/>
      <c r="V57" s="498"/>
      <c r="W57" s="31"/>
      <c r="X57" s="31"/>
      <c r="Y57" s="31"/>
      <c r="Z57" s="31"/>
      <c r="AA57" s="31"/>
      <c r="AB57" s="31"/>
      <c r="AC57" s="195"/>
      <c r="AD57" s="195"/>
      <c r="AE57" s="195"/>
      <c r="AF57" s="195"/>
      <c r="AG57" s="195"/>
      <c r="AH57" s="195"/>
    </row>
    <row r="58" spans="1:34" s="20" customFormat="1" x14ac:dyDescent="0.35">
      <c r="B58" s="504" t="s">
        <v>40</v>
      </c>
      <c r="C58" s="504" t="s">
        <v>517</v>
      </c>
      <c r="E58" s="504" t="s">
        <v>518</v>
      </c>
      <c r="T58" s="498"/>
      <c r="U58" s="498"/>
      <c r="V58" s="498"/>
      <c r="W58" s="105"/>
      <c r="X58" s="105"/>
      <c r="Y58" s="105"/>
      <c r="Z58" s="105"/>
      <c r="AA58" s="105"/>
      <c r="AB58" s="105"/>
      <c r="AC58" s="195"/>
      <c r="AD58" s="195"/>
      <c r="AE58" s="195"/>
      <c r="AF58" s="195"/>
      <c r="AG58" s="195"/>
      <c r="AH58" s="195"/>
    </row>
    <row r="59" spans="1:34" s="20" customFormat="1" x14ac:dyDescent="0.35">
      <c r="B59" s="504" t="s">
        <v>41</v>
      </c>
      <c r="C59" s="504" t="s">
        <v>519</v>
      </c>
      <c r="E59" s="504" t="s">
        <v>520</v>
      </c>
      <c r="T59" s="498"/>
      <c r="U59" s="498"/>
      <c r="V59" s="498"/>
      <c r="W59" s="105"/>
      <c r="X59" s="105"/>
      <c r="Y59" s="105"/>
      <c r="Z59" s="105"/>
      <c r="AA59" s="105"/>
      <c r="AB59" s="105"/>
      <c r="AC59" s="195"/>
      <c r="AD59" s="195"/>
      <c r="AE59" s="195"/>
      <c r="AF59" s="195"/>
      <c r="AG59" s="195"/>
      <c r="AH59" s="195"/>
    </row>
    <row r="60" spans="1:34" s="20" customFormat="1" x14ac:dyDescent="0.35">
      <c r="B60" s="504" t="s">
        <v>461</v>
      </c>
      <c r="C60" s="504" t="s">
        <v>521</v>
      </c>
      <c r="E60" s="504" t="s">
        <v>521</v>
      </c>
      <c r="T60" s="501"/>
      <c r="U60" s="501"/>
      <c r="V60" s="501"/>
      <c r="W60" s="512"/>
      <c r="X60" s="512"/>
      <c r="Y60" s="512"/>
      <c r="Z60" s="512"/>
      <c r="AA60" s="512"/>
      <c r="AB60" s="512"/>
      <c r="AC60" s="519"/>
      <c r="AD60" s="519"/>
      <c r="AE60" s="519"/>
      <c r="AF60" s="502"/>
      <c r="AG60" s="502"/>
      <c r="AH60" s="502"/>
    </row>
    <row r="61" spans="1:34" s="20" customFormat="1" x14ac:dyDescent="0.35">
      <c r="B61" s="507" t="s">
        <v>464</v>
      </c>
      <c r="C61" s="504" t="s">
        <v>522</v>
      </c>
      <c r="E61" s="504" t="s">
        <v>523</v>
      </c>
      <c r="T61" s="501"/>
      <c r="U61" s="501"/>
      <c r="V61" s="501"/>
      <c r="W61" s="501"/>
      <c r="X61" s="501"/>
      <c r="Y61" s="501"/>
      <c r="Z61" s="501"/>
      <c r="AA61" s="501"/>
      <c r="AB61" s="501"/>
      <c r="AC61" s="519"/>
      <c r="AD61" s="519"/>
      <c r="AE61" s="519"/>
      <c r="AF61" s="502"/>
      <c r="AG61" s="502"/>
      <c r="AH61" s="502"/>
    </row>
    <row r="62" spans="1:34" s="20" customFormat="1" x14ac:dyDescent="0.35">
      <c r="B62" s="504" t="s">
        <v>156</v>
      </c>
      <c r="C62" s="511" t="s">
        <v>524</v>
      </c>
      <c r="T62" s="133"/>
      <c r="U62" s="133"/>
      <c r="V62" s="133"/>
      <c r="W62" s="90"/>
      <c r="X62" s="138"/>
      <c r="Y62" s="520"/>
      <c r="Z62" s="521"/>
      <c r="AA62" s="90"/>
      <c r="AB62" s="138"/>
      <c r="AC62" s="519"/>
      <c r="AD62" s="519"/>
      <c r="AE62" s="519"/>
      <c r="AF62" s="513"/>
      <c r="AG62" s="513"/>
      <c r="AH62" s="513"/>
    </row>
    <row r="63" spans="1:34" x14ac:dyDescent="0.35">
      <c r="T63" s="498"/>
      <c r="U63" s="498"/>
      <c r="V63" s="516"/>
      <c r="W63" s="31"/>
      <c r="X63" s="31"/>
      <c r="Y63" s="522"/>
      <c r="Z63" s="522"/>
      <c r="AA63" s="31"/>
      <c r="AB63" s="31"/>
      <c r="AC63" s="195"/>
      <c r="AD63" s="195"/>
      <c r="AE63" s="195"/>
      <c r="AF63" s="195"/>
      <c r="AG63" s="195"/>
      <c r="AH63" s="195"/>
    </row>
    <row r="64" spans="1:34" x14ac:dyDescent="0.35">
      <c r="T64" s="498"/>
      <c r="U64" s="498"/>
      <c r="V64" s="516"/>
      <c r="W64" s="31"/>
      <c r="X64" s="31"/>
      <c r="Y64" s="522"/>
      <c r="Z64" s="522"/>
      <c r="AA64" s="31"/>
      <c r="AB64" s="31"/>
      <c r="AC64" s="195"/>
      <c r="AD64" s="195"/>
      <c r="AE64" s="195"/>
      <c r="AF64" s="195"/>
      <c r="AG64" s="195"/>
      <c r="AH64" s="195"/>
    </row>
    <row r="65" spans="1:39" s="133" customFormat="1" x14ac:dyDescent="0.35">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row>
    <row r="66" spans="1:39" s="133" customFormat="1" ht="15" thickBot="1" x14ac:dyDescent="0.4">
      <c r="A66" s="52" t="s">
        <v>525</v>
      </c>
      <c r="B66" s="50"/>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row>
    <row r="67" spans="1:39" s="133" customFormat="1" ht="30" customHeight="1" x14ac:dyDescent="0.35">
      <c r="E67" s="192" t="s">
        <v>526</v>
      </c>
      <c r="F67" s="192"/>
      <c r="G67" s="192"/>
      <c r="H67" s="192"/>
      <c r="I67" s="1010" t="s">
        <v>527</v>
      </c>
      <c r="J67" s="1008" t="s">
        <v>528</v>
      </c>
      <c r="U67" s="192" t="s">
        <v>526</v>
      </c>
      <c r="V67" s="192"/>
      <c r="W67" s="192"/>
      <c r="X67" s="192"/>
      <c r="Y67" s="1010" t="s">
        <v>527</v>
      </c>
      <c r="Z67" s="1008" t="s">
        <v>528</v>
      </c>
      <c r="AA67" s="111"/>
      <c r="AB67" s="111"/>
      <c r="AC67" s="111"/>
      <c r="AD67" s="111"/>
      <c r="AK67" s="7"/>
      <c r="AL67" s="7"/>
      <c r="AM67" s="7"/>
    </row>
    <row r="68" spans="1:39" s="133" customFormat="1" x14ac:dyDescent="0.35">
      <c r="A68" s="51" t="s">
        <v>347</v>
      </c>
      <c r="B68" s="51" t="s">
        <v>395</v>
      </c>
      <c r="E68" s="193" t="s">
        <v>423</v>
      </c>
      <c r="F68" s="193" t="s">
        <v>426</v>
      </c>
      <c r="G68" s="193" t="s">
        <v>529</v>
      </c>
      <c r="H68" s="193"/>
      <c r="I68" s="1010"/>
      <c r="J68" s="1009"/>
      <c r="K68" s="7"/>
      <c r="L68" s="7"/>
      <c r="M68" s="7"/>
      <c r="N68" s="7"/>
      <c r="O68" s="7"/>
      <c r="P68" s="7"/>
      <c r="Q68" s="7"/>
      <c r="R68" s="7"/>
      <c r="S68" s="7"/>
      <c r="T68" s="7"/>
      <c r="U68" s="193" t="s">
        <v>423</v>
      </c>
      <c r="V68" s="193" t="s">
        <v>426</v>
      </c>
      <c r="W68" s="193" t="s">
        <v>529</v>
      </c>
      <c r="X68" s="193"/>
      <c r="Y68" s="1010"/>
      <c r="Z68" s="1009"/>
      <c r="AA68" s="111"/>
      <c r="AB68" s="111"/>
      <c r="AC68" s="111"/>
      <c r="AD68" s="111"/>
      <c r="AE68" s="7"/>
      <c r="AF68" s="7"/>
      <c r="AG68" s="7"/>
      <c r="AH68" s="7"/>
      <c r="AI68" s="7"/>
      <c r="AJ68" s="7"/>
      <c r="AK68" s="7"/>
      <c r="AL68" s="7"/>
      <c r="AM68" s="7"/>
    </row>
    <row r="69" spans="1:39" s="133" customFormat="1" x14ac:dyDescent="0.35">
      <c r="A69" s="7" t="str">
        <f>'WTP core_DCE'!A77</f>
        <v>Leakage</v>
      </c>
      <c r="B69" s="7" t="s">
        <v>333</v>
      </c>
      <c r="E69" s="90">
        <f ca="1">INDEX(INDIRECT("SSW_WTPCore2_"&amp;$A69&amp;"_LevelValues"),1,MATCH(E$68,WTPCore2_LevelValues,0))</f>
        <v>1.2301339708448666</v>
      </c>
      <c r="F69" s="90">
        <f ca="1">INDEX(INDIRECT("SSW_WTPCore2_"&amp;$A69&amp;"_LevelValues"),1,MATCH(F$68,WTPCore2_LevelValues,0))</f>
        <v>0.44133293088857806</v>
      </c>
      <c r="G69" s="90">
        <f ca="1">E69+F69</f>
        <v>1.6714669017334447</v>
      </c>
      <c r="H69" s="90"/>
      <c r="I69" s="8">
        <f ca="1">(G69*100/G$72)/SSW_bill_impact_leakage</f>
        <v>1.2397792288509077</v>
      </c>
      <c r="J69" s="418">
        <f ca="1">(I69/$I$72)*100</f>
        <v>8.7073707369940188</v>
      </c>
      <c r="U69" s="90">
        <f ca="1">INDEX(INDIRECT("CAM_WTPCore2_"&amp;$A69&amp;"_LevelValues"),1,MATCH(U$68,WTPCore2_LevelValues,0))</f>
        <v>3.1349723048319831</v>
      </c>
      <c r="V69" s="90">
        <f ca="1">INDEX(INDIRECT("CAM_WTPCore2_"&amp;$A69&amp;"_LevelValues"),1,MATCH(V$68,WTPCore2_LevelValues,0))</f>
        <v>5.1405797633106154E-3</v>
      </c>
      <c r="W69" s="90">
        <f ca="1">U69+V69</f>
        <v>3.1401128845952937</v>
      </c>
      <c r="X69" s="90"/>
      <c r="Y69" s="8">
        <f ca="1">(W69*100/W$72)/CAM_bill_impact_leakage</f>
        <v>3.0147177852722229</v>
      </c>
      <c r="Z69" s="275">
        <f ca="1">(Y69/$Y$72)*100</f>
        <v>2.8090869739092903</v>
      </c>
      <c r="AA69" s="111"/>
      <c r="AB69" s="111"/>
      <c r="AC69" s="111"/>
      <c r="AD69" s="111"/>
      <c r="AK69" s="7"/>
      <c r="AL69" s="7"/>
      <c r="AM69" s="7"/>
    </row>
    <row r="70" spans="1:39" s="133" customFormat="1" x14ac:dyDescent="0.35">
      <c r="A70" s="7" t="s">
        <v>149</v>
      </c>
      <c r="B70" s="7" t="s">
        <v>401</v>
      </c>
      <c r="E70" s="90">
        <f ca="1">INDEX(INDIRECT("SSW_WTPCore2_"&amp;$A70&amp;"_LevelValues"),1,MATCH(E$68,WTPCore2_LevelValues,0))</f>
        <v>3.9796847923577343</v>
      </c>
      <c r="F70" s="90">
        <f ca="1">INDEX(INDIRECT("SSW_WTPCore2_"&amp;$A70&amp;"_LevelValues"),1,MATCH(F$68,WTPCore2_LevelValues,0))</f>
        <v>0.52424962900217631</v>
      </c>
      <c r="G70" s="90">
        <f ca="1">E70+F70</f>
        <v>4.5039344213599106</v>
      </c>
      <c r="H70" s="90"/>
      <c r="I70" s="8">
        <f ca="1">(G70*100/G$72)/SSW_bill_impact_metering</f>
        <v>11.836866234962541</v>
      </c>
      <c r="J70" s="418">
        <f ca="1">(I70/$I$72)*100</f>
        <v>83.134142171065562</v>
      </c>
      <c r="U70" s="90">
        <f ca="1">INDEX(INDIRECT("CAM_WTPCore2_"&amp;$A70&amp;"_LevelValues"),1,MATCH(U$68,WTPCore2_LevelValues,0))</f>
        <v>1.4360208416640492</v>
      </c>
      <c r="V70" s="90">
        <f ca="1">INDEX(INDIRECT("CAM_WTPCore2_"&amp;$A70&amp;"_LevelValues"),1,MATCH(V$68,WTPCore2_LevelValues,0))</f>
        <v>0.918140410423955</v>
      </c>
      <c r="W70" s="90">
        <f ca="1">U70+V70</f>
        <v>2.3541612520880042</v>
      </c>
      <c r="X70" s="90"/>
      <c r="Y70" s="8">
        <f ca="1">(W70*100/W$72)/CAM_bill_impact_metering</f>
        <v>46.752549105408313</v>
      </c>
      <c r="Z70" s="275">
        <f ca="1">(Y70/$Y$72)*100</f>
        <v>43.563605631894312</v>
      </c>
      <c r="AA70" s="111"/>
      <c r="AB70" s="111"/>
      <c r="AC70" s="111"/>
      <c r="AD70" s="111"/>
      <c r="AK70" s="7"/>
      <c r="AL70" s="7"/>
      <c r="AM70" s="7"/>
    </row>
    <row r="71" spans="1:39" s="133" customFormat="1" x14ac:dyDescent="0.35">
      <c r="A71" s="7" t="s">
        <v>152</v>
      </c>
      <c r="B71" s="7" t="s">
        <v>334</v>
      </c>
      <c r="E71" s="90">
        <f ca="1">INDEX(INDIRECT("SSW_WTPCore_DCE_"&amp;$A71&amp;"_LevelValues"),MATCH("COMBINED-HH",WTPCore_Group,0),MATCH(E$68,WTPCore_LevelValues,0))</f>
        <v>8.5999999999999993E-2</v>
      </c>
      <c r="F71" s="90">
        <f ca="1">INDEX(INDIRECT("SSW_WTPCore_DCE_"&amp;$A71&amp;"_LevelValues"),MATCH("COMBINED-HH",WTPCore_Group,0),MATCH(F$68,WTPCore_LevelValues,0))</f>
        <v>0.35599999999999998</v>
      </c>
      <c r="G71" s="90">
        <f ca="1">E71+F71</f>
        <v>0.44199999999999995</v>
      </c>
      <c r="H71" s="90"/>
      <c r="I71" s="8">
        <f ca="1">(G71*100/G$72)/SSW_bill_impact_metering</f>
        <v>1.1616276762470561</v>
      </c>
      <c r="J71" s="418">
        <f ca="1">(I71/$I$72)*100</f>
        <v>8.1584870919404189</v>
      </c>
      <c r="U71" s="90">
        <f ca="1">INDEX(INDIRECT("CAM_WTPCore_"&amp;$A71&amp;"_LevelValues"),MATCH("COMBINED-HH",WTPCore_Group,0),MATCH(U$68,WTPCore_LevelValues,0))</f>
        <v>1.133</v>
      </c>
      <c r="V71" s="90">
        <f ca="1">INDEX(INDIRECT("CAM_WTPCore_"&amp;$A71&amp;"_LevelValues"),MATCH("COMBINED-HH",WTPCore_Group,0),MATCH(V$68,WTPCore_LevelValues,0))</f>
        <v>1.7649999999999999</v>
      </c>
      <c r="W71" s="90">
        <f ca="1">U71+V71</f>
        <v>2.8979999999999997</v>
      </c>
      <c r="X71" s="90"/>
      <c r="Y71" s="8">
        <f ca="1">(W71*100/W$72)/CAM_bill_impact_metering</f>
        <v>57.552934059764382</v>
      </c>
      <c r="Z71" s="275">
        <f ca="1">(Y71/$Y$72)*100</f>
        <v>53.6273073941964</v>
      </c>
      <c r="AA71" s="111"/>
      <c r="AB71" s="111"/>
      <c r="AC71" s="111"/>
      <c r="AD71" s="111"/>
      <c r="AK71" s="7"/>
      <c r="AL71" s="7"/>
      <c r="AM71" s="7"/>
    </row>
    <row r="72" spans="1:39" s="133" customFormat="1" ht="15" thickBot="1" x14ac:dyDescent="0.4">
      <c r="E72" s="194">
        <f ca="1">SUM(E69:E71)</f>
        <v>5.2958187632026013</v>
      </c>
      <c r="F72" s="194">
        <f ca="1">SUM(F69:F71)</f>
        <v>1.3215825598907545</v>
      </c>
      <c r="G72" s="194">
        <f ca="1">SUM(G69:G71)</f>
        <v>6.6174013230933557</v>
      </c>
      <c r="H72" s="194"/>
      <c r="I72" s="29">
        <f ca="1">SUM(I69:I71)</f>
        <v>14.238273140060505</v>
      </c>
      <c r="J72" s="417">
        <f ca="1">(I72/$I$72)*100</f>
        <v>100</v>
      </c>
      <c r="U72" s="194">
        <f ca="1">SUM(U69:U71)</f>
        <v>5.7039931464960327</v>
      </c>
      <c r="V72" s="194">
        <f ca="1">SUM(V69:V71)</f>
        <v>2.6882809901872653</v>
      </c>
      <c r="W72" s="194">
        <f ca="1">SUM(W69:W71)</f>
        <v>8.392274136683298</v>
      </c>
      <c r="X72" s="194"/>
      <c r="Y72" s="29">
        <f ca="1">SUM(Y69:Y71)</f>
        <v>107.32020095044493</v>
      </c>
      <c r="Z72" s="419">
        <f ca="1">(Y72/$Y$72)*100</f>
        <v>100</v>
      </c>
      <c r="AA72" s="111"/>
      <c r="AB72" s="111"/>
      <c r="AC72" s="111"/>
      <c r="AD72" s="111"/>
      <c r="AK72" s="7"/>
      <c r="AL72" s="7"/>
      <c r="AM72" s="7"/>
    </row>
    <row r="73" spans="1:39" s="133" customFormat="1" x14ac:dyDescent="0.35">
      <c r="A73" s="7" t="s">
        <v>530</v>
      </c>
      <c r="U73" s="111"/>
      <c r="V73" s="111"/>
      <c r="W73" s="111"/>
      <c r="X73" s="111"/>
      <c r="Y73" s="111"/>
      <c r="Z73" s="111"/>
      <c r="AA73" s="111"/>
      <c r="AB73" s="111"/>
      <c r="AC73" s="111"/>
      <c r="AD73" s="111"/>
      <c r="AK73" s="7"/>
      <c r="AL73" s="7"/>
      <c r="AM73" s="7"/>
    </row>
    <row r="74" spans="1:39" x14ac:dyDescent="0.35">
      <c r="A74" s="7" t="s">
        <v>364</v>
      </c>
      <c r="T74" s="501"/>
      <c r="U74" s="501"/>
      <c r="V74" s="501"/>
      <c r="W74" s="512"/>
      <c r="X74" s="512"/>
      <c r="Y74" s="512"/>
      <c r="Z74" s="512"/>
      <c r="AA74" s="512"/>
      <c r="AB74" s="512"/>
      <c r="AC74" s="519"/>
      <c r="AD74" s="519"/>
      <c r="AE74" s="519"/>
      <c r="AF74" s="502"/>
      <c r="AG74" s="502"/>
      <c r="AH74" s="502"/>
    </row>
    <row r="75" spans="1:39" x14ac:dyDescent="0.35">
      <c r="T75" s="501"/>
      <c r="U75" s="501"/>
      <c r="V75" s="501"/>
      <c r="W75" s="501"/>
      <c r="X75" s="501"/>
      <c r="Y75" s="501"/>
      <c r="Z75" s="501"/>
      <c r="AA75" s="501"/>
      <c r="AB75" s="501"/>
      <c r="AC75" s="519"/>
      <c r="AD75" s="519"/>
      <c r="AE75" s="519"/>
      <c r="AF75" s="502"/>
      <c r="AG75" s="502"/>
      <c r="AH75" s="502"/>
    </row>
    <row r="76" spans="1:39" x14ac:dyDescent="0.35">
      <c r="T76" s="133"/>
      <c r="U76" s="133"/>
      <c r="V76" s="133"/>
      <c r="W76" s="90"/>
      <c r="X76" s="138"/>
      <c r="Y76" s="520"/>
      <c r="Z76" s="521"/>
      <c r="AA76" s="90"/>
      <c r="AB76" s="138"/>
      <c r="AC76" s="519"/>
      <c r="AD76" s="519"/>
      <c r="AE76" s="519"/>
      <c r="AF76" s="513"/>
      <c r="AG76" s="513"/>
      <c r="AH76" s="513"/>
    </row>
    <row r="77" spans="1:39" x14ac:dyDescent="0.35">
      <c r="T77" s="498"/>
      <c r="U77" s="498"/>
      <c r="V77" s="498"/>
      <c r="W77" s="31"/>
      <c r="X77" s="31"/>
      <c r="Y77" s="31"/>
      <c r="Z77" s="31"/>
      <c r="AA77" s="31"/>
      <c r="AB77" s="31"/>
      <c r="AC77" s="195"/>
      <c r="AD77" s="195"/>
      <c r="AE77" s="195"/>
      <c r="AF77" s="195"/>
      <c r="AG77" s="195"/>
      <c r="AH77" s="195"/>
    </row>
    <row r="78" spans="1:39" x14ac:dyDescent="0.35">
      <c r="T78" s="498"/>
      <c r="U78" s="498"/>
      <c r="V78" s="498"/>
      <c r="W78" s="31"/>
      <c r="X78" s="31"/>
      <c r="Y78" s="31"/>
      <c r="Z78" s="31"/>
      <c r="AA78" s="31"/>
      <c r="AB78" s="31"/>
      <c r="AC78" s="195"/>
      <c r="AD78" s="195"/>
      <c r="AE78" s="195"/>
      <c r="AF78" s="195"/>
      <c r="AG78" s="195"/>
      <c r="AH78" s="195"/>
    </row>
    <row r="79" spans="1:39" x14ac:dyDescent="0.35">
      <c r="T79" s="498"/>
      <c r="U79" s="498"/>
      <c r="V79" s="498"/>
      <c r="W79" s="105"/>
      <c r="X79" s="105"/>
      <c r="Y79" s="105"/>
      <c r="Z79" s="105"/>
      <c r="AA79" s="105"/>
      <c r="AB79" s="105"/>
      <c r="AC79" s="195"/>
      <c r="AD79" s="195"/>
      <c r="AE79" s="195"/>
      <c r="AF79" s="195"/>
      <c r="AG79" s="195"/>
      <c r="AH79" s="195"/>
    </row>
    <row r="80" spans="1:39" x14ac:dyDescent="0.35">
      <c r="T80" s="498"/>
      <c r="U80" s="498"/>
      <c r="V80" s="498"/>
      <c r="W80" s="105"/>
      <c r="X80" s="105"/>
      <c r="Y80" s="105"/>
      <c r="Z80" s="105"/>
      <c r="AA80" s="105"/>
      <c r="AB80" s="105"/>
      <c r="AC80" s="195"/>
      <c r="AD80" s="195"/>
      <c r="AE80" s="195"/>
      <c r="AF80" s="195"/>
      <c r="AG80" s="195"/>
      <c r="AH80" s="195"/>
    </row>
    <row r="81" spans="20:34" x14ac:dyDescent="0.35">
      <c r="T81" s="501"/>
      <c r="U81" s="501"/>
      <c r="V81" s="501"/>
      <c r="W81" s="512"/>
      <c r="X81" s="512"/>
      <c r="Y81" s="512"/>
      <c r="Z81" s="512"/>
      <c r="AA81" s="512"/>
      <c r="AB81" s="512"/>
      <c r="AC81" s="519"/>
      <c r="AD81" s="519"/>
      <c r="AE81" s="519"/>
      <c r="AF81" s="502"/>
      <c r="AG81" s="502"/>
      <c r="AH81" s="502"/>
    </row>
    <row r="82" spans="20:34" hidden="1" x14ac:dyDescent="0.35">
      <c r="T82" s="501"/>
      <c r="U82" s="501"/>
      <c r="V82" s="501"/>
      <c r="W82" s="501"/>
      <c r="X82" s="501"/>
      <c r="Y82" s="501"/>
      <c r="Z82" s="501"/>
      <c r="AA82" s="501"/>
      <c r="AB82" s="501"/>
      <c r="AC82" s="519"/>
      <c r="AD82" s="519"/>
      <c r="AE82" s="519"/>
      <c r="AF82" s="502"/>
      <c r="AG82" s="502"/>
      <c r="AH82" s="502"/>
    </row>
    <row r="83" spans="20:34" hidden="1" x14ac:dyDescent="0.35">
      <c r="T83" s="133"/>
      <c r="U83" s="133"/>
      <c r="V83" s="133"/>
      <c r="W83" s="90"/>
      <c r="X83" s="138"/>
      <c r="Y83" s="520"/>
      <c r="Z83" s="521"/>
      <c r="AA83" s="90"/>
      <c r="AB83" s="138"/>
      <c r="AC83" s="519"/>
      <c r="AD83" s="519"/>
      <c r="AE83" s="519"/>
      <c r="AF83" s="513"/>
      <c r="AG83" s="513"/>
      <c r="AH83" s="513"/>
    </row>
    <row r="84" spans="20:34" hidden="1" x14ac:dyDescent="0.35">
      <c r="T84" s="514"/>
      <c r="U84" s="514"/>
      <c r="V84" s="514"/>
      <c r="W84" s="31"/>
      <c r="X84" s="31"/>
      <c r="Y84" s="31"/>
      <c r="Z84" s="31"/>
      <c r="AA84" s="31"/>
      <c r="AB84" s="31"/>
      <c r="AC84" s="195"/>
      <c r="AD84" s="195"/>
      <c r="AE84" s="195"/>
      <c r="AF84" s="195"/>
      <c r="AG84" s="195"/>
      <c r="AH84" s="195"/>
    </row>
    <row r="85" spans="20:34" hidden="1" x14ac:dyDescent="0.35">
      <c r="T85" s="514"/>
      <c r="U85" s="514"/>
      <c r="V85" s="514"/>
      <c r="W85" s="31"/>
      <c r="X85" s="31"/>
      <c r="Y85" s="31"/>
      <c r="Z85" s="31"/>
      <c r="AA85" s="31"/>
      <c r="AB85" s="31"/>
      <c r="AC85" s="195"/>
      <c r="AD85" s="195"/>
      <c r="AE85" s="195"/>
      <c r="AF85" s="195"/>
      <c r="AG85" s="195"/>
      <c r="AH85" s="195"/>
    </row>
    <row r="86" spans="20:34" hidden="1" x14ac:dyDescent="0.35">
      <c r="T86" s="514"/>
      <c r="U86" s="514"/>
      <c r="V86" s="514"/>
      <c r="W86" s="105"/>
      <c r="X86" s="105"/>
      <c r="Y86" s="105"/>
      <c r="Z86" s="105"/>
      <c r="AA86" s="105"/>
      <c r="AB86" s="105"/>
      <c r="AC86" s="195"/>
      <c r="AD86" s="195"/>
      <c r="AE86" s="195"/>
      <c r="AF86" s="195"/>
      <c r="AG86" s="195"/>
      <c r="AH86" s="195"/>
    </row>
    <row r="87" spans="20:34" hidden="1" x14ac:dyDescent="0.35">
      <c r="T87" s="514"/>
      <c r="U87" s="514"/>
      <c r="V87" s="514"/>
      <c r="W87" s="105"/>
      <c r="X87" s="105"/>
      <c r="Y87" s="105"/>
      <c r="Z87" s="105"/>
      <c r="AA87" s="105"/>
      <c r="AB87" s="105"/>
      <c r="AC87" s="195"/>
      <c r="AD87" s="195"/>
      <c r="AE87" s="195"/>
      <c r="AF87" s="195"/>
      <c r="AG87" s="195"/>
      <c r="AH87" s="195"/>
    </row>
    <row r="88" spans="20:34" hidden="1" x14ac:dyDescent="0.35">
      <c r="T88" s="527"/>
      <c r="U88" s="527"/>
      <c r="V88" s="527"/>
      <c r="W88" s="512"/>
      <c r="X88" s="512"/>
      <c r="Y88" s="512"/>
      <c r="Z88" s="512"/>
      <c r="AA88" s="512"/>
      <c r="AB88" s="512"/>
      <c r="AC88" s="519"/>
      <c r="AD88" s="519"/>
      <c r="AE88" s="519"/>
      <c r="AF88" s="502"/>
      <c r="AG88" s="502"/>
      <c r="AH88" s="502"/>
    </row>
    <row r="89" spans="20:34" hidden="1" x14ac:dyDescent="0.35">
      <c r="T89" s="527"/>
      <c r="U89" s="527"/>
      <c r="V89" s="527"/>
      <c r="W89" s="501"/>
      <c r="X89" s="501"/>
      <c r="Y89" s="501"/>
      <c r="Z89" s="501"/>
      <c r="AA89" s="501"/>
      <c r="AB89" s="501"/>
      <c r="AC89" s="519"/>
      <c r="AD89" s="519"/>
      <c r="AE89" s="519"/>
      <c r="AF89" s="502"/>
      <c r="AG89" s="502"/>
      <c r="AH89" s="502"/>
    </row>
    <row r="90" spans="20:34" hidden="1" x14ac:dyDescent="0.35">
      <c r="T90" s="133"/>
      <c r="U90" s="133"/>
      <c r="V90" s="133"/>
      <c r="W90" s="90"/>
      <c r="X90" s="138"/>
      <c r="Y90" s="520"/>
      <c r="Z90" s="521"/>
      <c r="AA90" s="90"/>
      <c r="AB90" s="138"/>
      <c r="AC90" s="519"/>
      <c r="AD90" s="519"/>
      <c r="AE90" s="519"/>
      <c r="AF90" s="513"/>
      <c r="AG90" s="513"/>
      <c r="AH90" s="513"/>
    </row>
    <row r="91" spans="20:34" hidden="1" x14ac:dyDescent="0.35">
      <c r="T91" s="498"/>
      <c r="U91" s="498"/>
      <c r="V91" s="498"/>
      <c r="W91" s="31"/>
      <c r="X91" s="31"/>
      <c r="Y91" s="31"/>
      <c r="Z91" s="31"/>
      <c r="AA91" s="31"/>
      <c r="AB91" s="31"/>
      <c r="AC91" s="195"/>
      <c r="AD91" s="195"/>
      <c r="AE91" s="195"/>
      <c r="AF91" s="168"/>
      <c r="AG91" s="168"/>
      <c r="AH91" s="168"/>
    </row>
    <row r="92" spans="20:34" hidden="1" x14ac:dyDescent="0.35">
      <c r="T92" s="498"/>
      <c r="U92" s="498"/>
      <c r="V92" s="498"/>
      <c r="W92" s="31"/>
      <c r="X92" s="31"/>
      <c r="Y92" s="31"/>
      <c r="Z92" s="31"/>
      <c r="AA92" s="31"/>
      <c r="AB92" s="31"/>
      <c r="AC92" s="195"/>
      <c r="AD92" s="195"/>
      <c r="AE92" s="195"/>
      <c r="AF92" s="168"/>
      <c r="AG92" s="168"/>
      <c r="AH92" s="168"/>
    </row>
    <row r="93" spans="20:34" hidden="1" x14ac:dyDescent="0.35">
      <c r="W93" s="43"/>
      <c r="X93" s="119"/>
      <c r="Y93" s="528"/>
      <c r="Z93" s="529"/>
      <c r="AA93" s="43"/>
      <c r="AB93" s="119"/>
      <c r="AC93" s="195"/>
      <c r="AD93" s="195"/>
      <c r="AE93" s="195"/>
      <c r="AF93" s="168"/>
      <c r="AG93" s="168"/>
      <c r="AH93" s="168"/>
    </row>
    <row r="94" spans="20:34" hidden="1" x14ac:dyDescent="0.35">
      <c r="W94" s="43"/>
      <c r="X94" s="119"/>
      <c r="Y94" s="528"/>
      <c r="Z94" s="529"/>
      <c r="AA94" s="43"/>
      <c r="AB94" s="119"/>
      <c r="AC94" s="195"/>
      <c r="AD94" s="195"/>
      <c r="AE94" s="195"/>
      <c r="AF94" s="168"/>
      <c r="AG94" s="168"/>
      <c r="AH94" s="168"/>
    </row>
    <row r="95" spans="20:34" hidden="1" x14ac:dyDescent="0.35">
      <c r="T95" s="501"/>
      <c r="U95" s="501"/>
      <c r="V95" s="501"/>
      <c r="W95" s="512"/>
      <c r="X95" s="512"/>
      <c r="Y95" s="512"/>
      <c r="Z95" s="512"/>
      <c r="AA95" s="512"/>
      <c r="AB95" s="512"/>
      <c r="AC95" s="519"/>
      <c r="AD95" s="519"/>
      <c r="AE95" s="519"/>
      <c r="AF95" s="512"/>
      <c r="AG95" s="512"/>
      <c r="AH95" s="512"/>
    </row>
    <row r="96" spans="20:34" hidden="1" x14ac:dyDescent="0.35">
      <c r="T96" s="501"/>
      <c r="U96" s="501"/>
      <c r="V96" s="501"/>
      <c r="W96" s="501"/>
      <c r="X96" s="501"/>
      <c r="Y96" s="501"/>
      <c r="Z96" s="501"/>
      <c r="AA96" s="501"/>
      <c r="AB96" s="501"/>
      <c r="AC96" s="519"/>
      <c r="AD96" s="519"/>
      <c r="AE96" s="519"/>
      <c r="AF96" s="502"/>
      <c r="AG96" s="502"/>
      <c r="AH96" s="502"/>
    </row>
    <row r="97" spans="20:34" hidden="1" x14ac:dyDescent="0.35">
      <c r="T97" s="133"/>
      <c r="U97" s="133"/>
      <c r="V97" s="133"/>
      <c r="W97" s="90"/>
      <c r="X97" s="138"/>
      <c r="Y97" s="520"/>
      <c r="Z97" s="521"/>
      <c r="AA97" s="90"/>
      <c r="AB97" s="138"/>
      <c r="AC97" s="519"/>
      <c r="AD97" s="519"/>
      <c r="AE97" s="519"/>
      <c r="AF97" s="515"/>
      <c r="AG97" s="515"/>
      <c r="AH97" s="515"/>
    </row>
    <row r="98" spans="20:34" hidden="1" x14ac:dyDescent="0.35">
      <c r="T98" s="191"/>
      <c r="U98" s="191"/>
      <c r="V98" s="191"/>
      <c r="W98" s="31"/>
      <c r="X98" s="31"/>
      <c r="Y98" s="31"/>
      <c r="Z98" s="31"/>
      <c r="AA98" s="31"/>
      <c r="AB98" s="31"/>
      <c r="AC98" s="195"/>
      <c r="AD98" s="195"/>
      <c r="AE98" s="195"/>
      <c r="AF98" s="168"/>
      <c r="AG98" s="168"/>
      <c r="AH98" s="168"/>
    </row>
    <row r="99" spans="20:34" hidden="1" x14ac:dyDescent="0.35">
      <c r="T99" s="191"/>
      <c r="U99" s="191"/>
      <c r="V99" s="191"/>
      <c r="W99" s="31"/>
      <c r="X99" s="31"/>
      <c r="Y99" s="31"/>
      <c r="Z99" s="31"/>
      <c r="AA99" s="31"/>
      <c r="AB99" s="31"/>
      <c r="AC99" s="195"/>
      <c r="AD99" s="195"/>
      <c r="AE99" s="195"/>
      <c r="AF99" s="168"/>
      <c r="AG99" s="168"/>
      <c r="AH99" s="168"/>
    </row>
    <row r="100" spans="20:34" hidden="1" x14ac:dyDescent="0.35">
      <c r="T100" s="133"/>
      <c r="U100" s="133"/>
      <c r="V100" s="133"/>
      <c r="W100" s="31"/>
      <c r="X100" s="31"/>
      <c r="Y100" s="31"/>
      <c r="Z100" s="31"/>
      <c r="AA100" s="31"/>
      <c r="AB100" s="31"/>
      <c r="AC100" s="195"/>
      <c r="AD100" s="195"/>
      <c r="AE100" s="195"/>
      <c r="AF100" s="168"/>
      <c r="AG100" s="168"/>
      <c r="AH100" s="168"/>
    </row>
    <row r="101" spans="20:34" hidden="1" x14ac:dyDescent="0.35">
      <c r="T101" s="133"/>
      <c r="U101" s="133"/>
      <c r="V101" s="133"/>
      <c r="W101" s="31"/>
      <c r="X101" s="31"/>
      <c r="Y101" s="31"/>
      <c r="Z101" s="31"/>
      <c r="AA101" s="31"/>
      <c r="AB101" s="31"/>
      <c r="AC101" s="195"/>
      <c r="AD101" s="195"/>
      <c r="AE101" s="195"/>
      <c r="AF101" s="168"/>
      <c r="AG101" s="168"/>
      <c r="AH101" s="168"/>
    </row>
    <row r="102" spans="20:34" hidden="1" x14ac:dyDescent="0.35">
      <c r="T102" s="501"/>
      <c r="U102" s="501"/>
      <c r="V102" s="501"/>
      <c r="W102" s="512"/>
      <c r="X102" s="512"/>
      <c r="Y102" s="512"/>
      <c r="Z102" s="512"/>
      <c r="AA102" s="512"/>
      <c r="AB102" s="512"/>
      <c r="AC102" s="519"/>
      <c r="AD102" s="519"/>
      <c r="AE102" s="519"/>
      <c r="AF102" s="512"/>
      <c r="AG102" s="512"/>
      <c r="AH102" s="512"/>
    </row>
    <row r="103" spans="20:34" hidden="1" x14ac:dyDescent="0.35">
      <c r="T103" s="133"/>
      <c r="U103" s="133"/>
      <c r="V103" s="133"/>
      <c r="W103" s="90"/>
      <c r="X103" s="138"/>
      <c r="Y103" s="520"/>
      <c r="Z103" s="521"/>
      <c r="AA103" s="90"/>
      <c r="AB103" s="138"/>
      <c r="AC103" s="519"/>
      <c r="AD103" s="519"/>
      <c r="AE103" s="519"/>
      <c r="AF103" s="512"/>
      <c r="AG103" s="512"/>
      <c r="AH103" s="512"/>
    </row>
    <row r="104" spans="20:34" hidden="1" x14ac:dyDescent="0.35">
      <c r="T104" s="133"/>
      <c r="U104" s="133"/>
      <c r="V104" s="133"/>
      <c r="W104" s="90"/>
      <c r="X104" s="138"/>
      <c r="Y104" s="520"/>
      <c r="Z104" s="521"/>
      <c r="AA104" s="90"/>
      <c r="AB104" s="138"/>
      <c r="AC104" s="519"/>
      <c r="AD104" s="519"/>
      <c r="AE104" s="519"/>
      <c r="AF104" s="515"/>
      <c r="AG104" s="515"/>
      <c r="AH104" s="515"/>
    </row>
    <row r="105" spans="20:34" hidden="1" x14ac:dyDescent="0.35">
      <c r="T105" s="516"/>
      <c r="U105" s="516"/>
      <c r="V105" s="516"/>
      <c r="W105" s="31"/>
      <c r="X105" s="31"/>
      <c r="Y105" s="31"/>
      <c r="Z105" s="31"/>
      <c r="AA105" s="31"/>
      <c r="AB105" s="31"/>
      <c r="AC105" s="195"/>
      <c r="AD105" s="195"/>
      <c r="AE105" s="195"/>
      <c r="AF105" s="195"/>
      <c r="AG105" s="195"/>
      <c r="AH105" s="195"/>
    </row>
    <row r="106" spans="20:34" hidden="1" x14ac:dyDescent="0.35">
      <c r="T106" s="516"/>
      <c r="U106" s="516"/>
      <c r="V106" s="516"/>
      <c r="W106" s="31"/>
      <c r="X106" s="31"/>
      <c r="Y106" s="31"/>
      <c r="Z106" s="31"/>
      <c r="AA106" s="31"/>
      <c r="AB106" s="31"/>
      <c r="AC106" s="195"/>
      <c r="AD106" s="195"/>
      <c r="AE106" s="195"/>
      <c r="AF106" s="195"/>
      <c r="AG106" s="195"/>
      <c r="AH106" s="195"/>
    </row>
    <row r="107" spans="20:34" hidden="1" x14ac:dyDescent="0.35">
      <c r="T107" s="516"/>
      <c r="U107" s="516"/>
      <c r="V107" s="516"/>
      <c r="W107" s="105"/>
      <c r="X107" s="105"/>
      <c r="Y107" s="105"/>
      <c r="Z107" s="105"/>
      <c r="AA107" s="105"/>
      <c r="AB107" s="105"/>
      <c r="AC107" s="195"/>
      <c r="AD107" s="195"/>
      <c r="AE107" s="195"/>
      <c r="AF107" s="195"/>
      <c r="AG107" s="195"/>
      <c r="AH107" s="195"/>
    </row>
    <row r="108" spans="20:34" hidden="1" x14ac:dyDescent="0.35">
      <c r="T108" s="516"/>
      <c r="U108" s="516"/>
      <c r="V108" s="516"/>
      <c r="W108" s="105"/>
      <c r="X108" s="105"/>
      <c r="Y108" s="105"/>
      <c r="Z108" s="105"/>
      <c r="AA108" s="105"/>
      <c r="AB108" s="105"/>
      <c r="AC108" s="195"/>
      <c r="AD108" s="195"/>
      <c r="AE108" s="195"/>
      <c r="AF108" s="195"/>
      <c r="AG108" s="195"/>
      <c r="AH108" s="195"/>
    </row>
    <row r="109" spans="20:34" hidden="1" x14ac:dyDescent="0.35">
      <c r="T109" s="526"/>
      <c r="U109" s="526"/>
      <c r="V109" s="526"/>
      <c r="W109" s="512"/>
      <c r="X109" s="512"/>
      <c r="Y109" s="512"/>
      <c r="Z109" s="512"/>
      <c r="AA109" s="512"/>
      <c r="AB109" s="512"/>
      <c r="AC109" s="519"/>
      <c r="AD109" s="519"/>
      <c r="AE109" s="519"/>
      <c r="AF109" s="502"/>
      <c r="AG109" s="502"/>
      <c r="AH109" s="502"/>
    </row>
    <row r="110" spans="20:34" hidden="1" x14ac:dyDescent="0.35">
      <c r="T110" s="526"/>
      <c r="U110" s="526"/>
      <c r="V110" s="526"/>
      <c r="W110" s="501"/>
      <c r="X110" s="501"/>
      <c r="Y110" s="501"/>
      <c r="Z110" s="501"/>
      <c r="AA110" s="501"/>
      <c r="AB110" s="501"/>
      <c r="AC110" s="519"/>
      <c r="AD110" s="519"/>
      <c r="AE110" s="519"/>
      <c r="AF110" s="502"/>
      <c r="AG110" s="502"/>
      <c r="AH110" s="502"/>
    </row>
    <row r="111" spans="20:34" hidden="1" x14ac:dyDescent="0.35">
      <c r="T111" s="133"/>
      <c r="U111" s="133"/>
      <c r="V111" s="133"/>
      <c r="W111" s="90"/>
      <c r="X111" s="138"/>
      <c r="Y111" s="520"/>
      <c r="Z111" s="521"/>
      <c r="AA111" s="90"/>
      <c r="AB111" s="138"/>
      <c r="AC111" s="519"/>
      <c r="AD111" s="519"/>
      <c r="AE111" s="519"/>
      <c r="AF111" s="513"/>
      <c r="AG111" s="513"/>
      <c r="AH111" s="513"/>
    </row>
    <row r="112" spans="20:34" hidden="1" x14ac:dyDescent="0.35">
      <c r="T112" s="517"/>
      <c r="U112" s="517"/>
      <c r="V112" s="517"/>
      <c r="W112" s="31"/>
      <c r="X112" s="31"/>
      <c r="Y112" s="31"/>
      <c r="Z112" s="31"/>
      <c r="AA112" s="31"/>
      <c r="AB112" s="31"/>
      <c r="AC112" s="195"/>
      <c r="AD112" s="195"/>
      <c r="AE112" s="195"/>
      <c r="AF112" s="195"/>
      <c r="AG112" s="195"/>
      <c r="AH112" s="195"/>
    </row>
    <row r="113" spans="20:34" hidden="1" x14ac:dyDescent="0.35">
      <c r="T113" s="517"/>
      <c r="U113" s="517"/>
      <c r="V113" s="517"/>
      <c r="W113" s="31"/>
      <c r="X113" s="31"/>
      <c r="Y113" s="31"/>
      <c r="Z113" s="31"/>
      <c r="AA113" s="31"/>
      <c r="AB113" s="31"/>
      <c r="AC113" s="195"/>
      <c r="AD113" s="195"/>
      <c r="AE113" s="195"/>
      <c r="AF113" s="195"/>
      <c r="AG113" s="195"/>
      <c r="AH113" s="195"/>
    </row>
    <row r="114" spans="20:34" hidden="1" x14ac:dyDescent="0.35">
      <c r="T114" s="517"/>
      <c r="U114" s="517"/>
      <c r="V114" s="517"/>
      <c r="W114" s="105"/>
      <c r="X114" s="105"/>
      <c r="Y114" s="105"/>
      <c r="Z114" s="105"/>
      <c r="AA114" s="105"/>
      <c r="AB114" s="105"/>
      <c r="AC114" s="195"/>
      <c r="AD114" s="195"/>
      <c r="AE114" s="195"/>
      <c r="AF114" s="195"/>
      <c r="AG114" s="195"/>
      <c r="AH114" s="195"/>
    </row>
    <row r="115" spans="20:34" hidden="1" x14ac:dyDescent="0.35">
      <c r="T115" s="517"/>
      <c r="U115" s="517"/>
      <c r="V115" s="517"/>
      <c r="W115" s="105"/>
      <c r="X115" s="105"/>
      <c r="Y115" s="105"/>
      <c r="Z115" s="105"/>
      <c r="AA115" s="105"/>
      <c r="AB115" s="105"/>
      <c r="AC115" s="195"/>
      <c r="AD115" s="195"/>
      <c r="AE115" s="195"/>
      <c r="AF115" s="195"/>
      <c r="AG115" s="195"/>
      <c r="AH115" s="195"/>
    </row>
    <row r="116" spans="20:34" hidden="1" x14ac:dyDescent="0.35">
      <c r="T116" s="527"/>
      <c r="U116" s="527"/>
      <c r="V116" s="527"/>
      <c r="W116" s="512"/>
      <c r="X116" s="512"/>
      <c r="Y116" s="512"/>
      <c r="Z116" s="512"/>
      <c r="AA116" s="512"/>
      <c r="AB116" s="512"/>
      <c r="AC116" s="519"/>
      <c r="AD116" s="519"/>
      <c r="AE116" s="519"/>
      <c r="AF116" s="502"/>
      <c r="AG116" s="502"/>
      <c r="AH116" s="502"/>
    </row>
    <row r="117" spans="20:34" hidden="1" x14ac:dyDescent="0.35">
      <c r="T117" s="527"/>
      <c r="U117" s="527"/>
      <c r="V117" s="527"/>
      <c r="W117" s="501"/>
      <c r="X117" s="501"/>
      <c r="Y117" s="501"/>
      <c r="Z117" s="501"/>
      <c r="AA117" s="501"/>
      <c r="AB117" s="501"/>
      <c r="AC117" s="519"/>
      <c r="AD117" s="519"/>
      <c r="AE117" s="519"/>
      <c r="AF117" s="502"/>
      <c r="AG117" s="502"/>
      <c r="AH117" s="502"/>
    </row>
    <row r="118" spans="20:34" hidden="1" x14ac:dyDescent="0.35">
      <c r="T118" s="133"/>
      <c r="U118" s="133"/>
      <c r="V118" s="133"/>
      <c r="W118" s="90"/>
      <c r="X118" s="138"/>
      <c r="Y118" s="520"/>
      <c r="Z118" s="521"/>
      <c r="AA118" s="90"/>
      <c r="AB118" s="138"/>
      <c r="AC118" s="519"/>
      <c r="AD118" s="519"/>
      <c r="AE118" s="519"/>
      <c r="AF118" s="513"/>
      <c r="AG118" s="513"/>
      <c r="AH118" s="513"/>
    </row>
    <row r="119" spans="20:34" hidden="1" x14ac:dyDescent="0.35">
      <c r="T119" s="517"/>
      <c r="U119" s="517"/>
      <c r="V119" s="517"/>
      <c r="W119" s="31"/>
      <c r="X119" s="31"/>
      <c r="Y119" s="31"/>
      <c r="Z119" s="31"/>
      <c r="AA119" s="31"/>
      <c r="AB119" s="31"/>
      <c r="AC119" s="195"/>
      <c r="AD119" s="195"/>
      <c r="AE119" s="195"/>
      <c r="AF119" s="195"/>
      <c r="AG119" s="195"/>
      <c r="AH119" s="195"/>
    </row>
    <row r="120" spans="20:34" hidden="1" x14ac:dyDescent="0.35">
      <c r="T120" s="517"/>
      <c r="U120" s="517"/>
      <c r="V120" s="517"/>
      <c r="W120" s="31"/>
      <c r="X120" s="31"/>
      <c r="Y120" s="31"/>
      <c r="Z120" s="31"/>
      <c r="AA120" s="31"/>
      <c r="AB120" s="31"/>
      <c r="AC120" s="195"/>
      <c r="AD120" s="195"/>
      <c r="AE120" s="195"/>
      <c r="AF120" s="195"/>
      <c r="AG120" s="195"/>
      <c r="AH120" s="195"/>
    </row>
    <row r="121" spans="20:34" hidden="1" x14ac:dyDescent="0.35">
      <c r="T121" s="517"/>
      <c r="U121" s="517"/>
      <c r="V121" s="517"/>
      <c r="W121" s="105"/>
      <c r="X121" s="105"/>
      <c r="Y121" s="105"/>
      <c r="Z121" s="105"/>
      <c r="AA121" s="105"/>
      <c r="AB121" s="105"/>
      <c r="AC121" s="195"/>
      <c r="AD121" s="195"/>
      <c r="AE121" s="195"/>
      <c r="AF121" s="195"/>
      <c r="AG121" s="195"/>
      <c r="AH121" s="195"/>
    </row>
    <row r="122" spans="20:34" hidden="1" x14ac:dyDescent="0.35">
      <c r="T122" s="517"/>
      <c r="U122" s="517"/>
      <c r="V122" s="517"/>
      <c r="W122" s="105"/>
      <c r="X122" s="105"/>
      <c r="Y122" s="105"/>
      <c r="Z122" s="105"/>
      <c r="AA122" s="105"/>
      <c r="AB122" s="105"/>
      <c r="AC122" s="195"/>
      <c r="AD122" s="195"/>
      <c r="AE122" s="195"/>
      <c r="AF122" s="195"/>
      <c r="AG122" s="195"/>
      <c r="AH122" s="195"/>
    </row>
    <row r="123" spans="20:34" hidden="1" x14ac:dyDescent="0.35">
      <c r="T123" s="527"/>
      <c r="U123" s="527"/>
      <c r="V123" s="527"/>
      <c r="W123" s="512"/>
      <c r="X123" s="512"/>
      <c r="Y123" s="512"/>
      <c r="Z123" s="512"/>
      <c r="AA123" s="512"/>
      <c r="AB123" s="512"/>
      <c r="AC123" s="519"/>
      <c r="AD123" s="519"/>
      <c r="AE123" s="519"/>
      <c r="AF123" s="502"/>
      <c r="AG123" s="502"/>
      <c r="AH123" s="502"/>
    </row>
    <row r="124" spans="20:34" hidden="1" x14ac:dyDescent="0.35">
      <c r="T124" s="527"/>
      <c r="U124" s="527"/>
      <c r="V124" s="527"/>
      <c r="W124" s="501"/>
      <c r="X124" s="501"/>
      <c r="Y124" s="501"/>
      <c r="Z124" s="501"/>
      <c r="AA124" s="501"/>
      <c r="AB124" s="501"/>
      <c r="AC124" s="519"/>
      <c r="AD124" s="519"/>
      <c r="AE124" s="519"/>
      <c r="AF124" s="502"/>
      <c r="AG124" s="502"/>
      <c r="AH124" s="502"/>
    </row>
    <row r="125" spans="20:34" hidden="1" x14ac:dyDescent="0.35">
      <c r="T125" s="133"/>
      <c r="U125" s="133"/>
      <c r="V125" s="133"/>
      <c r="W125" s="530"/>
      <c r="X125" s="133"/>
      <c r="Y125" s="520"/>
      <c r="Z125" s="133"/>
      <c r="AA125" s="133"/>
      <c r="AB125" s="133"/>
      <c r="AC125" s="519"/>
      <c r="AD125" s="519"/>
      <c r="AE125" s="519"/>
      <c r="AF125" s="513"/>
      <c r="AG125" s="513"/>
      <c r="AH125" s="513"/>
    </row>
    <row r="126" spans="20:34" hidden="1" x14ac:dyDescent="0.35">
      <c r="T126" s="517"/>
      <c r="U126" s="517"/>
      <c r="V126" s="517"/>
      <c r="W126" s="31"/>
      <c r="X126" s="31"/>
      <c r="Y126" s="31"/>
      <c r="Z126" s="31"/>
      <c r="AA126" s="31"/>
      <c r="AB126" s="31"/>
      <c r="AC126" s="195"/>
      <c r="AD126" s="195"/>
      <c r="AE126" s="195"/>
      <c r="AF126" s="195"/>
      <c r="AG126" s="195"/>
      <c r="AH126" s="195"/>
    </row>
    <row r="127" spans="20:34" hidden="1" x14ac:dyDescent="0.35">
      <c r="T127" s="518"/>
      <c r="U127" s="518"/>
      <c r="V127" s="518"/>
      <c r="W127" s="31"/>
      <c r="X127" s="31"/>
      <c r="Y127" s="31"/>
      <c r="Z127" s="31"/>
      <c r="AA127" s="31"/>
      <c r="AB127" s="31"/>
      <c r="AC127" s="195"/>
      <c r="AD127" s="195"/>
      <c r="AE127" s="195"/>
      <c r="AF127" s="195"/>
      <c r="AG127" s="195"/>
      <c r="AH127" s="195"/>
    </row>
    <row r="128" spans="20:34" hidden="1" x14ac:dyDescent="0.35">
      <c r="T128" s="517"/>
      <c r="U128" s="517"/>
      <c r="V128" s="517"/>
      <c r="W128" s="105"/>
      <c r="X128" s="105"/>
      <c r="Y128" s="105"/>
      <c r="Z128" s="105"/>
      <c r="AA128" s="105"/>
      <c r="AB128" s="105"/>
      <c r="AC128" s="195"/>
      <c r="AD128" s="195"/>
      <c r="AE128" s="195"/>
      <c r="AF128" s="195"/>
      <c r="AG128" s="195"/>
      <c r="AH128" s="195"/>
    </row>
    <row r="129" spans="20:34" hidden="1" x14ac:dyDescent="0.35">
      <c r="T129" s="518"/>
      <c r="U129" s="518"/>
      <c r="V129" s="518"/>
      <c r="W129" s="105"/>
      <c r="X129" s="105"/>
      <c r="Y129" s="105"/>
      <c r="Z129" s="105"/>
      <c r="AA129" s="105"/>
      <c r="AB129" s="105"/>
      <c r="AC129" s="195"/>
      <c r="AD129" s="195"/>
      <c r="AE129" s="195"/>
      <c r="AF129" s="195"/>
      <c r="AG129" s="195"/>
      <c r="AH129" s="195"/>
    </row>
    <row r="130" spans="20:34" hidden="1" x14ac:dyDescent="0.35">
      <c r="T130" s="221"/>
      <c r="U130" s="221"/>
      <c r="V130" s="221"/>
      <c r="W130" s="512"/>
      <c r="X130" s="512"/>
      <c r="Y130" s="512"/>
      <c r="Z130" s="512"/>
      <c r="AA130" s="512"/>
      <c r="AB130" s="512"/>
      <c r="AC130" s="519"/>
      <c r="AD130" s="519"/>
      <c r="AE130" s="519"/>
      <c r="AF130" s="502"/>
      <c r="AG130" s="502"/>
      <c r="AH130" s="502"/>
    </row>
    <row r="131" spans="20:34" hidden="1" x14ac:dyDescent="0.35">
      <c r="T131" s="221"/>
      <c r="U131" s="221"/>
      <c r="V131" s="221"/>
      <c r="W131" s="501"/>
      <c r="X131" s="501"/>
      <c r="Y131" s="501"/>
      <c r="Z131" s="501"/>
      <c r="AA131" s="501"/>
      <c r="AB131" s="501"/>
      <c r="AC131" s="519"/>
      <c r="AD131" s="519"/>
      <c r="AE131" s="519"/>
      <c r="AF131" s="502"/>
      <c r="AG131" s="502"/>
      <c r="AH131" s="502"/>
    </row>
    <row r="132" spans="20:34" hidden="1" x14ac:dyDescent="0.35">
      <c r="T132" s="133"/>
      <c r="U132" s="133"/>
      <c r="V132" s="133"/>
      <c r="W132" s="90"/>
      <c r="X132" s="138"/>
      <c r="Y132" s="520"/>
      <c r="Z132" s="521"/>
      <c r="AA132" s="90"/>
      <c r="AB132" s="138"/>
      <c r="AC132" s="519"/>
      <c r="AD132" s="519"/>
      <c r="AE132" s="519"/>
      <c r="AF132" s="513"/>
      <c r="AG132" s="513"/>
      <c r="AH132" s="513"/>
    </row>
    <row r="133" spans="20:34" hidden="1" x14ac:dyDescent="0.35">
      <c r="T133" s="111"/>
      <c r="U133" s="111"/>
      <c r="V133" s="111"/>
      <c r="W133" s="111"/>
      <c r="X133" s="111"/>
      <c r="Y133" s="111"/>
      <c r="Z133" s="111"/>
      <c r="AA133" s="111"/>
      <c r="AB133" s="111"/>
    </row>
    <row r="134" spans="20:34" hidden="1" x14ac:dyDescent="0.35">
      <c r="T134" s="111"/>
      <c r="U134" s="111"/>
      <c r="V134" s="111"/>
      <c r="W134" s="111"/>
      <c r="X134" s="111"/>
      <c r="Y134" s="111"/>
      <c r="Z134" s="111"/>
      <c r="AA134" s="111"/>
      <c r="AB134" s="111"/>
      <c r="AC134" s="7"/>
      <c r="AD134" s="7"/>
      <c r="AE134" s="7"/>
      <c r="AF134" s="7"/>
      <c r="AG134" s="7"/>
      <c r="AH134" s="7"/>
    </row>
    <row r="135" spans="20:34" hidden="1" x14ac:dyDescent="0.35">
      <c r="AC135" s="7"/>
      <c r="AD135" s="7"/>
      <c r="AE135" s="7"/>
      <c r="AF135" s="7"/>
      <c r="AG135" s="7"/>
      <c r="AH135" s="7"/>
    </row>
    <row r="136" spans="20:34" hidden="1" x14ac:dyDescent="0.35">
      <c r="T136" s="192"/>
      <c r="U136" s="192"/>
      <c r="V136" s="192"/>
      <c r="W136" s="192"/>
      <c r="X136" s="192"/>
      <c r="Y136" s="192"/>
      <c r="Z136" s="192"/>
      <c r="AA136" s="192"/>
      <c r="AB136" s="192"/>
      <c r="AC136" s="192"/>
      <c r="AD136" s="192"/>
      <c r="AE136" s="192"/>
      <c r="AF136" s="192"/>
      <c r="AG136" s="192"/>
      <c r="AH136" s="192"/>
    </row>
    <row r="137" spans="20:34" hidden="1" x14ac:dyDescent="0.35">
      <c r="T137" s="192"/>
      <c r="U137" s="192"/>
      <c r="V137" s="192"/>
      <c r="W137" s="1010"/>
      <c r="X137" s="1010"/>
      <c r="Y137" s="111"/>
      <c r="Z137" s="111"/>
      <c r="AA137" s="111"/>
      <c r="AB137" s="111"/>
    </row>
    <row r="138" spans="20:34" hidden="1" x14ac:dyDescent="0.35">
      <c r="T138" s="193"/>
      <c r="U138" s="193"/>
      <c r="V138" s="193"/>
      <c r="W138" s="1010"/>
      <c r="X138" s="1010"/>
      <c r="Y138" s="111"/>
      <c r="Z138" s="111"/>
      <c r="AA138" s="111"/>
      <c r="AB138" s="111"/>
      <c r="AC138" s="7"/>
      <c r="AD138" s="7"/>
      <c r="AE138" s="7"/>
      <c r="AF138" s="7"/>
      <c r="AG138" s="7"/>
      <c r="AH138" s="7"/>
    </row>
    <row r="139" spans="20:34" hidden="1" x14ac:dyDescent="0.35">
      <c r="T139" s="90"/>
      <c r="U139" s="90"/>
      <c r="V139" s="90"/>
      <c r="W139" s="8"/>
      <c r="X139" s="8"/>
      <c r="Y139" s="111"/>
      <c r="Z139" s="111"/>
      <c r="AA139" s="111"/>
      <c r="AB139" s="111"/>
    </row>
    <row r="140" spans="20:34" hidden="1" x14ac:dyDescent="0.35">
      <c r="T140" s="90"/>
      <c r="U140" s="90"/>
      <c r="V140" s="90"/>
      <c r="W140" s="8"/>
      <c r="X140" s="8"/>
      <c r="Y140" s="111"/>
      <c r="Z140" s="111"/>
      <c r="AA140" s="111"/>
      <c r="AB140" s="111"/>
    </row>
    <row r="141" spans="20:34" hidden="1" x14ac:dyDescent="0.35">
      <c r="T141" s="90"/>
      <c r="U141" s="90"/>
      <c r="V141" s="90"/>
      <c r="W141" s="8"/>
      <c r="X141" s="8"/>
      <c r="Y141" s="111"/>
      <c r="Z141" s="111"/>
      <c r="AA141" s="111"/>
      <c r="AB141" s="111"/>
    </row>
    <row r="142" spans="20:34" hidden="1" x14ac:dyDescent="0.35">
      <c r="T142" s="194"/>
      <c r="U142" s="194"/>
      <c r="V142" s="194"/>
      <c r="W142" s="29"/>
      <c r="X142" s="531"/>
      <c r="Y142" s="111"/>
      <c r="Z142" s="111"/>
      <c r="AA142" s="111"/>
      <c r="AB142" s="111"/>
    </row>
    <row r="143" spans="20:34" hidden="1" x14ac:dyDescent="0.35">
      <c r="T143" s="111"/>
      <c r="U143" s="111"/>
      <c r="V143" s="111"/>
      <c r="W143" s="111"/>
      <c r="X143" s="111"/>
      <c r="Y143" s="111"/>
      <c r="Z143" s="111"/>
      <c r="AA143" s="111"/>
      <c r="AB143" s="111"/>
    </row>
    <row r="144" spans="20:34" hidden="1" x14ac:dyDescent="0.35">
      <c r="T144" s="111"/>
      <c r="U144" s="111"/>
      <c r="V144" s="111"/>
      <c r="W144" s="111"/>
      <c r="X144" s="111"/>
      <c r="Y144" s="111"/>
      <c r="Z144" s="111"/>
      <c r="AA144" s="111"/>
      <c r="AB144" s="111"/>
    </row>
    <row r="145" spans="20:28" hidden="1" x14ac:dyDescent="0.35">
      <c r="T145" s="111"/>
      <c r="U145" s="111"/>
      <c r="V145" s="111"/>
      <c r="W145" s="111"/>
      <c r="X145" s="111"/>
      <c r="Y145" s="111"/>
      <c r="Z145" s="111"/>
      <c r="AA145" s="111"/>
      <c r="AB145" s="111"/>
    </row>
    <row r="146" spans="20:28" hidden="1" x14ac:dyDescent="0.35">
      <c r="T146" s="111"/>
      <c r="U146" s="111"/>
      <c r="V146" s="111"/>
      <c r="W146" s="111"/>
      <c r="X146" s="111"/>
      <c r="Y146" s="111"/>
      <c r="Z146" s="111"/>
      <c r="AA146" s="111"/>
      <c r="AB146" s="111"/>
    </row>
    <row r="147" spans="20:28" hidden="1" x14ac:dyDescent="0.35">
      <c r="T147" s="111"/>
      <c r="U147" s="111"/>
      <c r="V147" s="111"/>
      <c r="W147" s="111"/>
      <c r="X147" s="111"/>
      <c r="Y147" s="111"/>
      <c r="Z147" s="111"/>
      <c r="AA147" s="111"/>
      <c r="AB147" s="111"/>
    </row>
    <row r="401" x14ac:dyDescent="0.35"/>
    <row r="402" x14ac:dyDescent="0.35"/>
    <row r="403" x14ac:dyDescent="0.35"/>
    <row r="404" x14ac:dyDescent="0.35"/>
    <row r="405" x14ac:dyDescent="0.35"/>
    <row r="406" x14ac:dyDescent="0.35"/>
    <row r="407" x14ac:dyDescent="0.35"/>
    <row r="408" x14ac:dyDescent="0.35"/>
    <row r="409" x14ac:dyDescent="0.35"/>
    <row r="410" x14ac:dyDescent="0.35"/>
    <row r="411" x14ac:dyDescent="0.35"/>
    <row r="412" x14ac:dyDescent="0.35"/>
  </sheetData>
  <mergeCells count="6">
    <mergeCell ref="Z67:Z68"/>
    <mergeCell ref="W137:W138"/>
    <mergeCell ref="X137:X138"/>
    <mergeCell ref="I67:I68"/>
    <mergeCell ref="Y67:Y68"/>
    <mergeCell ref="J67:J68"/>
  </mergeCells>
  <pageMargins left="0.7" right="0.7" top="0.75" bottom="0.75" header="0.3" footer="0.3"/>
  <pageSetup paperSize="9" orientation="portrait" r:id="rId1"/>
  <ignoredErrors>
    <ignoredError sqref="E18:G18" formula="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6"/>
  </sheetPr>
  <dimension ref="A1:AH109"/>
  <sheetViews>
    <sheetView zoomScale="70" zoomScaleNormal="70" workbookViewId="0">
      <pane xSplit="4" ySplit="6" topLeftCell="E7" activePane="bottomRight" state="frozen"/>
      <selection pane="topRight" activeCell="E1" sqref="E1"/>
      <selection pane="bottomLeft" activeCell="A7" sqref="A7"/>
      <selection pane="bottomRight" activeCell="A18" sqref="A18"/>
    </sheetView>
  </sheetViews>
  <sheetFormatPr defaultRowHeight="14.5" x14ac:dyDescent="0.35"/>
  <cols>
    <col min="1" max="1" width="27.7265625" style="133" customWidth="1"/>
    <col min="2" max="2" width="44" style="133" customWidth="1"/>
    <col min="3" max="3" width="22.453125" style="133" customWidth="1"/>
    <col min="4" max="4" width="19.453125" style="133" customWidth="1"/>
    <col min="5" max="19" width="14.1796875" style="133" customWidth="1"/>
    <col min="20" max="28" width="14.1796875" style="7" customWidth="1"/>
    <col min="29" max="34" width="14.1796875" style="133" customWidth="1"/>
  </cols>
  <sheetData>
    <row r="1" spans="1:34" ht="28.5" x14ac:dyDescent="0.65">
      <c r="A1" s="76" t="s">
        <v>531</v>
      </c>
      <c r="B1" s="77"/>
      <c r="C1" s="77"/>
      <c r="D1" s="77"/>
      <c r="E1" s="77"/>
      <c r="F1" s="77"/>
      <c r="G1" s="77"/>
      <c r="H1" s="76"/>
      <c r="I1" s="76"/>
      <c r="J1" s="76"/>
      <c r="K1" s="76"/>
      <c r="L1" s="76"/>
      <c r="M1" s="76"/>
      <c r="N1" s="76"/>
      <c r="O1" s="76"/>
      <c r="P1" s="76"/>
      <c r="Q1" s="76"/>
      <c r="R1" s="76"/>
      <c r="S1" s="76"/>
      <c r="T1" s="77"/>
      <c r="U1" s="77"/>
      <c r="V1" s="77"/>
      <c r="W1" s="77"/>
      <c r="X1" s="76"/>
      <c r="Y1" s="76"/>
      <c r="Z1" s="76"/>
      <c r="AA1" s="76"/>
      <c r="AB1" s="76"/>
      <c r="AC1" s="76"/>
      <c r="AD1" s="76"/>
      <c r="AE1" s="76"/>
      <c r="AF1" s="76"/>
      <c r="AG1" s="76"/>
      <c r="AH1" s="76"/>
    </row>
    <row r="2" spans="1:34" ht="21.5" thickBot="1" x14ac:dyDescent="0.55000000000000004">
      <c r="A2" s="85"/>
      <c r="B2" s="85"/>
      <c r="C2" s="85"/>
      <c r="D2" s="85"/>
      <c r="E2" s="126" t="s">
        <v>409</v>
      </c>
      <c r="F2" s="126"/>
      <c r="G2" s="126"/>
      <c r="H2" s="126"/>
      <c r="I2" s="126"/>
      <c r="J2" s="126"/>
      <c r="K2" s="126"/>
      <c r="L2" s="126"/>
      <c r="M2" s="126"/>
      <c r="N2" s="126"/>
      <c r="O2" s="126"/>
      <c r="P2" s="126"/>
      <c r="Q2" s="126"/>
      <c r="R2" s="126"/>
      <c r="S2" s="126"/>
      <c r="T2" s="233" t="s">
        <v>47</v>
      </c>
      <c r="U2" s="125"/>
      <c r="V2" s="125"/>
      <c r="W2" s="125"/>
      <c r="X2" s="125"/>
      <c r="Y2" s="125"/>
      <c r="Z2" s="125"/>
      <c r="AA2" s="125"/>
      <c r="AB2" s="125"/>
      <c r="AC2" s="125"/>
      <c r="AD2" s="125"/>
      <c r="AE2" s="125"/>
      <c r="AF2" s="125"/>
      <c r="AG2" s="125"/>
      <c r="AH2" s="125"/>
    </row>
    <row r="3" spans="1:34" ht="19.5" x14ac:dyDescent="0.45">
      <c r="A3" s="85"/>
      <c r="B3" s="85"/>
      <c r="C3" s="85"/>
      <c r="D3" s="85"/>
      <c r="E3" s="85"/>
      <c r="F3" s="85"/>
      <c r="G3" s="85"/>
      <c r="H3" s="85"/>
      <c r="I3" s="85"/>
      <c r="J3" s="85"/>
      <c r="K3" s="85"/>
      <c r="L3" s="85"/>
      <c r="M3" s="85"/>
      <c r="N3" s="85"/>
      <c r="O3" s="85"/>
      <c r="P3" s="85"/>
      <c r="Q3" s="277"/>
      <c r="R3" s="278"/>
      <c r="S3" s="279"/>
      <c r="T3" s="85"/>
      <c r="U3" s="85"/>
      <c r="V3" s="85"/>
      <c r="W3" s="85"/>
      <c r="X3" s="85"/>
      <c r="Y3" s="85"/>
      <c r="Z3" s="85"/>
      <c r="AA3" s="85"/>
      <c r="AB3" s="85"/>
      <c r="AC3" s="85"/>
      <c r="AD3" s="85"/>
      <c r="AE3" s="85"/>
      <c r="AF3" s="277"/>
      <c r="AG3" s="278"/>
      <c r="AH3" s="279"/>
    </row>
    <row r="4" spans="1:34" x14ac:dyDescent="0.35">
      <c r="A4" s="52"/>
      <c r="B4" s="52"/>
      <c r="C4" s="52"/>
      <c r="D4" s="52"/>
      <c r="E4" s="52" t="s">
        <v>410</v>
      </c>
      <c r="F4" s="52"/>
      <c r="G4" s="52"/>
      <c r="H4" s="52" t="s">
        <v>412</v>
      </c>
      <c r="I4" s="52"/>
      <c r="J4" s="52"/>
      <c r="K4" s="52"/>
      <c r="L4" s="52"/>
      <c r="M4" s="52"/>
      <c r="N4" s="196" t="s">
        <v>415</v>
      </c>
      <c r="O4" s="98"/>
      <c r="P4" s="196"/>
      <c r="Q4" s="280" t="s">
        <v>414</v>
      </c>
      <c r="R4" s="196"/>
      <c r="S4" s="281"/>
      <c r="T4" s="52" t="s">
        <v>410</v>
      </c>
      <c r="U4" s="52"/>
      <c r="V4" s="52"/>
      <c r="W4" s="52" t="s">
        <v>412</v>
      </c>
      <c r="X4" s="52"/>
      <c r="Y4" s="52"/>
      <c r="Z4" s="52"/>
      <c r="AA4" s="52"/>
      <c r="AB4" s="52"/>
      <c r="AC4" s="196" t="s">
        <v>415</v>
      </c>
      <c r="AD4" s="98"/>
      <c r="AE4" s="196"/>
      <c r="AF4" s="280" t="s">
        <v>414</v>
      </c>
      <c r="AG4" s="196"/>
      <c r="AH4" s="281"/>
    </row>
    <row r="5" spans="1:34" x14ac:dyDescent="0.35">
      <c r="A5" s="52" t="s">
        <v>203</v>
      </c>
      <c r="B5" s="52" t="s">
        <v>416</v>
      </c>
      <c r="C5" s="52" t="s">
        <v>417</v>
      </c>
      <c r="D5" s="52" t="s">
        <v>418</v>
      </c>
      <c r="E5" s="82" t="s">
        <v>532</v>
      </c>
      <c r="F5" s="134"/>
      <c r="G5" s="134"/>
      <c r="H5" s="82"/>
      <c r="I5" s="134"/>
      <c r="J5" s="134"/>
      <c r="K5" s="134"/>
      <c r="L5" s="134"/>
      <c r="M5" s="134"/>
      <c r="N5" s="54"/>
      <c r="O5" s="134"/>
      <c r="P5" s="54"/>
      <c r="Q5" s="282"/>
      <c r="R5" s="54"/>
      <c r="S5" s="283"/>
      <c r="T5" s="82"/>
      <c r="U5" s="134"/>
      <c r="V5" s="134"/>
      <c r="W5" s="82"/>
      <c r="X5" s="134"/>
      <c r="Y5" s="134"/>
      <c r="Z5" s="134"/>
      <c r="AA5" s="134"/>
      <c r="AB5" s="134"/>
      <c r="AC5" s="54"/>
      <c r="AD5" s="134"/>
      <c r="AE5" s="54"/>
      <c r="AF5" s="282"/>
      <c r="AG5" s="54"/>
      <c r="AH5" s="283"/>
    </row>
    <row r="6" spans="1:34" x14ac:dyDescent="0.35">
      <c r="A6" s="134"/>
      <c r="B6" s="82" t="s">
        <v>473</v>
      </c>
      <c r="C6" s="134"/>
      <c r="D6" s="134"/>
      <c r="E6" s="86" t="s">
        <v>350</v>
      </c>
      <c r="F6" s="128" t="s">
        <v>351</v>
      </c>
      <c r="G6" s="129" t="s">
        <v>352</v>
      </c>
      <c r="H6" s="86" t="s">
        <v>422</v>
      </c>
      <c r="I6" s="86" t="s">
        <v>423</v>
      </c>
      <c r="J6" s="86" t="s">
        <v>424</v>
      </c>
      <c r="K6" s="86" t="s">
        <v>425</v>
      </c>
      <c r="L6" s="86" t="s">
        <v>426</v>
      </c>
      <c r="M6" s="86" t="s">
        <v>427</v>
      </c>
      <c r="N6" s="86" t="s">
        <v>428</v>
      </c>
      <c r="O6" s="86" t="s">
        <v>429</v>
      </c>
      <c r="P6" s="86" t="s">
        <v>430</v>
      </c>
      <c r="Q6" s="284" t="s">
        <v>428</v>
      </c>
      <c r="R6" s="86" t="s">
        <v>429</v>
      </c>
      <c r="S6" s="285" t="s">
        <v>430</v>
      </c>
      <c r="T6" s="86" t="s">
        <v>350</v>
      </c>
      <c r="U6" s="128" t="s">
        <v>351</v>
      </c>
      <c r="V6" s="129" t="s">
        <v>352</v>
      </c>
      <c r="W6" s="86" t="s">
        <v>422</v>
      </c>
      <c r="X6" s="86" t="s">
        <v>423</v>
      </c>
      <c r="Y6" s="86" t="s">
        <v>424</v>
      </c>
      <c r="Z6" s="86" t="s">
        <v>425</v>
      </c>
      <c r="AA6" s="86" t="s">
        <v>426</v>
      </c>
      <c r="AB6" s="86" t="s">
        <v>427</v>
      </c>
      <c r="AC6" s="86" t="s">
        <v>428</v>
      </c>
      <c r="AD6" s="86" t="s">
        <v>429</v>
      </c>
      <c r="AE6" s="86" t="s">
        <v>430</v>
      </c>
      <c r="AF6" s="284" t="s">
        <v>428</v>
      </c>
      <c r="AG6" s="86" t="s">
        <v>429</v>
      </c>
      <c r="AH6" s="285" t="s">
        <v>430</v>
      </c>
    </row>
    <row r="7" spans="1:34" x14ac:dyDescent="0.35">
      <c r="A7" s="7" t="s">
        <v>125</v>
      </c>
      <c r="B7" s="7" t="s">
        <v>474</v>
      </c>
      <c r="C7" s="7" t="s">
        <v>432</v>
      </c>
      <c r="D7" s="7" t="s">
        <v>475</v>
      </c>
      <c r="E7" s="533">
        <f>1/80</f>
        <v>1.2500000000000001E-2</v>
      </c>
      <c r="F7" s="533">
        <f>1/100</f>
        <v>0.01</v>
      </c>
      <c r="G7" s="533">
        <f>1/120</f>
        <v>8.3333333333333332E-3</v>
      </c>
      <c r="H7" s="566">
        <v>0.86839860984493344</v>
      </c>
      <c r="I7" s="566">
        <v>0.92465088478175872</v>
      </c>
      <c r="J7" s="566">
        <v>0.98090315971858399</v>
      </c>
      <c r="K7" s="566">
        <v>0.14606571486559838</v>
      </c>
      <c r="L7" s="566">
        <v>0.15547666995603393</v>
      </c>
      <c r="M7" s="566">
        <v>0.16488762504646948</v>
      </c>
      <c r="N7" s="195">
        <f t="shared" ref="N7:N20" si="0">HHProps_SSW*(H7+K7)</f>
        <v>547239.59192887519</v>
      </c>
      <c r="O7" s="195">
        <f t="shared" ref="O7:O20" si="1">HHProps_SSW*(I7+L7)</f>
        <v>582660.76774509065</v>
      </c>
      <c r="P7" s="195">
        <f t="shared" ref="P7:P20" si="2">HHProps_SSW*(J7+M7)</f>
        <v>618081.94356130611</v>
      </c>
      <c r="Q7" s="286">
        <f t="shared" ref="Q7:S12" si="3">N7/(($E7-$G7)*AllProps_SSW)</f>
        <v>230.64934286856044</v>
      </c>
      <c r="R7" s="195">
        <f t="shared" si="3"/>
        <v>245.57858235732843</v>
      </c>
      <c r="S7" s="287">
        <f t="shared" si="3"/>
        <v>260.50782184609642</v>
      </c>
      <c r="T7" s="496">
        <f>1/80</f>
        <v>1.2500000000000001E-2</v>
      </c>
      <c r="U7" s="497">
        <f>1/100</f>
        <v>0.01</v>
      </c>
      <c r="V7" s="497">
        <f>1/120</f>
        <v>8.3333333333333332E-3</v>
      </c>
      <c r="W7" s="566">
        <v>1.0503336029715431</v>
      </c>
      <c r="X7" s="566">
        <v>1.2201738153952471</v>
      </c>
      <c r="Y7" s="566">
        <v>1.390014027818951</v>
      </c>
      <c r="Z7" s="566">
        <v>0.46006518051068857</v>
      </c>
      <c r="AA7" s="566">
        <v>0.53388149301201038</v>
      </c>
      <c r="AB7" s="566">
        <v>0.60769780551333219</v>
      </c>
      <c r="AC7" s="195">
        <f t="shared" ref="AC7:AC20" si="4">HHProps_CAM*(W7+Z7)</f>
        <v>205236.00749713261</v>
      </c>
      <c r="AD7" s="195">
        <f t="shared" ref="AD7:AD20" si="5">HHProps_CAM*(X7+AA7)</f>
        <v>238344.54341699494</v>
      </c>
      <c r="AE7" s="195">
        <f t="shared" ref="AE7:AE20" si="6">HHProps_CAM*(Y7+AB7)</f>
        <v>271453.07933685731</v>
      </c>
      <c r="AF7" s="286">
        <f t="shared" ref="AF7:AH12" si="7">AC7/(($T7-$V7)*AllProps_CAM)</f>
        <v>340.93775903838628</v>
      </c>
      <c r="AG7" s="195">
        <f t="shared" si="7"/>
        <v>395.93761105859028</v>
      </c>
      <c r="AH7" s="287">
        <f t="shared" si="7"/>
        <v>450.93746307879439</v>
      </c>
    </row>
    <row r="8" spans="1:34" x14ac:dyDescent="0.35">
      <c r="A8" s="7" t="s">
        <v>129</v>
      </c>
      <c r="B8" s="7" t="s">
        <v>441</v>
      </c>
      <c r="C8" s="7" t="s">
        <v>432</v>
      </c>
      <c r="D8" s="7" t="s">
        <v>475</v>
      </c>
      <c r="E8" s="498">
        <f>1/15</f>
        <v>6.6666666666666666E-2</v>
      </c>
      <c r="F8" s="498">
        <f>1/20</f>
        <v>0.05</v>
      </c>
      <c r="G8" s="498">
        <f>1/25</f>
        <v>0.04</v>
      </c>
      <c r="H8" s="566">
        <v>2.3617312773824533</v>
      </c>
      <c r="I8" s="566">
        <v>2.5136208805568678</v>
      </c>
      <c r="J8" s="566">
        <v>2.6655104837312824</v>
      </c>
      <c r="K8" s="566">
        <v>0.38175903942216927</v>
      </c>
      <c r="L8" s="566">
        <v>0.40607903025206316</v>
      </c>
      <c r="M8" s="566">
        <v>0.43039902108195704</v>
      </c>
      <c r="N8" s="195">
        <f t="shared" si="0"/>
        <v>1479940.1860261352</v>
      </c>
      <c r="O8" s="195">
        <f t="shared" si="1"/>
        <v>1574994.1607870373</v>
      </c>
      <c r="P8" s="195">
        <f t="shared" si="2"/>
        <v>1670048.1355479395</v>
      </c>
      <c r="Q8" s="286">
        <f t="shared" si="3"/>
        <v>97.462803663309614</v>
      </c>
      <c r="R8" s="195">
        <f t="shared" si="3"/>
        <v>103.72266941127261</v>
      </c>
      <c r="S8" s="287">
        <f t="shared" si="3"/>
        <v>109.9825351592356</v>
      </c>
      <c r="T8" s="496">
        <f>1/45</f>
        <v>2.2222222222222223E-2</v>
      </c>
      <c r="U8" s="497">
        <f>1/55</f>
        <v>1.8181818181818181E-2</v>
      </c>
      <c r="V8" s="497">
        <f>1/65</f>
        <v>1.5384615384615385E-2</v>
      </c>
      <c r="W8" s="31">
        <v>2.7963538801752339</v>
      </c>
      <c r="X8" s="31">
        <v>3.2470267228202889</v>
      </c>
      <c r="Y8" s="31">
        <v>3.697699565465344</v>
      </c>
      <c r="Z8" s="31">
        <v>1.2813259857945285</v>
      </c>
      <c r="AA8" s="31">
        <v>1.4876598814855271</v>
      </c>
      <c r="AB8" s="31">
        <v>1.6939937771765257</v>
      </c>
      <c r="AC8" s="195">
        <f t="shared" si="4"/>
        <v>554083.29554770328</v>
      </c>
      <c r="AD8" s="195">
        <f t="shared" si="5"/>
        <v>643358.68516628293</v>
      </c>
      <c r="AE8" s="195">
        <f t="shared" si="6"/>
        <v>732634.07478486258</v>
      </c>
      <c r="AF8" s="286">
        <f t="shared" si="7"/>
        <v>560.89456908406771</v>
      </c>
      <c r="AG8" s="195">
        <f t="shared" si="7"/>
        <v>651.26740939939975</v>
      </c>
      <c r="AH8" s="287">
        <f t="shared" si="7"/>
        <v>741.64024971473168</v>
      </c>
    </row>
    <row r="9" spans="1:34" x14ac:dyDescent="0.35">
      <c r="A9" s="7" t="s">
        <v>131</v>
      </c>
      <c r="B9" s="7" t="s">
        <v>442</v>
      </c>
      <c r="C9" s="7" t="s">
        <v>432</v>
      </c>
      <c r="D9" s="7" t="s">
        <v>475</v>
      </c>
      <c r="E9" s="498">
        <f>1/60</f>
        <v>1.6666666666666666E-2</v>
      </c>
      <c r="F9" s="498">
        <f>1/75</f>
        <v>1.3333333333333334E-2</v>
      </c>
      <c r="G9" s="498">
        <f>1/90</f>
        <v>1.1111111111111112E-2</v>
      </c>
      <c r="H9" s="566">
        <v>0.212091117265852</v>
      </c>
      <c r="I9" s="566">
        <v>0.2257441775394235</v>
      </c>
      <c r="J9" s="566">
        <v>0.23939723781299499</v>
      </c>
      <c r="K9" s="566">
        <v>8.6048658035659809E-2</v>
      </c>
      <c r="L9" s="566">
        <v>9.1574277888642142E-2</v>
      </c>
      <c r="M9" s="566">
        <v>9.7099897741624475E-2</v>
      </c>
      <c r="N9" s="195">
        <f t="shared" si="0"/>
        <v>160827.62596932161</v>
      </c>
      <c r="O9" s="195">
        <f t="shared" si="1"/>
        <v>171173.31564074944</v>
      </c>
      <c r="P9" s="195">
        <f t="shared" si="2"/>
        <v>181519.00531217727</v>
      </c>
      <c r="Q9" s="286">
        <f t="shared" si="3"/>
        <v>50.838956270760669</v>
      </c>
      <c r="R9" s="195">
        <f t="shared" si="3"/>
        <v>54.109315213302722</v>
      </c>
      <c r="S9" s="287">
        <f t="shared" si="3"/>
        <v>57.379674155844775</v>
      </c>
      <c r="T9" s="496">
        <f>1/70</f>
        <v>1.4285714285714285E-2</v>
      </c>
      <c r="U9" s="497">
        <f>1/85</f>
        <v>1.1764705882352941E-2</v>
      </c>
      <c r="V9" s="497">
        <f>1/100</f>
        <v>0.01</v>
      </c>
      <c r="W9" s="31">
        <v>0.212091117265852</v>
      </c>
      <c r="X9" s="31">
        <v>0.2257441775394235</v>
      </c>
      <c r="Y9" s="31">
        <v>0.23939723781299499</v>
      </c>
      <c r="Z9" s="31">
        <v>8.6048658035659809E-2</v>
      </c>
      <c r="AA9" s="31">
        <v>9.1574277888642142E-2</v>
      </c>
      <c r="AB9" s="31">
        <v>9.7099897741624475E-2</v>
      </c>
      <c r="AC9" s="195">
        <f t="shared" si="4"/>
        <v>40511.828947520029</v>
      </c>
      <c r="AD9" s="195">
        <f t="shared" si="5"/>
        <v>43117.866360476415</v>
      </c>
      <c r="AE9" s="195">
        <f t="shared" si="6"/>
        <v>45723.903773432801</v>
      </c>
      <c r="AF9" s="286">
        <f t="shared" si="7"/>
        <v>65.428797484354803</v>
      </c>
      <c r="AG9" s="195">
        <f t="shared" si="7"/>
        <v>69.637689024400004</v>
      </c>
      <c r="AH9" s="287">
        <f t="shared" si="7"/>
        <v>73.846580564445205</v>
      </c>
    </row>
    <row r="10" spans="1:34" x14ac:dyDescent="0.35">
      <c r="A10" s="7" t="s">
        <v>133</v>
      </c>
      <c r="B10" s="7" t="s">
        <v>478</v>
      </c>
      <c r="C10" s="7" t="s">
        <v>432</v>
      </c>
      <c r="D10" s="7" t="s">
        <v>475</v>
      </c>
      <c r="E10" s="498">
        <f>1/3</f>
        <v>0.33333333333333331</v>
      </c>
      <c r="F10" s="498">
        <f>1/4</f>
        <v>0.25</v>
      </c>
      <c r="G10" s="498">
        <f>1/5</f>
        <v>0.2</v>
      </c>
      <c r="H10" s="566">
        <v>1.6482786604438375</v>
      </c>
      <c r="I10" s="566">
        <v>1.7542649682968712</v>
      </c>
      <c r="J10" s="566">
        <v>1.8602512761499048</v>
      </c>
      <c r="K10" s="566">
        <v>0.95729924398477473</v>
      </c>
      <c r="L10" s="566">
        <v>1.0183486804525086</v>
      </c>
      <c r="M10" s="566">
        <v>1.0793981169202425</v>
      </c>
      <c r="N10" s="195">
        <f t="shared" si="0"/>
        <v>1405545.1280312573</v>
      </c>
      <c r="O10" s="195">
        <f t="shared" si="1"/>
        <v>1495650.3888404192</v>
      </c>
      <c r="P10" s="195">
        <f t="shared" si="2"/>
        <v>1585755.6496495809</v>
      </c>
      <c r="Q10" s="286">
        <f t="shared" si="3"/>
        <v>18.512689924457888</v>
      </c>
      <c r="R10" s="195">
        <f t="shared" si="3"/>
        <v>19.699482664623343</v>
      </c>
      <c r="S10" s="287">
        <f t="shared" si="3"/>
        <v>20.886275404788798</v>
      </c>
      <c r="T10" s="496">
        <f>1/3</f>
        <v>0.33333333333333331</v>
      </c>
      <c r="U10" s="497">
        <f>1/4</f>
        <v>0.25</v>
      </c>
      <c r="V10" s="497">
        <f>1/5</f>
        <v>0.2</v>
      </c>
      <c r="W10" s="31">
        <v>0.44034925189778279</v>
      </c>
      <c r="X10" s="31">
        <v>0.5115909580488055</v>
      </c>
      <c r="Y10" s="522">
        <v>0.58283266419982827</v>
      </c>
      <c r="Z10" s="522">
        <v>0.21358974381955781</v>
      </c>
      <c r="AA10" s="31">
        <v>0.24798757130584426</v>
      </c>
      <c r="AB10" s="31">
        <v>0.28238539879213065</v>
      </c>
      <c r="AC10" s="195">
        <f t="shared" si="4"/>
        <v>88858.53861606367</v>
      </c>
      <c r="AD10" s="195">
        <f t="shared" si="5"/>
        <v>103213.04972576852</v>
      </c>
      <c r="AE10" s="195">
        <f t="shared" si="6"/>
        <v>117567.56083547336</v>
      </c>
      <c r="AF10" s="286">
        <f t="shared" si="7"/>
        <v>4.6128648727139669</v>
      </c>
      <c r="AG10" s="195">
        <f t="shared" si="7"/>
        <v>5.3580427823917383</v>
      </c>
      <c r="AH10" s="287">
        <f t="shared" si="7"/>
        <v>6.1032206920695096</v>
      </c>
    </row>
    <row r="11" spans="1:34" x14ac:dyDescent="0.35">
      <c r="A11" s="7" t="s">
        <v>135</v>
      </c>
      <c r="B11" s="7" t="s">
        <v>480</v>
      </c>
      <c r="C11" s="7" t="s">
        <v>432</v>
      </c>
      <c r="D11" s="7" t="s">
        <v>475</v>
      </c>
      <c r="E11" s="569">
        <v>0</v>
      </c>
      <c r="F11" s="569">
        <v>2000</v>
      </c>
      <c r="G11" s="569">
        <v>4000</v>
      </c>
      <c r="H11" s="31">
        <v>3.9029849484083794</v>
      </c>
      <c r="I11" s="31">
        <v>4.153353131791846</v>
      </c>
      <c r="J11" s="31">
        <v>4.4037213151753125</v>
      </c>
      <c r="K11" s="31">
        <v>0.44164778847653796</v>
      </c>
      <c r="L11" s="31">
        <v>0.47000218421636397</v>
      </c>
      <c r="M11" s="31">
        <v>0.49835657995618998</v>
      </c>
      <c r="N11" s="195">
        <f t="shared" si="0"/>
        <v>2343655.6496869894</v>
      </c>
      <c r="O11" s="195">
        <f t="shared" si="1"/>
        <v>2494008.9216015209</v>
      </c>
      <c r="P11" s="195">
        <f t="shared" si="2"/>
        <v>2644362.1935160523</v>
      </c>
      <c r="Q11" s="286">
        <f>-N11/(($E11-$G11))</f>
        <v>585.91391242174734</v>
      </c>
      <c r="R11" s="195">
        <f>-O11/(($E11-$G11))</f>
        <v>623.5022304003802</v>
      </c>
      <c r="S11" s="287">
        <f>-P11/(($E11-$G11))</f>
        <v>661.09054837901306</v>
      </c>
      <c r="T11" s="578">
        <v>0</v>
      </c>
      <c r="U11" s="579">
        <v>650</v>
      </c>
      <c r="V11" s="579">
        <v>1350</v>
      </c>
      <c r="W11" s="31">
        <v>2.737100373360374</v>
      </c>
      <c r="X11" s="31">
        <v>3.1786545007378098</v>
      </c>
      <c r="Y11" s="31">
        <v>3.6202086281152455</v>
      </c>
      <c r="Z11" s="31">
        <v>0.44823716253780965</v>
      </c>
      <c r="AA11" s="31">
        <v>0.51999377335493691</v>
      </c>
      <c r="AB11" s="31">
        <v>0.59175038417206371</v>
      </c>
      <c r="AC11" s="195">
        <f t="shared" si="4"/>
        <v>432830.03505291702</v>
      </c>
      <c r="AD11" s="195">
        <f t="shared" si="5"/>
        <v>502579.7247802706</v>
      </c>
      <c r="AE11" s="195">
        <f t="shared" si="6"/>
        <v>572329.41450762411</v>
      </c>
      <c r="AF11" s="286">
        <f>-AC11/(($T11-$V11))</f>
        <v>320.61484077993856</v>
      </c>
      <c r="AG11" s="195">
        <f>-AD11/(($T11-$V11))</f>
        <v>372.28127761501526</v>
      </c>
      <c r="AH11" s="287">
        <f>-AE11/(($T11-$V11))</f>
        <v>423.94771445009195</v>
      </c>
    </row>
    <row r="12" spans="1:34" x14ac:dyDescent="0.35">
      <c r="A12" s="7" t="s">
        <v>445</v>
      </c>
      <c r="B12" s="7" t="s">
        <v>482</v>
      </c>
      <c r="C12" s="7" t="s">
        <v>432</v>
      </c>
      <c r="D12" s="7" t="s">
        <v>475</v>
      </c>
      <c r="E12" s="533">
        <f>1/70</f>
        <v>1.4285714285714285E-2</v>
      </c>
      <c r="F12" s="533">
        <f>1/90</f>
        <v>1.1111111111111112E-2</v>
      </c>
      <c r="G12" s="533">
        <f>1/105</f>
        <v>9.5238095238095247E-3</v>
      </c>
      <c r="H12" s="31">
        <v>0.32049016150798193</v>
      </c>
      <c r="I12" s="31">
        <v>0.34402464861444743</v>
      </c>
      <c r="J12" s="31">
        <v>0.36755913572091292</v>
      </c>
      <c r="K12" s="31">
        <v>0.2822993992913011</v>
      </c>
      <c r="L12" s="31">
        <v>0.30285567277211028</v>
      </c>
      <c r="M12" s="31">
        <v>0.32341194625291947</v>
      </c>
      <c r="N12" s="195">
        <f t="shared" si="0"/>
        <v>325166.99230888282</v>
      </c>
      <c r="O12" s="195">
        <f t="shared" si="1"/>
        <v>348951.17992780055</v>
      </c>
      <c r="P12" s="195">
        <f t="shared" si="2"/>
        <v>372735.36754671822</v>
      </c>
      <c r="Q12" s="286">
        <f t="shared" si="3"/>
        <v>119.91933684833896</v>
      </c>
      <c r="R12" s="195">
        <f t="shared" si="3"/>
        <v>128.69078067320214</v>
      </c>
      <c r="S12" s="287">
        <f t="shared" si="3"/>
        <v>137.46222449806532</v>
      </c>
      <c r="T12" s="533">
        <f>1/40</f>
        <v>2.5000000000000001E-2</v>
      </c>
      <c r="U12" s="533">
        <f>1/50</f>
        <v>0.02</v>
      </c>
      <c r="V12" s="533">
        <f>1/60</f>
        <v>1.6666666666666666E-2</v>
      </c>
      <c r="W12" s="31">
        <v>4.5496902843383438E-2</v>
      </c>
      <c r="X12" s="31">
        <v>5.1566374153082802E-2</v>
      </c>
      <c r="Y12" s="31">
        <v>5.7635845462782165E-2</v>
      </c>
      <c r="Z12" s="31">
        <v>0.55866271520717981</v>
      </c>
      <c r="AA12" s="31">
        <v>0.63452935581753855</v>
      </c>
      <c r="AB12" s="31">
        <v>0.71039599642789741</v>
      </c>
      <c r="AC12" s="195">
        <f t="shared" si="4"/>
        <v>82094.417219946641</v>
      </c>
      <c r="AD12" s="195">
        <f t="shared" si="5"/>
        <v>93228.059979867976</v>
      </c>
      <c r="AE12" s="195">
        <f t="shared" si="6"/>
        <v>104361.70273978931</v>
      </c>
      <c r="AF12" s="286">
        <f t="shared" si="7"/>
        <v>68.187563619707319</v>
      </c>
      <c r="AG12" s="195">
        <f t="shared" si="7"/>
        <v>77.435159250689779</v>
      </c>
      <c r="AH12" s="287">
        <f t="shared" si="7"/>
        <v>86.682754881672238</v>
      </c>
    </row>
    <row r="13" spans="1:34" x14ac:dyDescent="0.35">
      <c r="A13" s="7" t="s">
        <v>143</v>
      </c>
      <c r="B13" s="7" t="s">
        <v>447</v>
      </c>
      <c r="C13" s="7" t="s">
        <v>432</v>
      </c>
      <c r="D13" s="7" t="s">
        <v>475</v>
      </c>
      <c r="E13" s="533">
        <f>1/40</f>
        <v>2.5000000000000001E-2</v>
      </c>
      <c r="F13" s="533">
        <f>1/50</f>
        <v>0.02</v>
      </c>
      <c r="G13" s="533">
        <f>1/65</f>
        <v>1.5384615384615385E-2</v>
      </c>
      <c r="H13" s="31">
        <v>0.25523142668690374</v>
      </c>
      <c r="I13" s="31">
        <v>0.27397052805780353</v>
      </c>
      <c r="J13" s="31">
        <v>0.29270962942870332</v>
      </c>
      <c r="K13" s="31">
        <v>0.28890912191447543</v>
      </c>
      <c r="L13" s="31">
        <v>0.31012333824297222</v>
      </c>
      <c r="M13" s="31">
        <v>0.33133755457146902</v>
      </c>
      <c r="N13" s="195">
        <f t="shared" si="0"/>
        <v>293529.54511588218</v>
      </c>
      <c r="O13" s="195">
        <f t="shared" si="1"/>
        <v>315081.84295569157</v>
      </c>
      <c r="P13" s="195">
        <f t="shared" si="2"/>
        <v>336634.14079550095</v>
      </c>
      <c r="Q13" s="286">
        <f>N13/(($E13-$G13)*100)</f>
        <v>305270.72692051745</v>
      </c>
      <c r="R13" s="195">
        <f>O13/(($E13-$G13)*100)</f>
        <v>327685.1166739192</v>
      </c>
      <c r="S13" s="287">
        <f>P13/(($E13-$G13)*100)</f>
        <v>350099.506427321</v>
      </c>
      <c r="T13" s="496">
        <f>1/20</f>
        <v>0.05</v>
      </c>
      <c r="U13" s="497">
        <f>1/25</f>
        <v>0.04</v>
      </c>
      <c r="V13" s="497">
        <f>1/30</f>
        <v>3.3333333333333333E-2</v>
      </c>
      <c r="W13" s="31">
        <v>0.13022873785438305</v>
      </c>
      <c r="X13" s="31">
        <v>0.14752418103788892</v>
      </c>
      <c r="Y13" s="31">
        <v>0.16481962422139479</v>
      </c>
      <c r="Z13" s="31">
        <v>0.38379976436482821</v>
      </c>
      <c r="AA13" s="31">
        <v>0.4352645054001234</v>
      </c>
      <c r="AB13" s="31">
        <v>0.48672924643541854</v>
      </c>
      <c r="AC13" s="195">
        <f t="shared" si="4"/>
        <v>69847.220938550861</v>
      </c>
      <c r="AD13" s="195">
        <f t="shared" si="5"/>
        <v>79190.492290569993</v>
      </c>
      <c r="AE13" s="195">
        <f t="shared" si="6"/>
        <v>88533.763642589111</v>
      </c>
      <c r="AF13" s="286">
        <f>AC13/(($T13-$V13)*100)</f>
        <v>41908.332563130512</v>
      </c>
      <c r="AG13" s="195">
        <f>AD13/(($T13-$V13)*100)</f>
        <v>47514.295374341986</v>
      </c>
      <c r="AH13" s="287">
        <f>AE13/(($T13-$V13)*100)</f>
        <v>53120.258185553459</v>
      </c>
    </row>
    <row r="14" spans="1:34" x14ac:dyDescent="0.35">
      <c r="A14" s="7" t="s">
        <v>139</v>
      </c>
      <c r="B14" s="7" t="s">
        <v>452</v>
      </c>
      <c r="C14" s="7" t="s">
        <v>432</v>
      </c>
      <c r="D14" s="7" t="s">
        <v>475</v>
      </c>
      <c r="E14" s="103">
        <f>1/10</f>
        <v>0.1</v>
      </c>
      <c r="F14" s="103">
        <f>1/12</f>
        <v>8.3333333333333329E-2</v>
      </c>
      <c r="G14" s="103">
        <f>1/15</f>
        <v>6.6666666666666666E-2</v>
      </c>
      <c r="H14" s="31">
        <v>0.6248317807666105</v>
      </c>
      <c r="I14" s="31">
        <v>0.67048359883499642</v>
      </c>
      <c r="J14" s="31">
        <v>0.71613541690338234</v>
      </c>
      <c r="K14" s="31">
        <v>0.31901593912766424</v>
      </c>
      <c r="L14" s="31">
        <v>0.34223714271060324</v>
      </c>
      <c r="M14" s="31">
        <v>0.36545834629354224</v>
      </c>
      <c r="N14" s="195">
        <f t="shared" si="0"/>
        <v>509146.38247660786</v>
      </c>
      <c r="O14" s="195">
        <f t="shared" si="1"/>
        <v>546299.03865713358</v>
      </c>
      <c r="P14" s="195">
        <f t="shared" si="2"/>
        <v>583451.69483765936</v>
      </c>
      <c r="Q14" s="286">
        <f t="shared" ref="Q14:S15" si="8">N14/(($E14-$G14)*AllProps_SSW)</f>
        <v>26.824237562977096</v>
      </c>
      <c r="R14" s="195">
        <f t="shared" si="8"/>
        <v>28.781615067329334</v>
      </c>
      <c r="S14" s="287">
        <f t="shared" si="8"/>
        <v>30.738992571681571</v>
      </c>
      <c r="T14" s="496">
        <f>1/11</f>
        <v>9.0909090909090912E-2</v>
      </c>
      <c r="U14" s="497">
        <f>1/13</f>
        <v>7.6923076923076927E-2</v>
      </c>
      <c r="V14" s="497">
        <f>1/15</f>
        <v>6.6666666666666666E-2</v>
      </c>
      <c r="W14" s="31">
        <v>1.8458569412240895</v>
      </c>
      <c r="X14" s="31">
        <v>2.0915775159019629</v>
      </c>
      <c r="Y14" s="31">
        <v>2.3372980905798366</v>
      </c>
      <c r="Z14" s="31">
        <v>0.62477641289128028</v>
      </c>
      <c r="AA14" s="31">
        <v>0.70742929864721038</v>
      </c>
      <c r="AB14" s="31">
        <v>0.79008218440314026</v>
      </c>
      <c r="AC14" s="195">
        <f t="shared" si="4"/>
        <v>335714.60142390465</v>
      </c>
      <c r="AD14" s="195">
        <f t="shared" si="5"/>
        <v>380334.64397457079</v>
      </c>
      <c r="AE14" s="195">
        <f t="shared" si="6"/>
        <v>424954.68652523687</v>
      </c>
      <c r="AF14" s="286">
        <f t="shared" ref="AF14:AH15" si="9">AC14/(($T14-$V14)*AllProps_CAM)</f>
        <v>95.852729963426398</v>
      </c>
      <c r="AG14" s="195">
        <f t="shared" si="9"/>
        <v>108.59257765377191</v>
      </c>
      <c r="AH14" s="287">
        <f t="shared" si="9"/>
        <v>121.33242534411741</v>
      </c>
    </row>
    <row r="15" spans="1:34" x14ac:dyDescent="0.35">
      <c r="A15" s="7" t="s">
        <v>141</v>
      </c>
      <c r="B15" s="7" t="s">
        <v>453</v>
      </c>
      <c r="C15" s="7" t="s">
        <v>432</v>
      </c>
      <c r="D15" s="7" t="s">
        <v>475</v>
      </c>
      <c r="E15" s="533">
        <f>1/80</f>
        <v>1.2500000000000001E-2</v>
      </c>
      <c r="F15" s="533">
        <f>1/100</f>
        <v>0.01</v>
      </c>
      <c r="G15" s="533">
        <f>1/120</f>
        <v>8.3333333333333332E-3</v>
      </c>
      <c r="H15" s="31">
        <v>1.5444751877640055</v>
      </c>
      <c r="I15" s="31">
        <v>1.6572869394532252</v>
      </c>
      <c r="J15" s="31">
        <v>1.770098691142445</v>
      </c>
      <c r="K15" s="31">
        <v>0.18974223020913872</v>
      </c>
      <c r="L15" s="31">
        <v>0.2035858675115032</v>
      </c>
      <c r="M15" s="31">
        <v>0.21742950481386769</v>
      </c>
      <c r="N15" s="195">
        <f t="shared" si="0"/>
        <v>935501.04129917896</v>
      </c>
      <c r="O15" s="195">
        <f t="shared" si="1"/>
        <v>1003823.6443706322</v>
      </c>
      <c r="P15" s="195">
        <f t="shared" si="2"/>
        <v>1072146.2474420855</v>
      </c>
      <c r="Q15" s="286">
        <f t="shared" si="8"/>
        <v>394.29292692067071</v>
      </c>
      <c r="R15" s="195">
        <f t="shared" si="8"/>
        <v>423.08938780164499</v>
      </c>
      <c r="S15" s="287">
        <f t="shared" si="8"/>
        <v>451.88584868261933</v>
      </c>
      <c r="T15" s="496">
        <f>1/80</f>
        <v>1.2500000000000001E-2</v>
      </c>
      <c r="U15" s="497">
        <f>1/100</f>
        <v>0.01</v>
      </c>
      <c r="V15" s="497">
        <f>1/120</f>
        <v>8.3333333333333332E-3</v>
      </c>
      <c r="W15" s="31">
        <v>1.3856801648113932</v>
      </c>
      <c r="X15" s="31">
        <v>1.5718864020952983</v>
      </c>
      <c r="Y15" s="31">
        <v>1.7580926393792033</v>
      </c>
      <c r="Z15" s="31">
        <v>0.41442051474239161</v>
      </c>
      <c r="AA15" s="31">
        <v>0.46870323002607583</v>
      </c>
      <c r="AB15" s="31">
        <v>0.52298594530976006</v>
      </c>
      <c r="AC15" s="195">
        <f t="shared" si="4"/>
        <v>244601.28053912739</v>
      </c>
      <c r="AD15" s="195">
        <f t="shared" si="5"/>
        <v>277279.40039191657</v>
      </c>
      <c r="AE15" s="195">
        <f t="shared" si="6"/>
        <v>309957.52024470572</v>
      </c>
      <c r="AF15" s="286">
        <f t="shared" si="9"/>
        <v>406.33129372337277</v>
      </c>
      <c r="AG15" s="195">
        <f t="shared" si="9"/>
        <v>460.61613919501059</v>
      </c>
      <c r="AH15" s="287">
        <f t="shared" si="9"/>
        <v>514.90098466664836</v>
      </c>
    </row>
    <row r="16" spans="1:34" x14ac:dyDescent="0.35">
      <c r="A16" s="7" t="s">
        <v>40</v>
      </c>
      <c r="B16" s="7" t="s">
        <v>484</v>
      </c>
      <c r="C16" s="7" t="s">
        <v>148</v>
      </c>
      <c r="D16" s="7" t="s">
        <v>475</v>
      </c>
      <c r="E16" s="107">
        <v>70.5</v>
      </c>
      <c r="F16" s="107">
        <v>52.875</v>
      </c>
      <c r="G16" s="107">
        <v>35.25</v>
      </c>
      <c r="H16" s="31">
        <v>0.53692729750756707</v>
      </c>
      <c r="I16" s="31">
        <v>0.56822271657079115</v>
      </c>
      <c r="J16" s="31">
        <v>0.59951813563401524</v>
      </c>
      <c r="K16" s="31">
        <v>0.10117059294318953</v>
      </c>
      <c r="L16" s="31">
        <v>0.10712289168414013</v>
      </c>
      <c r="M16" s="31">
        <v>0.11307519042509073</v>
      </c>
      <c r="N16" s="195">
        <f t="shared" si="0"/>
        <v>344213.61173108476</v>
      </c>
      <c r="O16" s="195">
        <f t="shared" si="1"/>
        <v>364306.40888021537</v>
      </c>
      <c r="P16" s="195">
        <f t="shared" si="2"/>
        <v>384399.20602934592</v>
      </c>
      <c r="Q16" s="286">
        <f>N16/($E16-$G16)</f>
        <v>9764.9251554917664</v>
      </c>
      <c r="R16" s="195">
        <f>O16/(($E16-$G16))</f>
        <v>10334.933585254337</v>
      </c>
      <c r="S16" s="287">
        <f>P16/(($E16-$G16))</f>
        <v>10904.942015016906</v>
      </c>
      <c r="T16" s="483">
        <v>13.5</v>
      </c>
      <c r="U16" s="483">
        <v>10.125</v>
      </c>
      <c r="V16" s="483">
        <v>6.75</v>
      </c>
      <c r="W16" s="31">
        <v>2.0162165515961492</v>
      </c>
      <c r="X16" s="31">
        <v>2.2194117609254933</v>
      </c>
      <c r="Y16" s="115">
        <v>2.4226069702548374</v>
      </c>
      <c r="Z16" s="115">
        <v>5.5612094090440323E-3</v>
      </c>
      <c r="AA16" s="31">
        <v>6.1213637153003653E-3</v>
      </c>
      <c r="AB16" s="31">
        <v>6.6815180215566983E-3</v>
      </c>
      <c r="AC16" s="195">
        <f t="shared" si="4"/>
        <v>274723.20572090766</v>
      </c>
      <c r="AD16" s="195">
        <f t="shared" si="5"/>
        <v>302409.8920424403</v>
      </c>
      <c r="AE16" s="195">
        <f t="shared" si="6"/>
        <v>330096.57836397301</v>
      </c>
      <c r="AF16" s="286">
        <f>AC16/($T16-$V16)</f>
        <v>40699.73418087521</v>
      </c>
      <c r="AG16" s="195">
        <f>AD16/(($T16-$V16))</f>
        <v>44801.465487768932</v>
      </c>
      <c r="AH16" s="287">
        <f>AE16/(($T16-$V16))</f>
        <v>48903.196794662668</v>
      </c>
    </row>
    <row r="17" spans="1:34" x14ac:dyDescent="0.35">
      <c r="A17" s="7" t="s">
        <v>455</v>
      </c>
      <c r="B17" s="7" t="s">
        <v>485</v>
      </c>
      <c r="C17" s="7" t="s">
        <v>457</v>
      </c>
      <c r="D17" s="7" t="s">
        <v>475</v>
      </c>
      <c r="E17" s="571">
        <v>0.33</v>
      </c>
      <c r="F17" s="571">
        <v>0.4</v>
      </c>
      <c r="G17" s="571">
        <v>0.5</v>
      </c>
      <c r="H17" s="31">
        <v>3.3492614671281653</v>
      </c>
      <c r="I17" s="31">
        <v>3.5444878382368952</v>
      </c>
      <c r="J17" s="31">
        <v>3.739714209345625</v>
      </c>
      <c r="K17" s="31">
        <v>0.35334632250035281</v>
      </c>
      <c r="L17" s="31">
        <v>0.37386701240178821</v>
      </c>
      <c r="M17" s="31">
        <v>0.39438770230322406</v>
      </c>
      <c r="N17" s="195">
        <f t="shared" si="0"/>
        <v>1997323.6382138389</v>
      </c>
      <c r="O17" s="195">
        <f t="shared" si="1"/>
        <v>2113705.5855639796</v>
      </c>
      <c r="P17" s="195">
        <f t="shared" si="2"/>
        <v>2230087.5329141202</v>
      </c>
      <c r="Q17" s="286">
        <f>-N17/(($E17-$G17)*HHProps_SSW)</f>
        <v>21.780045821344224</v>
      </c>
      <c r="R17" s="195">
        <f>-O17/(($E17-$G17)*HHProps_SSW)</f>
        <v>23.049146180227552</v>
      </c>
      <c r="S17" s="287">
        <f>-P17/(($E17-$G17)*HHProps_SSW)</f>
        <v>24.318246539110881</v>
      </c>
      <c r="T17" s="532">
        <v>0.7</v>
      </c>
      <c r="U17" s="542">
        <v>0.8</v>
      </c>
      <c r="V17" s="542">
        <v>0.95</v>
      </c>
      <c r="W17" s="31">
        <v>1.2820899564124602</v>
      </c>
      <c r="X17" s="31">
        <v>1.4118429400613834</v>
      </c>
      <c r="Y17" s="31">
        <v>1.5415959237103067</v>
      </c>
      <c r="Z17" s="31">
        <v>0.87565203637910405</v>
      </c>
      <c r="AA17" s="31">
        <v>0.96420064774362579</v>
      </c>
      <c r="AB17" s="31">
        <v>1.0527492591081475</v>
      </c>
      <c r="AC17" s="195">
        <f t="shared" si="4"/>
        <v>293198.29746450332</v>
      </c>
      <c r="AD17" s="195">
        <f t="shared" si="5"/>
        <v>322861.55479812028</v>
      </c>
      <c r="AE17" s="195">
        <f t="shared" si="6"/>
        <v>352524.81213173718</v>
      </c>
      <c r="AF17" s="286">
        <f>-AC17/(($T17-$V17)*HHProps_CAM)</f>
        <v>8.6309679711662568</v>
      </c>
      <c r="AG17" s="195">
        <f>-AD17/(($T17-$V17)*HHProps_CAM)</f>
        <v>9.504174351220037</v>
      </c>
      <c r="AH17" s="287">
        <f>-AE17/(($T17-$V17)*HHProps_CAM)</f>
        <v>10.377380731273817</v>
      </c>
    </row>
    <row r="18" spans="1:34" x14ac:dyDescent="0.35">
      <c r="A18" s="53" t="s">
        <v>461</v>
      </c>
      <c r="B18" s="7" t="s">
        <v>487</v>
      </c>
      <c r="C18" s="7" t="s">
        <v>463</v>
      </c>
      <c r="D18" s="7" t="s">
        <v>475</v>
      </c>
      <c r="E18" s="571">
        <v>0.11</v>
      </c>
      <c r="F18" s="571">
        <v>0.14000000000000001</v>
      </c>
      <c r="G18" s="571">
        <v>0.18</v>
      </c>
      <c r="H18" s="31">
        <v>0.57613529468230551</v>
      </c>
      <c r="I18" s="31">
        <v>0.60967273665288491</v>
      </c>
      <c r="J18" s="31">
        <v>0.6432101786234643</v>
      </c>
      <c r="K18" s="31">
        <v>0.43340016017983807</v>
      </c>
      <c r="L18" s="31">
        <v>0.45855153546034511</v>
      </c>
      <c r="M18" s="31">
        <v>0.48370291074085214</v>
      </c>
      <c r="N18" s="195">
        <f t="shared" si="0"/>
        <v>544580.77716447017</v>
      </c>
      <c r="O18" s="195">
        <f t="shared" si="1"/>
        <v>576239.69667594449</v>
      </c>
      <c r="P18" s="195">
        <f t="shared" si="2"/>
        <v>607898.61618741881</v>
      </c>
      <c r="Q18" s="286">
        <f>-(N18/($E18-$G18))/100</f>
        <v>77797.2538806386</v>
      </c>
      <c r="R18" s="195">
        <f>-(O18/($E18-$G18))/100</f>
        <v>82319.956667992083</v>
      </c>
      <c r="S18" s="287">
        <f>-(P18/($E18-$G18))/100</f>
        <v>86842.659455345551</v>
      </c>
      <c r="T18" s="499">
        <v>0.11</v>
      </c>
      <c r="U18" s="500">
        <v>0.14000000000000001</v>
      </c>
      <c r="V18" s="500">
        <v>0.18</v>
      </c>
      <c r="W18" s="31">
        <v>4.1329132937852189E-2</v>
      </c>
      <c r="X18" s="31">
        <v>4.5853444855321578E-2</v>
      </c>
      <c r="Y18" s="31">
        <v>5.0377756772790966E-2</v>
      </c>
      <c r="Z18" s="31">
        <v>0.13721887961892149</v>
      </c>
      <c r="AA18" s="31">
        <v>0.15097209367993022</v>
      </c>
      <c r="AB18" s="31">
        <v>0.16472530774093899</v>
      </c>
      <c r="AC18" s="195">
        <f t="shared" si="4"/>
        <v>24261.46104223952</v>
      </c>
      <c r="AD18" s="195">
        <f t="shared" si="5"/>
        <v>26745.047827247086</v>
      </c>
      <c r="AE18" s="195">
        <f t="shared" si="6"/>
        <v>29228.634612254653</v>
      </c>
      <c r="AF18" s="286">
        <f>-(AC18/($T18-$V18))/100</f>
        <v>3465.9230060342175</v>
      </c>
      <c r="AG18" s="195">
        <f>-(AD18/($T18-$V18))/100</f>
        <v>3820.7211181781558</v>
      </c>
      <c r="AH18" s="287">
        <f>-(AE18/($T18-$V18))/100</f>
        <v>4175.5192303220938</v>
      </c>
    </row>
    <row r="19" spans="1:34" x14ac:dyDescent="0.35">
      <c r="A19" s="7" t="s">
        <v>464</v>
      </c>
      <c r="B19" s="7" t="s">
        <v>488</v>
      </c>
      <c r="C19" s="7" t="s">
        <v>155</v>
      </c>
      <c r="D19" s="7" t="s">
        <v>475</v>
      </c>
      <c r="E19" s="569">
        <v>0</v>
      </c>
      <c r="F19" s="569">
        <v>25</v>
      </c>
      <c r="G19" s="569">
        <v>50</v>
      </c>
      <c r="H19" s="31">
        <v>0.22565666465283934</v>
      </c>
      <c r="I19" s="31">
        <v>0.23881727402060113</v>
      </c>
      <c r="J19" s="31">
        <v>0.25197788338836291</v>
      </c>
      <c r="K19" s="31">
        <v>9.8784237357482374E-2</v>
      </c>
      <c r="L19" s="31">
        <v>0.10453367829161606</v>
      </c>
      <c r="M19" s="31">
        <v>0.11028311922574974</v>
      </c>
      <c r="N19" s="195">
        <f t="shared" si="0"/>
        <v>175015.42685774193</v>
      </c>
      <c r="O19" s="195">
        <f t="shared" si="1"/>
        <v>185216.20766244549</v>
      </c>
      <c r="P19" s="195">
        <f t="shared" si="2"/>
        <v>195416.98846714909</v>
      </c>
      <c r="Q19" s="286">
        <f>-N19/($E19-$G19)</f>
        <v>3500.3085371548386</v>
      </c>
      <c r="R19" s="195">
        <f>-O19/(($E19-$G19))</f>
        <v>3704.3241532489101</v>
      </c>
      <c r="S19" s="287">
        <f>-P19/(($E19-$G19))</f>
        <v>3908.3397693429815</v>
      </c>
      <c r="T19" s="508">
        <v>0</v>
      </c>
      <c r="U19" s="509">
        <v>4</v>
      </c>
      <c r="V19" s="509">
        <v>9</v>
      </c>
      <c r="W19" s="31">
        <v>0.13035930997863945</v>
      </c>
      <c r="X19" s="31">
        <v>0.14355201966517483</v>
      </c>
      <c r="Y19" s="31">
        <v>0.15674472935171022</v>
      </c>
      <c r="Z19" s="31">
        <v>0.10454116950154874</v>
      </c>
      <c r="AA19" s="31">
        <v>0.11546889686885592</v>
      </c>
      <c r="AB19" s="31">
        <v>0.12639662423616307</v>
      </c>
      <c r="AC19" s="195">
        <f t="shared" si="4"/>
        <v>31918.746952726931</v>
      </c>
      <c r="AD19" s="195">
        <f t="shared" si="5"/>
        <v>35196.280180477166</v>
      </c>
      <c r="AE19" s="195">
        <f t="shared" si="6"/>
        <v>38473.813408227397</v>
      </c>
      <c r="AF19" s="286">
        <f>-AC19/($T19-$V19)</f>
        <v>3546.5274391918811</v>
      </c>
      <c r="AG19" s="195">
        <f>-AD19/(($T19-$V19))</f>
        <v>3910.6977978307964</v>
      </c>
      <c r="AH19" s="287">
        <f>-AE19/(($T19-$V19))</f>
        <v>4274.8681564697108</v>
      </c>
    </row>
    <row r="20" spans="1:34" ht="15" thickBot="1" x14ac:dyDescent="0.4">
      <c r="A20" s="7" t="s">
        <v>156</v>
      </c>
      <c r="B20" s="7" t="s">
        <v>490</v>
      </c>
      <c r="C20" s="7" t="s">
        <v>491</v>
      </c>
      <c r="D20" s="7" t="s">
        <v>475</v>
      </c>
      <c r="E20" s="510">
        <v>0</v>
      </c>
      <c r="F20" s="510">
        <v>150</v>
      </c>
      <c r="G20" s="510">
        <v>200</v>
      </c>
      <c r="H20" s="31">
        <v>0.67868817477670962</v>
      </c>
      <c r="I20" s="31">
        <v>0.71820939918391491</v>
      </c>
      <c r="J20" s="31">
        <v>0.7577306235911202</v>
      </c>
      <c r="K20" s="31">
        <v>0.79638048273943129</v>
      </c>
      <c r="L20" s="31">
        <v>0.84266983820983188</v>
      </c>
      <c r="M20" s="31">
        <v>0.88895919368023246</v>
      </c>
      <c r="N20" s="195">
        <f t="shared" si="0"/>
        <v>795706.61140453455</v>
      </c>
      <c r="O20" s="195">
        <f t="shared" si="1"/>
        <v>841996.01318197057</v>
      </c>
      <c r="P20" s="195">
        <f t="shared" si="2"/>
        <v>888285.41495940671</v>
      </c>
      <c r="Q20" s="595">
        <f>-N20/($E20-$G20)</f>
        <v>3978.5330570226729</v>
      </c>
      <c r="R20" s="596">
        <f>-O20/(($E20-$G20))</f>
        <v>4209.9800659098528</v>
      </c>
      <c r="S20" s="597">
        <f>-P20/(($E20-$G20))</f>
        <v>4441.4270747970331</v>
      </c>
      <c r="T20" s="508">
        <v>0</v>
      </c>
      <c r="U20" s="509">
        <v>50</v>
      </c>
      <c r="V20" s="509">
        <v>100</v>
      </c>
      <c r="W20" s="31">
        <v>0.59499429049272146</v>
      </c>
      <c r="X20" s="31">
        <v>0.65516716642647532</v>
      </c>
      <c r="Y20" s="31">
        <v>0.71534004236022919</v>
      </c>
      <c r="Z20" s="31">
        <v>0.42751701631232564</v>
      </c>
      <c r="AA20" s="31">
        <v>0.47047991169920778</v>
      </c>
      <c r="AB20" s="31">
        <v>0.51344280708608991</v>
      </c>
      <c r="AC20" s="195">
        <f t="shared" si="4"/>
        <v>138940.88139128342</v>
      </c>
      <c r="AD20" s="195">
        <f t="shared" si="5"/>
        <v>152955.17626987406</v>
      </c>
      <c r="AE20" s="195">
        <f t="shared" si="6"/>
        <v>166969.47114846474</v>
      </c>
      <c r="AF20" s="595">
        <f>-AC20/($T20-$V20)</f>
        <v>1389.4088139128341</v>
      </c>
      <c r="AG20" s="596">
        <f>-AD20/(($T20-$V20))</f>
        <v>1529.5517626987407</v>
      </c>
      <c r="AH20" s="597">
        <f>-AE20/(($T20-$V20))</f>
        <v>1669.6947114846473</v>
      </c>
    </row>
    <row r="21" spans="1:34" x14ac:dyDescent="0.35">
      <c r="T21" s="569"/>
      <c r="U21" s="569"/>
      <c r="V21" s="569"/>
      <c r="W21" s="105"/>
      <c r="X21" s="105"/>
      <c r="Y21" s="105"/>
      <c r="Z21" s="105"/>
      <c r="AA21" s="105"/>
      <c r="AB21" s="105"/>
      <c r="AC21" s="195"/>
      <c r="AD21" s="195"/>
      <c r="AE21" s="195"/>
      <c r="AF21" s="195"/>
      <c r="AG21" s="195"/>
      <c r="AH21" s="195"/>
    </row>
    <row r="22" spans="1:34" x14ac:dyDescent="0.35">
      <c r="T22" s="498"/>
      <c r="U22" s="498"/>
      <c r="V22" s="498"/>
      <c r="W22" s="105"/>
      <c r="X22" s="105"/>
      <c r="Y22" s="105"/>
      <c r="Z22" s="105"/>
      <c r="AA22" s="105"/>
      <c r="AB22" s="105"/>
      <c r="AC22" s="195"/>
      <c r="AD22" s="195"/>
      <c r="AE22" s="195"/>
      <c r="AF22" s="195"/>
      <c r="AG22" s="195"/>
      <c r="AH22" s="195"/>
    </row>
    <row r="23" spans="1:34" x14ac:dyDescent="0.35">
      <c r="A23" s="50"/>
      <c r="B23" s="50"/>
      <c r="C23" s="50"/>
      <c r="D23" s="50"/>
      <c r="E23" s="50"/>
      <c r="F23" s="50"/>
      <c r="G23" s="50"/>
      <c r="H23" s="50"/>
      <c r="I23" s="50"/>
      <c r="J23" s="50"/>
      <c r="K23" s="50"/>
      <c r="L23" s="50"/>
      <c r="M23" s="50"/>
      <c r="N23" s="50"/>
      <c r="O23" s="50"/>
      <c r="P23" s="50"/>
      <c r="Q23" s="50"/>
      <c r="R23" s="50"/>
      <c r="S23" s="50"/>
      <c r="T23" s="103"/>
      <c r="U23" s="103"/>
      <c r="V23" s="103"/>
      <c r="W23" s="105"/>
      <c r="X23" s="105"/>
      <c r="Y23" s="105"/>
      <c r="Z23" s="105"/>
      <c r="AA23" s="105"/>
      <c r="AB23" s="105"/>
      <c r="AC23" s="195"/>
      <c r="AD23" s="195"/>
      <c r="AE23" s="195"/>
      <c r="AF23" s="195"/>
      <c r="AG23" s="195"/>
      <c r="AH23" s="195"/>
    </row>
    <row r="24" spans="1:34" x14ac:dyDescent="0.35">
      <c r="T24" s="498"/>
      <c r="U24" s="498"/>
      <c r="V24" s="498"/>
      <c r="W24" s="105"/>
      <c r="X24" s="105"/>
      <c r="Y24" s="105"/>
      <c r="Z24" s="105"/>
      <c r="AA24" s="105"/>
      <c r="AB24" s="105"/>
      <c r="AC24" s="195"/>
      <c r="AD24" s="195"/>
      <c r="AE24" s="195"/>
      <c r="AF24" s="195"/>
      <c r="AG24" s="195"/>
      <c r="AH24" s="195"/>
    </row>
    <row r="25" spans="1:34" x14ac:dyDescent="0.35">
      <c r="T25" s="498"/>
      <c r="U25" s="498"/>
      <c r="V25" s="516"/>
      <c r="W25" s="31"/>
      <c r="X25" s="31"/>
      <c r="Y25" s="522"/>
      <c r="Z25" s="522"/>
      <c r="AA25" s="31"/>
      <c r="AB25" s="31"/>
      <c r="AC25" s="195"/>
      <c r="AD25" s="195"/>
      <c r="AE25" s="195"/>
      <c r="AF25" s="195"/>
      <c r="AG25" s="195"/>
      <c r="AH25" s="195"/>
    </row>
    <row r="26" spans="1:34" x14ac:dyDescent="0.35">
      <c r="T26" s="498"/>
      <c r="U26" s="498"/>
      <c r="V26" s="516"/>
      <c r="W26" s="31"/>
      <c r="X26" s="31"/>
      <c r="Y26" s="522"/>
      <c r="Z26" s="522"/>
      <c r="AA26" s="31"/>
      <c r="AB26" s="31"/>
      <c r="AC26" s="195"/>
      <c r="AD26" s="195"/>
      <c r="AE26" s="195"/>
      <c r="AF26" s="195"/>
      <c r="AG26" s="195"/>
      <c r="AH26" s="195"/>
    </row>
    <row r="27" spans="1:34" x14ac:dyDescent="0.35">
      <c r="T27" s="498"/>
      <c r="U27" s="498"/>
      <c r="V27" s="516"/>
      <c r="W27" s="523"/>
      <c r="X27" s="523"/>
      <c r="Y27" s="523"/>
      <c r="Z27" s="516"/>
      <c r="AA27" s="523"/>
      <c r="AB27" s="523"/>
      <c r="AC27" s="195"/>
      <c r="AD27" s="195"/>
      <c r="AE27" s="195"/>
      <c r="AF27" s="195"/>
      <c r="AG27" s="195"/>
      <c r="AH27" s="195"/>
    </row>
    <row r="28" spans="1:34" x14ac:dyDescent="0.35">
      <c r="T28" s="498"/>
      <c r="U28" s="498"/>
      <c r="V28" s="516"/>
      <c r="W28" s="523"/>
      <c r="X28" s="523"/>
      <c r="Y28" s="523"/>
      <c r="Z28" s="516"/>
      <c r="AA28" s="523"/>
      <c r="AB28" s="523"/>
      <c r="AC28" s="195"/>
      <c r="AD28" s="195"/>
      <c r="AE28" s="195"/>
      <c r="AF28" s="195"/>
      <c r="AG28" s="195"/>
      <c r="AH28" s="195"/>
    </row>
    <row r="29" spans="1:34" x14ac:dyDescent="0.35">
      <c r="T29" s="501"/>
      <c r="U29" s="501"/>
      <c r="V29" s="501"/>
      <c r="W29" s="512"/>
      <c r="X29" s="512"/>
      <c r="Y29" s="512"/>
      <c r="Z29" s="512"/>
      <c r="AA29" s="512"/>
      <c r="AB29" s="512"/>
      <c r="AC29" s="519"/>
      <c r="AD29" s="519"/>
      <c r="AE29" s="519"/>
      <c r="AF29" s="502"/>
      <c r="AG29" s="502"/>
      <c r="AH29" s="502"/>
    </row>
    <row r="30" spans="1:34" x14ac:dyDescent="0.35">
      <c r="T30" s="501"/>
      <c r="U30" s="501"/>
      <c r="V30" s="501"/>
      <c r="W30" s="501"/>
      <c r="X30" s="501"/>
      <c r="Y30" s="501"/>
      <c r="Z30" s="501"/>
      <c r="AA30" s="501"/>
      <c r="AB30" s="501"/>
      <c r="AC30" s="519"/>
      <c r="AD30" s="519"/>
      <c r="AE30" s="519"/>
      <c r="AF30" s="502"/>
      <c r="AG30" s="502"/>
      <c r="AH30" s="502"/>
    </row>
    <row r="31" spans="1:34" x14ac:dyDescent="0.35">
      <c r="T31" s="524"/>
      <c r="U31" s="524"/>
      <c r="V31" s="524"/>
      <c r="W31" s="512"/>
      <c r="X31" s="524"/>
      <c r="Y31" s="525"/>
      <c r="Z31" s="526"/>
      <c r="AA31" s="512"/>
      <c r="AB31" s="524"/>
      <c r="AC31" s="519"/>
      <c r="AD31" s="519"/>
      <c r="AE31" s="519"/>
      <c r="AF31" s="513"/>
      <c r="AG31" s="513"/>
      <c r="AH31" s="513"/>
    </row>
    <row r="32" spans="1:34" x14ac:dyDescent="0.35">
      <c r="T32" s="498"/>
      <c r="U32" s="498"/>
      <c r="V32" s="498"/>
      <c r="W32" s="31"/>
      <c r="X32" s="31"/>
      <c r="Y32" s="31"/>
      <c r="Z32" s="31"/>
      <c r="AA32" s="31"/>
      <c r="AB32" s="31"/>
      <c r="AC32" s="195"/>
      <c r="AD32" s="195"/>
      <c r="AE32" s="195"/>
      <c r="AF32" s="195"/>
      <c r="AG32" s="195"/>
      <c r="AH32" s="195"/>
    </row>
    <row r="33" spans="20:34" x14ac:dyDescent="0.35">
      <c r="T33" s="498"/>
      <c r="U33" s="498"/>
      <c r="V33" s="498"/>
      <c r="W33" s="31"/>
      <c r="X33" s="31"/>
      <c r="Y33" s="31"/>
      <c r="Z33" s="31"/>
      <c r="AA33" s="31"/>
      <c r="AB33" s="31"/>
      <c r="AC33" s="195"/>
      <c r="AD33" s="195"/>
      <c r="AE33" s="195"/>
      <c r="AF33" s="195"/>
      <c r="AG33" s="195"/>
      <c r="AH33" s="195"/>
    </row>
    <row r="34" spans="20:34" x14ac:dyDescent="0.35">
      <c r="T34" s="498"/>
      <c r="U34" s="498"/>
      <c r="V34" s="498"/>
      <c r="W34" s="105"/>
      <c r="X34" s="105"/>
      <c r="Y34" s="105"/>
      <c r="Z34" s="105"/>
      <c r="AA34" s="105"/>
      <c r="AB34" s="105"/>
      <c r="AC34" s="195"/>
      <c r="AD34" s="195"/>
      <c r="AE34" s="195"/>
      <c r="AF34" s="195"/>
      <c r="AG34" s="195"/>
      <c r="AH34" s="195"/>
    </row>
    <row r="35" spans="20:34" x14ac:dyDescent="0.35">
      <c r="T35" s="498"/>
      <c r="U35" s="498"/>
      <c r="V35" s="498"/>
      <c r="W35" s="105"/>
      <c r="X35" s="105"/>
      <c r="Y35" s="105"/>
      <c r="Z35" s="105"/>
      <c r="AA35" s="105"/>
      <c r="AB35" s="105"/>
      <c r="AC35" s="195"/>
      <c r="AD35" s="195"/>
      <c r="AE35" s="195"/>
      <c r="AF35" s="195"/>
      <c r="AG35" s="195"/>
      <c r="AH35" s="195"/>
    </row>
    <row r="36" spans="20:34" x14ac:dyDescent="0.35">
      <c r="T36" s="501"/>
      <c r="U36" s="501"/>
      <c r="V36" s="501"/>
      <c r="W36" s="512"/>
      <c r="X36" s="512"/>
      <c r="Y36" s="512"/>
      <c r="Z36" s="512"/>
      <c r="AA36" s="512"/>
      <c r="AB36" s="512"/>
      <c r="AC36" s="519"/>
      <c r="AD36" s="519"/>
      <c r="AE36" s="519"/>
      <c r="AF36" s="502"/>
      <c r="AG36" s="502"/>
      <c r="AH36" s="502"/>
    </row>
    <row r="37" spans="20:34" x14ac:dyDescent="0.35">
      <c r="T37" s="501"/>
      <c r="U37" s="501"/>
      <c r="V37" s="501"/>
      <c r="W37" s="501"/>
      <c r="X37" s="501"/>
      <c r="Y37" s="501"/>
      <c r="Z37" s="501"/>
      <c r="AA37" s="501"/>
      <c r="AB37" s="501"/>
      <c r="AC37" s="519"/>
      <c r="AD37" s="519"/>
      <c r="AE37" s="519"/>
      <c r="AF37" s="502"/>
      <c r="AG37" s="502"/>
      <c r="AH37" s="502"/>
    </row>
    <row r="38" spans="20:34" x14ac:dyDescent="0.35">
      <c r="T38" s="133"/>
      <c r="U38" s="133"/>
      <c r="V38" s="133"/>
      <c r="W38" s="90"/>
      <c r="X38" s="138"/>
      <c r="Y38" s="520"/>
      <c r="Z38" s="521"/>
      <c r="AA38" s="90"/>
      <c r="AB38" s="138"/>
      <c r="AC38" s="519"/>
      <c r="AD38" s="519"/>
      <c r="AE38" s="519"/>
      <c r="AF38" s="513"/>
      <c r="AG38" s="513"/>
      <c r="AH38" s="513"/>
    </row>
    <row r="39" spans="20:34" x14ac:dyDescent="0.35">
      <c r="T39" s="498"/>
      <c r="U39" s="498"/>
      <c r="V39" s="498"/>
      <c r="W39" s="31"/>
      <c r="X39" s="31"/>
      <c r="Y39" s="31"/>
      <c r="Z39" s="31"/>
      <c r="AA39" s="31"/>
      <c r="AB39" s="31"/>
      <c r="AC39" s="195"/>
      <c r="AD39" s="195"/>
      <c r="AE39" s="195"/>
      <c r="AF39" s="195"/>
      <c r="AG39" s="195"/>
      <c r="AH39" s="195"/>
    </row>
    <row r="40" spans="20:34" x14ac:dyDescent="0.35">
      <c r="T40" s="498"/>
      <c r="U40" s="498"/>
      <c r="V40" s="498"/>
      <c r="W40" s="31"/>
      <c r="X40" s="31"/>
      <c r="Y40" s="31"/>
      <c r="Z40" s="31"/>
      <c r="AA40" s="31"/>
      <c r="AB40" s="31"/>
      <c r="AC40" s="195"/>
      <c r="AD40" s="195"/>
      <c r="AE40" s="195"/>
      <c r="AF40" s="195"/>
      <c r="AG40" s="195"/>
      <c r="AH40" s="195"/>
    </row>
    <row r="41" spans="20:34" x14ac:dyDescent="0.35">
      <c r="T41" s="498"/>
      <c r="U41" s="498"/>
      <c r="V41" s="498"/>
      <c r="W41" s="105"/>
      <c r="X41" s="105"/>
      <c r="Y41" s="105"/>
      <c r="Z41" s="105"/>
      <c r="AA41" s="105"/>
      <c r="AB41" s="105"/>
      <c r="AC41" s="195"/>
      <c r="AD41" s="195"/>
      <c r="AE41" s="195"/>
      <c r="AF41" s="195"/>
      <c r="AG41" s="195"/>
      <c r="AH41" s="195"/>
    </row>
    <row r="42" spans="20:34" x14ac:dyDescent="0.35">
      <c r="T42" s="498"/>
      <c r="U42" s="498"/>
      <c r="V42" s="498"/>
      <c r="W42" s="105"/>
      <c r="X42" s="105"/>
      <c r="Y42" s="105"/>
      <c r="Z42" s="105"/>
      <c r="AA42" s="105"/>
      <c r="AB42" s="105"/>
      <c r="AC42" s="195"/>
      <c r="AD42" s="195"/>
      <c r="AE42" s="195"/>
      <c r="AF42" s="195"/>
      <c r="AG42" s="195"/>
      <c r="AH42" s="195"/>
    </row>
    <row r="43" spans="20:34" x14ac:dyDescent="0.35">
      <c r="T43" s="501"/>
      <c r="U43" s="501"/>
      <c r="V43" s="501"/>
      <c r="W43" s="512"/>
      <c r="X43" s="512"/>
      <c r="Y43" s="512"/>
      <c r="Z43" s="512"/>
      <c r="AA43" s="512"/>
      <c r="AB43" s="512"/>
      <c r="AC43" s="519"/>
      <c r="AD43" s="519"/>
      <c r="AE43" s="519"/>
      <c r="AF43" s="502"/>
      <c r="AG43" s="502"/>
      <c r="AH43" s="502"/>
    </row>
    <row r="44" spans="20:34" x14ac:dyDescent="0.35">
      <c r="T44" s="501"/>
      <c r="U44" s="501"/>
      <c r="V44" s="501"/>
      <c r="W44" s="501"/>
      <c r="X44" s="501"/>
      <c r="Y44" s="501"/>
      <c r="Z44" s="501"/>
      <c r="AA44" s="501"/>
      <c r="AB44" s="501"/>
      <c r="AC44" s="519"/>
      <c r="AD44" s="519"/>
      <c r="AE44" s="519"/>
      <c r="AF44" s="502"/>
      <c r="AG44" s="502"/>
      <c r="AH44" s="502"/>
    </row>
    <row r="45" spans="20:34" x14ac:dyDescent="0.35">
      <c r="T45" s="133"/>
      <c r="U45" s="133"/>
      <c r="V45" s="133"/>
      <c r="W45" s="90"/>
      <c r="X45" s="138"/>
      <c r="Y45" s="520"/>
      <c r="Z45" s="521"/>
      <c r="AA45" s="90"/>
      <c r="AB45" s="138"/>
      <c r="AC45" s="519"/>
      <c r="AD45" s="519"/>
      <c r="AE45" s="519"/>
      <c r="AF45" s="513"/>
      <c r="AG45" s="513"/>
      <c r="AH45" s="513"/>
    </row>
    <row r="46" spans="20:34" x14ac:dyDescent="0.35">
      <c r="T46" s="514"/>
      <c r="U46" s="514"/>
      <c r="V46" s="514"/>
      <c r="W46" s="31"/>
      <c r="X46" s="31"/>
      <c r="Y46" s="31"/>
      <c r="Z46" s="31"/>
      <c r="AA46" s="31"/>
      <c r="AB46" s="31"/>
      <c r="AC46" s="195"/>
      <c r="AD46" s="195"/>
      <c r="AE46" s="195"/>
      <c r="AF46" s="195"/>
      <c r="AG46" s="195"/>
      <c r="AH46" s="195"/>
    </row>
    <row r="47" spans="20:34" x14ac:dyDescent="0.35">
      <c r="T47" s="514"/>
      <c r="U47" s="514"/>
      <c r="V47" s="514"/>
      <c r="W47" s="31"/>
      <c r="X47" s="31"/>
      <c r="Y47" s="31"/>
      <c r="Z47" s="31"/>
      <c r="AA47" s="31"/>
      <c r="AB47" s="31"/>
      <c r="AC47" s="195"/>
      <c r="AD47" s="195"/>
      <c r="AE47" s="195"/>
      <c r="AF47" s="195"/>
      <c r="AG47" s="195"/>
      <c r="AH47" s="195"/>
    </row>
    <row r="48" spans="20:34" x14ac:dyDescent="0.35">
      <c r="T48" s="514"/>
      <c r="U48" s="514"/>
      <c r="V48" s="514"/>
      <c r="W48" s="105"/>
      <c r="X48" s="105"/>
      <c r="Y48" s="105"/>
      <c r="Z48" s="105"/>
      <c r="AA48" s="105"/>
      <c r="AB48" s="105"/>
      <c r="AC48" s="195"/>
      <c r="AD48" s="195"/>
      <c r="AE48" s="195"/>
      <c r="AF48" s="195"/>
      <c r="AG48" s="195"/>
      <c r="AH48" s="195"/>
    </row>
    <row r="49" spans="20:34" x14ac:dyDescent="0.35">
      <c r="T49" s="514"/>
      <c r="U49" s="514"/>
      <c r="V49" s="514"/>
      <c r="W49" s="105"/>
      <c r="X49" s="105"/>
      <c r="Y49" s="105"/>
      <c r="Z49" s="105"/>
      <c r="AA49" s="105"/>
      <c r="AB49" s="105"/>
      <c r="AC49" s="195"/>
      <c r="AD49" s="195"/>
      <c r="AE49" s="195"/>
      <c r="AF49" s="195"/>
      <c r="AG49" s="195"/>
      <c r="AH49" s="195"/>
    </row>
    <row r="50" spans="20:34" x14ac:dyDescent="0.35">
      <c r="T50" s="527"/>
      <c r="U50" s="527"/>
      <c r="V50" s="527"/>
      <c r="W50" s="512"/>
      <c r="X50" s="512"/>
      <c r="Y50" s="512"/>
      <c r="Z50" s="512"/>
      <c r="AA50" s="512"/>
      <c r="AB50" s="512"/>
      <c r="AC50" s="519"/>
      <c r="AD50" s="519"/>
      <c r="AE50" s="519"/>
      <c r="AF50" s="502"/>
      <c r="AG50" s="502"/>
      <c r="AH50" s="502"/>
    </row>
    <row r="51" spans="20:34" x14ac:dyDescent="0.35">
      <c r="T51" s="527"/>
      <c r="U51" s="527"/>
      <c r="V51" s="527"/>
      <c r="W51" s="501"/>
      <c r="X51" s="501"/>
      <c r="Y51" s="501"/>
      <c r="Z51" s="501"/>
      <c r="AA51" s="501"/>
      <c r="AB51" s="501"/>
      <c r="AC51" s="519"/>
      <c r="AD51" s="519"/>
      <c r="AE51" s="519"/>
      <c r="AF51" s="502"/>
      <c r="AG51" s="502"/>
      <c r="AH51" s="502"/>
    </row>
    <row r="52" spans="20:34" x14ac:dyDescent="0.35">
      <c r="T52" s="133"/>
      <c r="U52" s="133"/>
      <c r="V52" s="133"/>
      <c r="W52" s="90"/>
      <c r="X52" s="138"/>
      <c r="Y52" s="520"/>
      <c r="Z52" s="521"/>
      <c r="AA52" s="90"/>
      <c r="AB52" s="138"/>
      <c r="AC52" s="519"/>
      <c r="AD52" s="519"/>
      <c r="AE52" s="519"/>
      <c r="AF52" s="513"/>
      <c r="AG52" s="513"/>
      <c r="AH52" s="513"/>
    </row>
    <row r="53" spans="20:34" x14ac:dyDescent="0.35">
      <c r="T53" s="498"/>
      <c r="U53" s="498"/>
      <c r="V53" s="498"/>
      <c r="W53" s="31"/>
      <c r="X53" s="31"/>
      <c r="Y53" s="31"/>
      <c r="Z53" s="31"/>
      <c r="AA53" s="31"/>
      <c r="AB53" s="31"/>
      <c r="AC53" s="195"/>
      <c r="AD53" s="195"/>
      <c r="AE53" s="195"/>
      <c r="AF53" s="168"/>
      <c r="AG53" s="168"/>
      <c r="AH53" s="168"/>
    </row>
    <row r="54" spans="20:34" x14ac:dyDescent="0.35">
      <c r="T54" s="498"/>
      <c r="U54" s="498"/>
      <c r="V54" s="498"/>
      <c r="W54" s="31"/>
      <c r="X54" s="31"/>
      <c r="Y54" s="31"/>
      <c r="Z54" s="31"/>
      <c r="AA54" s="31"/>
      <c r="AB54" s="31"/>
      <c r="AC54" s="195"/>
      <c r="AD54" s="195"/>
      <c r="AE54" s="195"/>
      <c r="AF54" s="168"/>
      <c r="AG54" s="168"/>
      <c r="AH54" s="168"/>
    </row>
    <row r="55" spans="20:34" x14ac:dyDescent="0.35">
      <c r="W55" s="43"/>
      <c r="X55" s="119"/>
      <c r="Y55" s="528"/>
      <c r="Z55" s="529"/>
      <c r="AA55" s="43"/>
      <c r="AB55" s="119"/>
      <c r="AC55" s="195"/>
      <c r="AD55" s="195"/>
      <c r="AE55" s="195"/>
      <c r="AF55" s="168"/>
      <c r="AG55" s="168"/>
      <c r="AH55" s="168"/>
    </row>
    <row r="56" spans="20:34" x14ac:dyDescent="0.35">
      <c r="W56" s="43"/>
      <c r="X56" s="119"/>
      <c r="Y56" s="528"/>
      <c r="Z56" s="529"/>
      <c r="AA56" s="43"/>
      <c r="AB56" s="119"/>
      <c r="AC56" s="195"/>
      <c r="AD56" s="195"/>
      <c r="AE56" s="195"/>
      <c r="AF56" s="168"/>
      <c r="AG56" s="168"/>
      <c r="AH56" s="168"/>
    </row>
    <row r="57" spans="20:34" x14ac:dyDescent="0.35">
      <c r="T57" s="501"/>
      <c r="U57" s="501"/>
      <c r="V57" s="501"/>
      <c r="W57" s="512"/>
      <c r="X57" s="512"/>
      <c r="Y57" s="512"/>
      <c r="Z57" s="512"/>
      <c r="AA57" s="512"/>
      <c r="AB57" s="512"/>
      <c r="AC57" s="519"/>
      <c r="AD57" s="519"/>
      <c r="AE57" s="519"/>
      <c r="AF57" s="512"/>
      <c r="AG57" s="512"/>
      <c r="AH57" s="512"/>
    </row>
    <row r="58" spans="20:34" x14ac:dyDescent="0.35">
      <c r="T58" s="501"/>
      <c r="U58" s="501"/>
      <c r="V58" s="501"/>
      <c r="W58" s="501"/>
      <c r="X58" s="501"/>
      <c r="Y58" s="501"/>
      <c r="Z58" s="501"/>
      <c r="AA58" s="501"/>
      <c r="AB58" s="501"/>
      <c r="AC58" s="519"/>
      <c r="AD58" s="519"/>
      <c r="AE58" s="519"/>
      <c r="AF58" s="502"/>
      <c r="AG58" s="502"/>
      <c r="AH58" s="502"/>
    </row>
    <row r="59" spans="20:34" x14ac:dyDescent="0.35">
      <c r="T59" s="133"/>
      <c r="U59" s="133"/>
      <c r="V59" s="133"/>
      <c r="W59" s="90"/>
      <c r="X59" s="138"/>
      <c r="Y59" s="520"/>
      <c r="Z59" s="521"/>
      <c r="AA59" s="90"/>
      <c r="AB59" s="138"/>
      <c r="AC59" s="519"/>
      <c r="AD59" s="519"/>
      <c r="AE59" s="519"/>
      <c r="AF59" s="515"/>
      <c r="AG59" s="515"/>
      <c r="AH59" s="515"/>
    </row>
    <row r="60" spans="20:34" x14ac:dyDescent="0.35">
      <c r="T60" s="191"/>
      <c r="U60" s="191"/>
      <c r="V60" s="191"/>
      <c r="W60" s="31"/>
      <c r="X60" s="31"/>
      <c r="Y60" s="31"/>
      <c r="Z60" s="31"/>
      <c r="AA60" s="31"/>
      <c r="AB60" s="31"/>
      <c r="AC60" s="195"/>
      <c r="AD60" s="195"/>
      <c r="AE60" s="195"/>
      <c r="AF60" s="168"/>
      <c r="AG60" s="168"/>
      <c r="AH60" s="168"/>
    </row>
    <row r="61" spans="20:34" x14ac:dyDescent="0.35">
      <c r="T61" s="191"/>
      <c r="U61" s="191"/>
      <c r="V61" s="191"/>
      <c r="W61" s="31"/>
      <c r="X61" s="31"/>
      <c r="Y61" s="31"/>
      <c r="Z61" s="31"/>
      <c r="AA61" s="31"/>
      <c r="AB61" s="31"/>
      <c r="AC61" s="195"/>
      <c r="AD61" s="195"/>
      <c r="AE61" s="195"/>
      <c r="AF61" s="168"/>
      <c r="AG61" s="168"/>
      <c r="AH61" s="168"/>
    </row>
    <row r="62" spans="20:34" x14ac:dyDescent="0.35">
      <c r="T62" s="133"/>
      <c r="U62" s="133"/>
      <c r="V62" s="133"/>
      <c r="W62" s="31"/>
      <c r="X62" s="31"/>
      <c r="Y62" s="31"/>
      <c r="Z62" s="31"/>
      <c r="AA62" s="31"/>
      <c r="AB62" s="31"/>
      <c r="AC62" s="195"/>
      <c r="AD62" s="195"/>
      <c r="AE62" s="195"/>
      <c r="AF62" s="168"/>
      <c r="AG62" s="168"/>
      <c r="AH62" s="168"/>
    </row>
    <row r="63" spans="20:34" x14ac:dyDescent="0.35">
      <c r="T63" s="133"/>
      <c r="U63" s="133"/>
      <c r="V63" s="133"/>
      <c r="W63" s="31"/>
      <c r="X63" s="31"/>
      <c r="Y63" s="31"/>
      <c r="Z63" s="31"/>
      <c r="AA63" s="31"/>
      <c r="AB63" s="31"/>
      <c r="AC63" s="195"/>
      <c r="AD63" s="195"/>
      <c r="AE63" s="195"/>
      <c r="AF63" s="168"/>
      <c r="AG63" s="168"/>
      <c r="AH63" s="168"/>
    </row>
    <row r="64" spans="20:34" x14ac:dyDescent="0.35">
      <c r="T64" s="501"/>
      <c r="U64" s="501"/>
      <c r="V64" s="501"/>
      <c r="W64" s="512"/>
      <c r="X64" s="512"/>
      <c r="Y64" s="512"/>
      <c r="Z64" s="512"/>
      <c r="AA64" s="512"/>
      <c r="AB64" s="512"/>
      <c r="AC64" s="519"/>
      <c r="AD64" s="519"/>
      <c r="AE64" s="519"/>
      <c r="AF64" s="512"/>
      <c r="AG64" s="512"/>
      <c r="AH64" s="512"/>
    </row>
    <row r="65" spans="20:34" x14ac:dyDescent="0.35">
      <c r="T65" s="133"/>
      <c r="U65" s="133"/>
      <c r="V65" s="133"/>
      <c r="W65" s="90"/>
      <c r="X65" s="138"/>
      <c r="Y65" s="520"/>
      <c r="Z65" s="521"/>
      <c r="AA65" s="90"/>
      <c r="AB65" s="138"/>
      <c r="AC65" s="519"/>
      <c r="AD65" s="519"/>
      <c r="AE65" s="519"/>
      <c r="AF65" s="512"/>
      <c r="AG65" s="512"/>
      <c r="AH65" s="512"/>
    </row>
    <row r="66" spans="20:34" x14ac:dyDescent="0.35">
      <c r="T66" s="133"/>
      <c r="U66" s="133"/>
      <c r="V66" s="133"/>
      <c r="W66" s="90"/>
      <c r="X66" s="138"/>
      <c r="Y66" s="520"/>
      <c r="Z66" s="521"/>
      <c r="AA66" s="90"/>
      <c r="AB66" s="138"/>
      <c r="AC66" s="519"/>
      <c r="AD66" s="519"/>
      <c r="AE66" s="519"/>
      <c r="AF66" s="515"/>
      <c r="AG66" s="515"/>
      <c r="AH66" s="515"/>
    </row>
    <row r="67" spans="20:34" x14ac:dyDescent="0.35">
      <c r="T67" s="516"/>
      <c r="U67" s="516"/>
      <c r="V67" s="516"/>
      <c r="W67" s="31"/>
      <c r="X67" s="31"/>
      <c r="Y67" s="31"/>
      <c r="Z67" s="31"/>
      <c r="AA67" s="31"/>
      <c r="AB67" s="31"/>
      <c r="AC67" s="195"/>
      <c r="AD67" s="195"/>
      <c r="AE67" s="195"/>
      <c r="AF67" s="195"/>
      <c r="AG67" s="195"/>
      <c r="AH67" s="195"/>
    </row>
    <row r="68" spans="20:34" x14ac:dyDescent="0.35">
      <c r="T68" s="516"/>
      <c r="U68" s="516"/>
      <c r="V68" s="516"/>
      <c r="W68" s="31"/>
      <c r="X68" s="31"/>
      <c r="Y68" s="31"/>
      <c r="Z68" s="31"/>
      <c r="AA68" s="31"/>
      <c r="AB68" s="31"/>
      <c r="AC68" s="195"/>
      <c r="AD68" s="195"/>
      <c r="AE68" s="195"/>
      <c r="AF68" s="195"/>
      <c r="AG68" s="195"/>
      <c r="AH68" s="195"/>
    </row>
    <row r="69" spans="20:34" x14ac:dyDescent="0.35">
      <c r="T69" s="516"/>
      <c r="U69" s="516"/>
      <c r="V69" s="516"/>
      <c r="W69" s="105"/>
      <c r="X69" s="105"/>
      <c r="Y69" s="105"/>
      <c r="Z69" s="105"/>
      <c r="AA69" s="105"/>
      <c r="AB69" s="105"/>
      <c r="AC69" s="195"/>
      <c r="AD69" s="195"/>
      <c r="AE69" s="195"/>
      <c r="AF69" s="195"/>
      <c r="AG69" s="195"/>
      <c r="AH69" s="195"/>
    </row>
    <row r="70" spans="20:34" x14ac:dyDescent="0.35">
      <c r="T70" s="516"/>
      <c r="U70" s="516"/>
      <c r="V70" s="516"/>
      <c r="W70" s="105"/>
      <c r="X70" s="105"/>
      <c r="Y70" s="105"/>
      <c r="Z70" s="105"/>
      <c r="AA70" s="105"/>
      <c r="AB70" s="105"/>
      <c r="AC70" s="195"/>
      <c r="AD70" s="195"/>
      <c r="AE70" s="195"/>
      <c r="AF70" s="195"/>
      <c r="AG70" s="195"/>
      <c r="AH70" s="195"/>
    </row>
    <row r="71" spans="20:34" x14ac:dyDescent="0.35">
      <c r="T71" s="526"/>
      <c r="U71" s="526"/>
      <c r="V71" s="526"/>
      <c r="W71" s="512"/>
      <c r="X71" s="512"/>
      <c r="Y71" s="512"/>
      <c r="Z71" s="512"/>
      <c r="AA71" s="512"/>
      <c r="AB71" s="512"/>
      <c r="AC71" s="519"/>
      <c r="AD71" s="519"/>
      <c r="AE71" s="519"/>
      <c r="AF71" s="502"/>
      <c r="AG71" s="502"/>
      <c r="AH71" s="502"/>
    </row>
    <row r="72" spans="20:34" x14ac:dyDescent="0.35">
      <c r="T72" s="526"/>
      <c r="U72" s="526"/>
      <c r="V72" s="526"/>
      <c r="W72" s="501"/>
      <c r="X72" s="501"/>
      <c r="Y72" s="501"/>
      <c r="Z72" s="501"/>
      <c r="AA72" s="501"/>
      <c r="AB72" s="501"/>
      <c r="AC72" s="519"/>
      <c r="AD72" s="519"/>
      <c r="AE72" s="519"/>
      <c r="AF72" s="502"/>
      <c r="AG72" s="502"/>
      <c r="AH72" s="502"/>
    </row>
    <row r="73" spans="20:34" x14ac:dyDescent="0.35">
      <c r="T73" s="133"/>
      <c r="U73" s="133"/>
      <c r="V73" s="133"/>
      <c r="W73" s="90"/>
      <c r="X73" s="138"/>
      <c r="Y73" s="520"/>
      <c r="Z73" s="521"/>
      <c r="AA73" s="90"/>
      <c r="AB73" s="138"/>
      <c r="AC73" s="519"/>
      <c r="AD73" s="519"/>
      <c r="AE73" s="519"/>
      <c r="AF73" s="513"/>
      <c r="AG73" s="513"/>
      <c r="AH73" s="513"/>
    </row>
    <row r="74" spans="20:34" x14ac:dyDescent="0.35">
      <c r="T74" s="517"/>
      <c r="U74" s="517"/>
      <c r="V74" s="517"/>
      <c r="W74" s="31"/>
      <c r="X74" s="31"/>
      <c r="Y74" s="31"/>
      <c r="Z74" s="31"/>
      <c r="AA74" s="31"/>
      <c r="AB74" s="31"/>
      <c r="AC74" s="195"/>
      <c r="AD74" s="195"/>
      <c r="AE74" s="195"/>
      <c r="AF74" s="195"/>
      <c r="AG74" s="195"/>
      <c r="AH74" s="195"/>
    </row>
    <row r="75" spans="20:34" x14ac:dyDescent="0.35">
      <c r="T75" s="517"/>
      <c r="U75" s="517"/>
      <c r="V75" s="517"/>
      <c r="W75" s="31"/>
      <c r="X75" s="31"/>
      <c r="Y75" s="31"/>
      <c r="Z75" s="31"/>
      <c r="AA75" s="31"/>
      <c r="AB75" s="31"/>
      <c r="AC75" s="195"/>
      <c r="AD75" s="195"/>
      <c r="AE75" s="195"/>
      <c r="AF75" s="195"/>
      <c r="AG75" s="195"/>
      <c r="AH75" s="195"/>
    </row>
    <row r="76" spans="20:34" x14ac:dyDescent="0.35">
      <c r="T76" s="517"/>
      <c r="U76" s="517"/>
      <c r="V76" s="517"/>
      <c r="W76" s="105"/>
      <c r="X76" s="105"/>
      <c r="Y76" s="105"/>
      <c r="Z76" s="105"/>
      <c r="AA76" s="105"/>
      <c r="AB76" s="105"/>
      <c r="AC76" s="195"/>
      <c r="AD76" s="195"/>
      <c r="AE76" s="195"/>
      <c r="AF76" s="195"/>
      <c r="AG76" s="195"/>
      <c r="AH76" s="195"/>
    </row>
    <row r="77" spans="20:34" x14ac:dyDescent="0.35">
      <c r="T77" s="517"/>
      <c r="U77" s="517"/>
      <c r="V77" s="517"/>
      <c r="W77" s="105"/>
      <c r="X77" s="105"/>
      <c r="Y77" s="105"/>
      <c r="Z77" s="105"/>
      <c r="AA77" s="105"/>
      <c r="AB77" s="105"/>
      <c r="AC77" s="195"/>
      <c r="AD77" s="195"/>
      <c r="AE77" s="195"/>
      <c r="AF77" s="195"/>
      <c r="AG77" s="195"/>
      <c r="AH77" s="195"/>
    </row>
    <row r="78" spans="20:34" x14ac:dyDescent="0.35">
      <c r="T78" s="527"/>
      <c r="U78" s="527"/>
      <c r="V78" s="527"/>
      <c r="W78" s="512"/>
      <c r="X78" s="512"/>
      <c r="Y78" s="512"/>
      <c r="Z78" s="512"/>
      <c r="AA78" s="512"/>
      <c r="AB78" s="512"/>
      <c r="AC78" s="519"/>
      <c r="AD78" s="519"/>
      <c r="AE78" s="519"/>
      <c r="AF78" s="502"/>
      <c r="AG78" s="502"/>
      <c r="AH78" s="502"/>
    </row>
    <row r="79" spans="20:34" x14ac:dyDescent="0.35">
      <c r="T79" s="527"/>
      <c r="U79" s="527"/>
      <c r="V79" s="527"/>
      <c r="W79" s="501"/>
      <c r="X79" s="501"/>
      <c r="Y79" s="501"/>
      <c r="Z79" s="501"/>
      <c r="AA79" s="501"/>
      <c r="AB79" s="501"/>
      <c r="AC79" s="519"/>
      <c r="AD79" s="519"/>
      <c r="AE79" s="519"/>
      <c r="AF79" s="502"/>
      <c r="AG79" s="502"/>
      <c r="AH79" s="502"/>
    </row>
    <row r="80" spans="20:34" x14ac:dyDescent="0.35">
      <c r="T80" s="133"/>
      <c r="U80" s="133"/>
      <c r="V80" s="133"/>
      <c r="W80" s="90"/>
      <c r="X80" s="138"/>
      <c r="Y80" s="520"/>
      <c r="Z80" s="521"/>
      <c r="AA80" s="90"/>
      <c r="AB80" s="138"/>
      <c r="AC80" s="519"/>
      <c r="AD80" s="519"/>
      <c r="AE80" s="519"/>
      <c r="AF80" s="513"/>
      <c r="AG80" s="513"/>
      <c r="AH80" s="513"/>
    </row>
    <row r="81" spans="20:34" x14ac:dyDescent="0.35">
      <c r="T81" s="517"/>
      <c r="U81" s="517"/>
      <c r="V81" s="517"/>
      <c r="W81" s="31"/>
      <c r="X81" s="31"/>
      <c r="Y81" s="31"/>
      <c r="Z81" s="31"/>
      <c r="AA81" s="31"/>
      <c r="AB81" s="31"/>
      <c r="AC81" s="195"/>
      <c r="AD81" s="195"/>
      <c r="AE81" s="195"/>
      <c r="AF81" s="195"/>
      <c r="AG81" s="195"/>
      <c r="AH81" s="195"/>
    </row>
    <row r="82" spans="20:34" x14ac:dyDescent="0.35">
      <c r="T82" s="517"/>
      <c r="U82" s="517"/>
      <c r="V82" s="517"/>
      <c r="W82" s="31"/>
      <c r="X82" s="31"/>
      <c r="Y82" s="31"/>
      <c r="Z82" s="31"/>
      <c r="AA82" s="31"/>
      <c r="AB82" s="31"/>
      <c r="AC82" s="195"/>
      <c r="AD82" s="195"/>
      <c r="AE82" s="195"/>
      <c r="AF82" s="195"/>
      <c r="AG82" s="195"/>
      <c r="AH82" s="195"/>
    </row>
    <row r="83" spans="20:34" x14ac:dyDescent="0.35">
      <c r="T83" s="517"/>
      <c r="U83" s="517"/>
      <c r="V83" s="517"/>
      <c r="W83" s="105"/>
      <c r="X83" s="105"/>
      <c r="Y83" s="105"/>
      <c r="Z83" s="105"/>
      <c r="AA83" s="105"/>
      <c r="AB83" s="105"/>
      <c r="AC83" s="195"/>
      <c r="AD83" s="195"/>
      <c r="AE83" s="195"/>
      <c r="AF83" s="195"/>
      <c r="AG83" s="195"/>
      <c r="AH83" s="195"/>
    </row>
    <row r="84" spans="20:34" x14ac:dyDescent="0.35">
      <c r="T84" s="517"/>
      <c r="U84" s="517"/>
      <c r="V84" s="517"/>
      <c r="W84" s="105"/>
      <c r="X84" s="105"/>
      <c r="Y84" s="105"/>
      <c r="Z84" s="105"/>
      <c r="AA84" s="105"/>
      <c r="AB84" s="105"/>
      <c r="AC84" s="195"/>
      <c r="AD84" s="195"/>
      <c r="AE84" s="195"/>
      <c r="AF84" s="195"/>
      <c r="AG84" s="195"/>
      <c r="AH84" s="195"/>
    </row>
    <row r="85" spans="20:34" x14ac:dyDescent="0.35">
      <c r="T85" s="527"/>
      <c r="U85" s="527"/>
      <c r="V85" s="527"/>
      <c r="W85" s="512"/>
      <c r="X85" s="512"/>
      <c r="Y85" s="512"/>
      <c r="Z85" s="512"/>
      <c r="AA85" s="512"/>
      <c r="AB85" s="512"/>
      <c r="AC85" s="519"/>
      <c r="AD85" s="519"/>
      <c r="AE85" s="519"/>
      <c r="AF85" s="502"/>
      <c r="AG85" s="502"/>
      <c r="AH85" s="502"/>
    </row>
    <row r="86" spans="20:34" x14ac:dyDescent="0.35">
      <c r="T86" s="527"/>
      <c r="U86" s="527"/>
      <c r="V86" s="527"/>
      <c r="W86" s="501"/>
      <c r="X86" s="501"/>
      <c r="Y86" s="501"/>
      <c r="Z86" s="501"/>
      <c r="AA86" s="501"/>
      <c r="AB86" s="501"/>
      <c r="AC86" s="519"/>
      <c r="AD86" s="519"/>
      <c r="AE86" s="519"/>
      <c r="AF86" s="502"/>
      <c r="AG86" s="502"/>
      <c r="AH86" s="502"/>
    </row>
    <row r="87" spans="20:34" x14ac:dyDescent="0.35">
      <c r="T87" s="133"/>
      <c r="U87" s="133"/>
      <c r="V87" s="133"/>
      <c r="W87" s="530"/>
      <c r="X87" s="133"/>
      <c r="Y87" s="520"/>
      <c r="Z87" s="133"/>
      <c r="AA87" s="133"/>
      <c r="AB87" s="133"/>
      <c r="AC87" s="519"/>
      <c r="AD87" s="519"/>
      <c r="AE87" s="519"/>
      <c r="AF87" s="513"/>
      <c r="AG87" s="513"/>
      <c r="AH87" s="513"/>
    </row>
    <row r="88" spans="20:34" x14ac:dyDescent="0.35">
      <c r="T88" s="517"/>
      <c r="U88" s="517"/>
      <c r="V88" s="517"/>
      <c r="W88" s="31"/>
      <c r="X88" s="31"/>
      <c r="Y88" s="31"/>
      <c r="Z88" s="31"/>
      <c r="AA88" s="31"/>
      <c r="AB88" s="31"/>
      <c r="AC88" s="195"/>
      <c r="AD88" s="195"/>
      <c r="AE88" s="195"/>
      <c r="AF88" s="195"/>
      <c r="AG88" s="195"/>
      <c r="AH88" s="195"/>
    </row>
    <row r="89" spans="20:34" x14ac:dyDescent="0.35">
      <c r="T89" s="518"/>
      <c r="U89" s="518"/>
      <c r="V89" s="518"/>
      <c r="W89" s="31"/>
      <c r="X89" s="31"/>
      <c r="Y89" s="31"/>
      <c r="Z89" s="31"/>
      <c r="AA89" s="31"/>
      <c r="AB89" s="31"/>
      <c r="AC89" s="195"/>
      <c r="AD89" s="195"/>
      <c r="AE89" s="195"/>
      <c r="AF89" s="195"/>
      <c r="AG89" s="195"/>
      <c r="AH89" s="195"/>
    </row>
    <row r="90" spans="20:34" x14ac:dyDescent="0.35">
      <c r="T90" s="517"/>
      <c r="U90" s="517"/>
      <c r="V90" s="517"/>
      <c r="W90" s="105"/>
      <c r="X90" s="105"/>
      <c r="Y90" s="105"/>
      <c r="Z90" s="105"/>
      <c r="AA90" s="105"/>
      <c r="AB90" s="105"/>
      <c r="AC90" s="195"/>
      <c r="AD90" s="195"/>
      <c r="AE90" s="195"/>
      <c r="AF90" s="195"/>
      <c r="AG90" s="195"/>
      <c r="AH90" s="195"/>
    </row>
    <row r="91" spans="20:34" x14ac:dyDescent="0.35">
      <c r="T91" s="518"/>
      <c r="U91" s="518"/>
      <c r="V91" s="518"/>
      <c r="W91" s="105"/>
      <c r="X91" s="105"/>
      <c r="Y91" s="105"/>
      <c r="Z91" s="105"/>
      <c r="AA91" s="105"/>
      <c r="AB91" s="105"/>
      <c r="AC91" s="195"/>
      <c r="AD91" s="195"/>
      <c r="AE91" s="195"/>
      <c r="AF91" s="195"/>
      <c r="AG91" s="195"/>
      <c r="AH91" s="195"/>
    </row>
    <row r="92" spans="20:34" x14ac:dyDescent="0.35">
      <c r="T92" s="221"/>
      <c r="U92" s="221"/>
      <c r="V92" s="221"/>
      <c r="W92" s="512"/>
      <c r="X92" s="512"/>
      <c r="Y92" s="512"/>
      <c r="Z92" s="512"/>
      <c r="AA92" s="512"/>
      <c r="AB92" s="512"/>
      <c r="AC92" s="519"/>
      <c r="AD92" s="519"/>
      <c r="AE92" s="519"/>
      <c r="AF92" s="502"/>
      <c r="AG92" s="502"/>
      <c r="AH92" s="502"/>
    </row>
    <row r="93" spans="20:34" x14ac:dyDescent="0.35">
      <c r="T93" s="221"/>
      <c r="U93" s="221"/>
      <c r="V93" s="221"/>
      <c r="W93" s="501"/>
      <c r="X93" s="501"/>
      <c r="Y93" s="501"/>
      <c r="Z93" s="501"/>
      <c r="AA93" s="501"/>
      <c r="AB93" s="501"/>
      <c r="AC93" s="519"/>
      <c r="AD93" s="519"/>
      <c r="AE93" s="519"/>
      <c r="AF93" s="502"/>
      <c r="AG93" s="502"/>
      <c r="AH93" s="502"/>
    </row>
    <row r="94" spans="20:34" x14ac:dyDescent="0.35">
      <c r="T94" s="133"/>
      <c r="U94" s="133"/>
      <c r="V94" s="133"/>
      <c r="W94" s="90"/>
      <c r="X94" s="138"/>
      <c r="Y94" s="520"/>
      <c r="Z94" s="521"/>
      <c r="AA94" s="90"/>
      <c r="AB94" s="138"/>
      <c r="AC94" s="519"/>
      <c r="AD94" s="519"/>
      <c r="AE94" s="519"/>
      <c r="AF94" s="513"/>
      <c r="AG94" s="513"/>
      <c r="AH94" s="513"/>
    </row>
    <row r="95" spans="20:34" x14ac:dyDescent="0.35">
      <c r="T95" s="111"/>
      <c r="U95" s="111"/>
      <c r="V95" s="111"/>
      <c r="W95" s="111"/>
      <c r="X95" s="111"/>
      <c r="Y95" s="111"/>
      <c r="Z95" s="111"/>
      <c r="AA95" s="111"/>
      <c r="AB95" s="111"/>
    </row>
    <row r="96" spans="20:34" x14ac:dyDescent="0.35">
      <c r="T96" s="111"/>
      <c r="U96" s="111"/>
      <c r="V96" s="111"/>
      <c r="W96" s="111"/>
      <c r="X96" s="111"/>
      <c r="Y96" s="111"/>
      <c r="Z96" s="111"/>
      <c r="AA96" s="111"/>
      <c r="AB96" s="111"/>
      <c r="AC96" s="7"/>
      <c r="AD96" s="7"/>
      <c r="AE96" s="7"/>
      <c r="AF96" s="7"/>
      <c r="AG96" s="7"/>
      <c r="AH96" s="7"/>
    </row>
    <row r="97" spans="20:34" x14ac:dyDescent="0.35">
      <c r="AC97" s="7"/>
      <c r="AD97" s="7"/>
      <c r="AE97" s="7"/>
      <c r="AF97" s="7"/>
      <c r="AG97" s="7"/>
      <c r="AH97" s="7"/>
    </row>
    <row r="98" spans="20:34" x14ac:dyDescent="0.35">
      <c r="T98" s="192"/>
      <c r="U98" s="192"/>
      <c r="V98" s="192"/>
      <c r="W98" s="192"/>
      <c r="X98" s="192"/>
      <c r="Y98" s="192"/>
      <c r="Z98" s="192"/>
      <c r="AA98" s="192"/>
      <c r="AB98" s="192"/>
      <c r="AC98" s="192"/>
      <c r="AD98" s="192"/>
      <c r="AE98" s="192"/>
      <c r="AF98" s="192"/>
      <c r="AG98" s="192"/>
      <c r="AH98" s="192"/>
    </row>
    <row r="99" spans="20:34" x14ac:dyDescent="0.35">
      <c r="T99" s="192"/>
      <c r="U99" s="192"/>
      <c r="V99" s="192"/>
      <c r="W99" s="1010"/>
      <c r="X99" s="1010"/>
      <c r="Y99" s="111"/>
      <c r="Z99" s="111"/>
      <c r="AA99" s="111"/>
      <c r="AB99" s="111"/>
    </row>
    <row r="100" spans="20:34" x14ac:dyDescent="0.35">
      <c r="T100" s="193"/>
      <c r="U100" s="193"/>
      <c r="V100" s="193"/>
      <c r="W100" s="1010"/>
      <c r="X100" s="1010"/>
      <c r="Y100" s="111"/>
      <c r="Z100" s="111"/>
      <c r="AA100" s="111"/>
      <c r="AB100" s="111"/>
      <c r="AC100" s="7"/>
      <c r="AD100" s="7"/>
      <c r="AE100" s="7"/>
      <c r="AF100" s="7"/>
      <c r="AG100" s="7"/>
      <c r="AH100" s="7"/>
    </row>
    <row r="101" spans="20:34" x14ac:dyDescent="0.35">
      <c r="T101" s="90"/>
      <c r="U101" s="90"/>
      <c r="V101" s="90"/>
      <c r="W101" s="8"/>
      <c r="X101" s="8"/>
      <c r="Y101" s="111"/>
      <c r="Z101" s="111"/>
      <c r="AA101" s="111"/>
      <c r="AB101" s="111"/>
    </row>
    <row r="102" spans="20:34" x14ac:dyDescent="0.35">
      <c r="T102" s="90"/>
      <c r="U102" s="90"/>
      <c r="V102" s="90"/>
      <c r="W102" s="8"/>
      <c r="X102" s="8"/>
      <c r="Y102" s="111"/>
      <c r="Z102" s="111"/>
      <c r="AA102" s="111"/>
      <c r="AB102" s="111"/>
    </row>
    <row r="103" spans="20:34" x14ac:dyDescent="0.35">
      <c r="T103" s="90"/>
      <c r="U103" s="90"/>
      <c r="V103" s="90"/>
      <c r="W103" s="8"/>
      <c r="X103" s="8"/>
      <c r="Y103" s="111"/>
      <c r="Z103" s="111"/>
      <c r="AA103" s="111"/>
      <c r="AB103" s="111"/>
    </row>
    <row r="104" spans="20:34" x14ac:dyDescent="0.35">
      <c r="T104" s="194"/>
      <c r="U104" s="194"/>
      <c r="V104" s="194"/>
      <c r="W104" s="29"/>
      <c r="X104" s="531"/>
      <c r="Y104" s="111"/>
      <c r="Z104" s="111"/>
      <c r="AA104" s="111"/>
      <c r="AB104" s="111"/>
    </row>
    <row r="105" spans="20:34" x14ac:dyDescent="0.35">
      <c r="T105" s="111"/>
      <c r="U105" s="111"/>
      <c r="V105" s="111"/>
      <c r="W105" s="111"/>
      <c r="X105" s="111"/>
      <c r="Y105" s="111"/>
      <c r="Z105" s="111"/>
      <c r="AA105" s="111"/>
      <c r="AB105" s="111"/>
    </row>
    <row r="106" spans="20:34" x14ac:dyDescent="0.35">
      <c r="T106" s="111"/>
      <c r="U106" s="111"/>
      <c r="V106" s="111"/>
      <c r="W106" s="111"/>
      <c r="X106" s="111"/>
      <c r="Y106" s="111"/>
      <c r="Z106" s="111"/>
      <c r="AA106" s="111"/>
      <c r="AB106" s="111"/>
    </row>
    <row r="107" spans="20:34" x14ac:dyDescent="0.35">
      <c r="T107" s="111"/>
      <c r="U107" s="111"/>
      <c r="V107" s="111"/>
      <c r="W107" s="111"/>
      <c r="X107" s="111"/>
      <c r="Y107" s="111"/>
      <c r="Z107" s="111"/>
      <c r="AA107" s="111"/>
      <c r="AB107" s="111"/>
    </row>
    <row r="108" spans="20:34" x14ac:dyDescent="0.35">
      <c r="T108" s="111"/>
      <c r="U108" s="111"/>
      <c r="V108" s="111"/>
      <c r="W108" s="111"/>
      <c r="X108" s="111"/>
      <c r="Y108" s="111"/>
      <c r="Z108" s="111"/>
      <c r="AA108" s="111"/>
      <c r="AB108" s="111"/>
    </row>
    <row r="109" spans="20:34" x14ac:dyDescent="0.35">
      <c r="T109" s="111"/>
      <c r="U109" s="111"/>
      <c r="V109" s="111"/>
      <c r="W109" s="111"/>
      <c r="X109" s="111"/>
      <c r="Y109" s="111"/>
      <c r="Z109" s="111"/>
      <c r="AA109" s="111"/>
      <c r="AB109" s="111"/>
    </row>
  </sheetData>
  <mergeCells count="2">
    <mergeCell ref="W99:W100"/>
    <mergeCell ref="X99:X100"/>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2"/>
  <sheetViews>
    <sheetView zoomScale="70" zoomScaleNormal="70" workbookViewId="0">
      <selection activeCell="B8" sqref="B8"/>
    </sheetView>
  </sheetViews>
  <sheetFormatPr defaultColWidth="0" defaultRowHeight="14.5" zeroHeight="1" x14ac:dyDescent="0.35"/>
  <cols>
    <col min="1" max="1" width="9.1796875" customWidth="1"/>
    <col min="2" max="2" width="190" customWidth="1"/>
    <col min="3" max="3" width="6.54296875" customWidth="1"/>
    <col min="4" max="10" width="6.54296875" hidden="1" customWidth="1"/>
    <col min="11" max="11" width="13.1796875" hidden="1" customWidth="1"/>
    <col min="12" max="12" width="26.453125" hidden="1" customWidth="1"/>
    <col min="13" max="13" width="18.26953125" hidden="1" customWidth="1"/>
    <col min="14" max="14" width="20.26953125" hidden="1" customWidth="1"/>
    <col min="15" max="16384" width="9.1796875" hidden="1"/>
  </cols>
  <sheetData>
    <row r="1" spans="1:14" ht="28.5" x14ac:dyDescent="0.65">
      <c r="A1" s="76" t="s">
        <v>10</v>
      </c>
      <c r="B1" s="76"/>
      <c r="C1" s="76"/>
      <c r="D1" s="76"/>
      <c r="E1" s="76"/>
      <c r="F1" s="76"/>
      <c r="G1" s="76"/>
      <c r="H1" s="76"/>
      <c r="I1" s="76"/>
      <c r="J1" s="76"/>
      <c r="K1" s="76"/>
      <c r="L1" s="76"/>
      <c r="M1" s="76"/>
      <c r="N1" s="77"/>
    </row>
    <row r="2" spans="1:14" x14ac:dyDescent="0.35"/>
    <row r="3" spans="1:14" x14ac:dyDescent="0.35">
      <c r="A3" s="7">
        <v>1</v>
      </c>
      <c r="B3" s="7" t="s">
        <v>11</v>
      </c>
    </row>
    <row r="4" spans="1:14" ht="29" x14ac:dyDescent="0.35">
      <c r="A4" s="7">
        <v>2</v>
      </c>
      <c r="B4" s="53" t="s">
        <v>12</v>
      </c>
    </row>
    <row r="5" spans="1:14" x14ac:dyDescent="0.35">
      <c r="A5" s="7">
        <v>3</v>
      </c>
      <c r="B5" s="7" t="s">
        <v>13</v>
      </c>
    </row>
    <row r="6" spans="1:14" x14ac:dyDescent="0.35">
      <c r="A6" s="7">
        <v>4</v>
      </c>
      <c r="B6" s="7" t="s">
        <v>14</v>
      </c>
    </row>
    <row r="7" spans="1:14" x14ac:dyDescent="0.35">
      <c r="A7" s="7">
        <v>5</v>
      </c>
      <c r="B7" s="7" t="s">
        <v>15</v>
      </c>
    </row>
    <row r="8" spans="1:14" x14ac:dyDescent="0.35">
      <c r="A8" s="7">
        <v>6</v>
      </c>
      <c r="B8" s="7" t="s">
        <v>16</v>
      </c>
    </row>
    <row r="9" spans="1:14" x14ac:dyDescent="0.35">
      <c r="A9" s="7">
        <v>7</v>
      </c>
      <c r="B9" s="7" t="s">
        <v>17</v>
      </c>
    </row>
    <row r="10" spans="1:14" x14ac:dyDescent="0.35">
      <c r="A10" s="7">
        <v>8</v>
      </c>
      <c r="B10" s="7" t="s">
        <v>18</v>
      </c>
    </row>
    <row r="11" spans="1:14" x14ac:dyDescent="0.35"/>
    <row r="12" spans="1:14" x14ac:dyDescent="0.35"/>
    <row r="13" spans="1:14" x14ac:dyDescent="0.35"/>
    <row r="14" spans="1:14" x14ac:dyDescent="0.35"/>
    <row r="15" spans="1:14" x14ac:dyDescent="0.35"/>
    <row r="16" spans="1:14"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6"/>
  </sheetPr>
  <dimension ref="A1:AW237"/>
  <sheetViews>
    <sheetView zoomScale="70" zoomScaleNormal="70" workbookViewId="0">
      <pane xSplit="3" ySplit="2" topLeftCell="D3" activePane="bottomRight" state="frozen"/>
      <selection pane="topRight"/>
      <selection pane="bottomLeft"/>
      <selection pane="bottomRight" activeCell="H25" sqref="H25"/>
    </sheetView>
  </sheetViews>
  <sheetFormatPr defaultColWidth="0" defaultRowHeight="14.5" zeroHeight="1" x14ac:dyDescent="0.35"/>
  <cols>
    <col min="1" max="1" width="42.7265625" customWidth="1"/>
    <col min="2" max="2" width="46.26953125" customWidth="1"/>
    <col min="3" max="3" width="28.453125" customWidth="1"/>
    <col min="4" max="37" width="17.54296875" customWidth="1"/>
    <col min="38" max="49" width="17.54296875" hidden="1" customWidth="1"/>
    <col min="50" max="16384" width="20.453125" hidden="1"/>
  </cols>
  <sheetData>
    <row r="1" spans="1:36" s="133" customFormat="1" ht="28.5" x14ac:dyDescent="0.65">
      <c r="A1" s="76" t="s">
        <v>533</v>
      </c>
      <c r="B1" s="77"/>
      <c r="C1" s="77"/>
      <c r="D1" s="77"/>
      <c r="E1" s="77"/>
      <c r="F1" s="77"/>
      <c r="G1" s="77"/>
      <c r="H1" s="76"/>
      <c r="I1" s="76"/>
      <c r="J1" s="76"/>
      <c r="K1" s="76"/>
      <c r="L1" s="76"/>
      <c r="M1" s="76"/>
      <c r="N1" s="76"/>
      <c r="O1" s="76"/>
      <c r="P1" s="76"/>
      <c r="Q1" s="76"/>
      <c r="R1" s="76"/>
      <c r="S1" s="76"/>
      <c r="T1" s="76"/>
      <c r="U1" s="77"/>
      <c r="V1" s="77"/>
      <c r="W1" s="77"/>
      <c r="X1" s="77"/>
      <c r="Y1" s="76"/>
      <c r="Z1" s="76"/>
      <c r="AA1" s="76"/>
      <c r="AB1" s="76"/>
      <c r="AC1" s="76"/>
      <c r="AD1" s="76"/>
      <c r="AE1" s="76"/>
      <c r="AF1" s="76"/>
      <c r="AG1" s="76"/>
      <c r="AH1" s="76"/>
      <c r="AI1" s="76"/>
      <c r="AJ1" s="76"/>
    </row>
    <row r="2" spans="1:36" s="7" customFormat="1" ht="18.75" customHeight="1" x14ac:dyDescent="0.5">
      <c r="A2" s="85"/>
      <c r="B2" s="85"/>
      <c r="C2" s="85"/>
      <c r="D2" s="85"/>
      <c r="E2" s="126" t="s">
        <v>409</v>
      </c>
      <c r="F2" s="126"/>
      <c r="G2" s="126"/>
      <c r="H2" s="126"/>
      <c r="I2" s="126"/>
      <c r="J2" s="126"/>
      <c r="K2" s="126"/>
      <c r="L2" s="126"/>
      <c r="M2" s="126"/>
      <c r="N2" s="126"/>
      <c r="O2" s="126"/>
      <c r="P2" s="126"/>
      <c r="Q2" s="126"/>
      <c r="R2" s="126"/>
      <c r="S2" s="233" t="s">
        <v>47</v>
      </c>
      <c r="T2" s="125"/>
      <c r="U2" s="125"/>
      <c r="V2" s="125"/>
      <c r="W2" s="125"/>
      <c r="X2" s="125"/>
      <c r="Y2" s="125"/>
      <c r="Z2" s="125"/>
      <c r="AA2" s="125"/>
      <c r="AB2" s="125"/>
      <c r="AC2" s="125"/>
      <c r="AD2" s="125"/>
      <c r="AE2" s="125"/>
      <c r="AF2" s="125"/>
      <c r="AG2" s="125"/>
      <c r="AH2" s="125"/>
      <c r="AI2" s="125"/>
      <c r="AJ2" s="125"/>
    </row>
    <row r="3" spans="1:36" s="51" customFormat="1" ht="18.75" customHeight="1" x14ac:dyDescent="0.45">
      <c r="A3" s="85"/>
      <c r="B3" s="85"/>
      <c r="C3" s="85"/>
      <c r="D3" s="85"/>
      <c r="E3" s="85"/>
      <c r="F3" s="85"/>
      <c r="G3" s="85"/>
      <c r="H3" s="52"/>
      <c r="I3" s="52"/>
      <c r="J3" s="52"/>
      <c r="K3" s="52"/>
      <c r="L3" s="52"/>
      <c r="M3" s="52"/>
      <c r="N3" s="52"/>
      <c r="O3" s="52"/>
      <c r="P3" s="52"/>
      <c r="Q3" s="52"/>
      <c r="R3" s="52"/>
      <c r="S3" s="85"/>
      <c r="T3" s="85"/>
      <c r="U3" s="85"/>
      <c r="V3" s="52"/>
      <c r="W3" s="52"/>
      <c r="X3" s="52"/>
      <c r="Y3" s="52"/>
      <c r="Z3" s="52"/>
      <c r="AA3" s="52"/>
      <c r="AB3" s="52"/>
      <c r="AC3" s="52"/>
      <c r="AD3" s="52"/>
      <c r="AE3" s="52"/>
      <c r="AF3" s="52"/>
      <c r="AG3" s="52"/>
      <c r="AH3" s="52"/>
      <c r="AI3" s="52"/>
      <c r="AJ3" s="52"/>
    </row>
    <row r="4" spans="1:36" s="7" customFormat="1" ht="18.75" customHeight="1" x14ac:dyDescent="0.35">
      <c r="A4" s="52"/>
      <c r="B4" s="52"/>
      <c r="C4" s="52"/>
      <c r="D4" s="52"/>
      <c r="E4" s="52" t="s">
        <v>410</v>
      </c>
      <c r="F4" s="52"/>
      <c r="G4" s="52"/>
      <c r="H4" s="98" t="s">
        <v>534</v>
      </c>
      <c r="I4" s="98"/>
      <c r="J4" s="98"/>
      <c r="K4" s="52"/>
      <c r="L4" s="52"/>
      <c r="M4" s="52"/>
      <c r="N4" s="52"/>
      <c r="O4" s="52"/>
      <c r="P4" s="52"/>
      <c r="Q4" s="52"/>
      <c r="R4" s="52"/>
      <c r="S4" s="52" t="s">
        <v>410</v>
      </c>
      <c r="T4" s="52"/>
      <c r="U4" s="52"/>
      <c r="V4" s="98" t="s">
        <v>534</v>
      </c>
      <c r="W4" s="98"/>
      <c r="X4" s="98"/>
      <c r="Y4" s="52"/>
      <c r="Z4" s="52"/>
      <c r="AA4" s="52"/>
      <c r="AB4" s="52"/>
      <c r="AC4" s="52"/>
      <c r="AD4" s="52"/>
      <c r="AE4" s="52"/>
      <c r="AF4" s="52"/>
      <c r="AG4" s="52"/>
      <c r="AH4" s="52"/>
      <c r="AI4" s="52"/>
      <c r="AJ4" s="52"/>
    </row>
    <row r="5" spans="1:36" s="102" customFormat="1" ht="18.75" customHeight="1" x14ac:dyDescent="0.35">
      <c r="A5" s="52" t="s">
        <v>203</v>
      </c>
      <c r="B5" s="52" t="s">
        <v>416</v>
      </c>
      <c r="C5" s="52" t="s">
        <v>417</v>
      </c>
      <c r="D5" s="52" t="s">
        <v>418</v>
      </c>
      <c r="E5" s="82" t="s">
        <v>419</v>
      </c>
      <c r="F5" s="134"/>
      <c r="G5" s="134"/>
      <c r="H5" s="82" t="s">
        <v>535</v>
      </c>
      <c r="I5" s="82"/>
      <c r="J5" s="82"/>
      <c r="K5" s="82"/>
      <c r="L5" s="82"/>
      <c r="M5" s="82"/>
      <c r="N5" s="82"/>
      <c r="O5" s="82"/>
      <c r="P5" s="82"/>
      <c r="Q5" s="82"/>
      <c r="R5" s="82"/>
      <c r="S5" s="82" t="s">
        <v>419</v>
      </c>
      <c r="T5" s="134"/>
      <c r="U5" s="134"/>
      <c r="V5" s="82" t="s">
        <v>535</v>
      </c>
      <c r="W5" s="82"/>
      <c r="X5" s="82"/>
      <c r="Y5" s="82"/>
      <c r="Z5" s="82"/>
      <c r="AA5" s="82"/>
      <c r="AB5" s="82"/>
      <c r="AC5" s="82"/>
      <c r="AD5" s="82"/>
      <c r="AE5" s="82"/>
      <c r="AF5" s="82"/>
      <c r="AG5" s="82"/>
      <c r="AH5" s="82"/>
      <c r="AI5" s="82"/>
      <c r="AJ5" s="82"/>
    </row>
    <row r="6" spans="1:36" s="7" customFormat="1" ht="18.75" customHeight="1" x14ac:dyDescent="0.35">
      <c r="A6" s="134"/>
      <c r="B6" s="82" t="s">
        <v>420</v>
      </c>
      <c r="C6" s="134"/>
      <c r="D6" s="134"/>
      <c r="E6" s="86" t="s">
        <v>350</v>
      </c>
      <c r="F6" s="128" t="s">
        <v>351</v>
      </c>
      <c r="G6" s="129" t="s">
        <v>352</v>
      </c>
      <c r="H6" s="86" t="s">
        <v>428</v>
      </c>
      <c r="I6" s="86" t="s">
        <v>429</v>
      </c>
      <c r="J6" s="86" t="s">
        <v>430</v>
      </c>
      <c r="K6" s="52"/>
      <c r="L6" s="52"/>
      <c r="M6" s="52"/>
      <c r="N6" s="52"/>
      <c r="O6" s="52"/>
      <c r="P6" s="52"/>
      <c r="Q6" s="52"/>
      <c r="R6" s="52"/>
      <c r="S6" s="86" t="s">
        <v>350</v>
      </c>
      <c r="T6" s="128" t="s">
        <v>351</v>
      </c>
      <c r="U6" s="129" t="s">
        <v>352</v>
      </c>
      <c r="V6" s="86" t="s">
        <v>428</v>
      </c>
      <c r="W6" s="86" t="s">
        <v>429</v>
      </c>
      <c r="X6" s="86" t="s">
        <v>430</v>
      </c>
      <c r="Y6" s="52"/>
      <c r="Z6" s="52"/>
      <c r="AA6" s="52"/>
      <c r="AB6" s="52"/>
      <c r="AC6" s="52"/>
      <c r="AD6" s="52"/>
      <c r="AE6" s="52"/>
      <c r="AF6" s="52"/>
      <c r="AG6" s="52"/>
      <c r="AH6" s="52"/>
      <c r="AI6" s="52"/>
      <c r="AJ6" s="52"/>
    </row>
    <row r="7" spans="1:36" s="7" customFormat="1" x14ac:dyDescent="0.35">
      <c r="A7" s="7" t="s">
        <v>125</v>
      </c>
      <c r="B7" s="7" t="s">
        <v>431</v>
      </c>
      <c r="C7" s="7" t="s">
        <v>432</v>
      </c>
      <c r="D7" s="7" t="s">
        <v>433</v>
      </c>
      <c r="E7" s="103">
        <f>1/80</f>
        <v>1.2500000000000001E-2</v>
      </c>
      <c r="F7" s="103">
        <f>1/120</f>
        <v>8.3333333333333332E-3</v>
      </c>
      <c r="G7" s="103">
        <v>0</v>
      </c>
      <c r="H7" s="201">
        <v>34.6</v>
      </c>
      <c r="I7" s="206">
        <v>38.80593561871634</v>
      </c>
      <c r="J7" s="201">
        <v>43</v>
      </c>
      <c r="S7" s="103">
        <f t="shared" ref="S7:U10" si="0">E7</f>
        <v>1.2500000000000001E-2</v>
      </c>
      <c r="T7" s="103">
        <f t="shared" si="0"/>
        <v>8.3333333333333332E-3</v>
      </c>
      <c r="U7" s="103">
        <f t="shared" si="0"/>
        <v>0</v>
      </c>
      <c r="V7" s="201">
        <v>30.6</v>
      </c>
      <c r="W7" s="206">
        <v>36.439305163775224</v>
      </c>
      <c r="X7" s="201">
        <v>42.3</v>
      </c>
      <c r="Y7" s="30"/>
      <c r="Z7" s="30"/>
      <c r="AA7" s="30"/>
      <c r="AB7" s="30"/>
      <c r="AC7" s="30"/>
    </row>
    <row r="8" spans="1:36" s="7" customFormat="1" x14ac:dyDescent="0.35">
      <c r="C8" s="7" t="s">
        <v>434</v>
      </c>
      <c r="D8" s="7" t="s">
        <v>435</v>
      </c>
      <c r="E8" s="103">
        <f>1/80</f>
        <v>1.2500000000000001E-2</v>
      </c>
      <c r="F8" s="103">
        <f>1/120</f>
        <v>8.3333333333333332E-3</v>
      </c>
      <c r="G8" s="103">
        <v>0</v>
      </c>
      <c r="H8" s="201">
        <v>33.5</v>
      </c>
      <c r="I8" s="206">
        <v>37.869619818951819</v>
      </c>
      <c r="J8" s="206">
        <v>42.2</v>
      </c>
      <c r="S8" s="103">
        <f t="shared" si="0"/>
        <v>1.2500000000000001E-2</v>
      </c>
      <c r="T8" s="103">
        <f t="shared" si="0"/>
        <v>8.3333333333333332E-3</v>
      </c>
      <c r="U8" s="103">
        <f t="shared" si="0"/>
        <v>0</v>
      </c>
      <c r="V8" s="201">
        <v>27.5</v>
      </c>
      <c r="W8" s="206">
        <v>33.580548858789946</v>
      </c>
      <c r="X8" s="201">
        <v>39.700000000000003</v>
      </c>
      <c r="Y8" s="30"/>
      <c r="Z8" s="30"/>
      <c r="AA8" s="30"/>
      <c r="AB8" s="30"/>
      <c r="AC8" s="30"/>
    </row>
    <row r="9" spans="1:36" s="7" customFormat="1" x14ac:dyDescent="0.35">
      <c r="D9" s="7" t="s">
        <v>436</v>
      </c>
      <c r="E9" s="103">
        <f>1/80</f>
        <v>1.2500000000000001E-2</v>
      </c>
      <c r="F9" s="103">
        <f>1/120</f>
        <v>8.3333333333333332E-3</v>
      </c>
      <c r="G9" s="103">
        <v>0</v>
      </c>
      <c r="H9" s="201">
        <v>0</v>
      </c>
      <c r="I9" s="207">
        <v>9.1999999999999993</v>
      </c>
      <c r="J9" s="201">
        <v>35.200000000000003</v>
      </c>
      <c r="S9" s="103">
        <f t="shared" si="0"/>
        <v>1.2500000000000001E-2</v>
      </c>
      <c r="T9" s="103">
        <f t="shared" si="0"/>
        <v>8.3333333333333332E-3</v>
      </c>
      <c r="U9" s="103">
        <f t="shared" si="0"/>
        <v>0</v>
      </c>
      <c r="V9" s="201">
        <v>0</v>
      </c>
      <c r="W9" s="206">
        <v>12.796119774341175</v>
      </c>
      <c r="X9" s="201">
        <v>40.1</v>
      </c>
      <c r="Y9" s="30"/>
      <c r="Z9" s="30"/>
      <c r="AA9" s="30"/>
      <c r="AB9" s="30"/>
      <c r="AC9" s="30"/>
    </row>
    <row r="10" spans="1:36" s="7" customFormat="1" x14ac:dyDescent="0.35">
      <c r="D10" s="7" t="s">
        <v>437</v>
      </c>
      <c r="E10" s="103">
        <f>1/80</f>
        <v>1.2500000000000001E-2</v>
      </c>
      <c r="F10" s="103">
        <f>1/120</f>
        <v>8.3333333333333332E-3</v>
      </c>
      <c r="G10" s="103">
        <v>0</v>
      </c>
      <c r="H10" s="201">
        <v>0</v>
      </c>
      <c r="I10" s="207">
        <v>9.1999999999999993</v>
      </c>
      <c r="J10" s="201">
        <v>37.299999999999997</v>
      </c>
      <c r="S10" s="103">
        <f t="shared" si="0"/>
        <v>1.2500000000000001E-2</v>
      </c>
      <c r="T10" s="103">
        <f t="shared" si="0"/>
        <v>8.3333333333333332E-3</v>
      </c>
      <c r="U10" s="103">
        <f t="shared" si="0"/>
        <v>0</v>
      </c>
      <c r="V10" s="201">
        <v>0</v>
      </c>
      <c r="W10" s="206">
        <v>10.537506821738706</v>
      </c>
      <c r="X10" s="201">
        <v>37.299999999999997</v>
      </c>
      <c r="Y10" s="30"/>
      <c r="Z10" s="30"/>
      <c r="AA10" s="30"/>
      <c r="AB10" s="30"/>
      <c r="AC10" s="30"/>
    </row>
    <row r="11" spans="1:36" s="7" customFormat="1" x14ac:dyDescent="0.35">
      <c r="D11" s="7" t="s">
        <v>438</v>
      </c>
      <c r="E11" s="150">
        <f t="shared" ref="E11:J11" si="1">AVERAGE(E7,E8)</f>
        <v>1.2500000000000001E-2</v>
      </c>
      <c r="F11" s="150">
        <f t="shared" si="1"/>
        <v>8.3333333333333332E-3</v>
      </c>
      <c r="G11" s="150">
        <f t="shared" si="1"/>
        <v>0</v>
      </c>
      <c r="H11" s="162">
        <f t="shared" si="1"/>
        <v>34.049999999999997</v>
      </c>
      <c r="I11" s="162">
        <f t="shared" si="1"/>
        <v>38.337777718834076</v>
      </c>
      <c r="J11" s="162">
        <f t="shared" si="1"/>
        <v>42.6</v>
      </c>
      <c r="S11" s="112">
        <f t="shared" ref="S11:X11" si="2">AVERAGE(S7,S8)</f>
        <v>1.2500000000000001E-2</v>
      </c>
      <c r="T11" s="112">
        <f t="shared" si="2"/>
        <v>8.3333333333333332E-3</v>
      </c>
      <c r="U11" s="112">
        <f t="shared" si="2"/>
        <v>0</v>
      </c>
      <c r="V11" s="162">
        <f t="shared" si="2"/>
        <v>29.05</v>
      </c>
      <c r="W11" s="162">
        <f t="shared" si="2"/>
        <v>35.009927011282585</v>
      </c>
      <c r="X11" s="162">
        <f t="shared" si="2"/>
        <v>41</v>
      </c>
      <c r="Y11" s="30"/>
      <c r="Z11" s="30"/>
      <c r="AA11" s="30"/>
      <c r="AB11" s="30"/>
      <c r="AC11" s="30"/>
    </row>
    <row r="12" spans="1:36" s="7" customFormat="1" x14ac:dyDescent="0.35">
      <c r="D12" s="7" t="s">
        <v>439</v>
      </c>
      <c r="E12" s="150">
        <f t="shared" ref="E12:J12" si="3">AVERAGE(E9,E10)</f>
        <v>1.2500000000000001E-2</v>
      </c>
      <c r="F12" s="150">
        <f t="shared" si="3"/>
        <v>8.3333333333333332E-3</v>
      </c>
      <c r="G12" s="150">
        <f t="shared" si="3"/>
        <v>0</v>
      </c>
      <c r="H12" s="162">
        <f t="shared" si="3"/>
        <v>0</v>
      </c>
      <c r="I12" s="162">
        <f t="shared" si="3"/>
        <v>9.1999999999999993</v>
      </c>
      <c r="J12" s="162">
        <f t="shared" si="3"/>
        <v>36.25</v>
      </c>
      <c r="S12" s="112">
        <f t="shared" ref="S12:X12" si="4">AVERAGE(S9,S10)</f>
        <v>1.2500000000000001E-2</v>
      </c>
      <c r="T12" s="112">
        <f t="shared" si="4"/>
        <v>8.3333333333333332E-3</v>
      </c>
      <c r="U12" s="112">
        <f t="shared" si="4"/>
        <v>0</v>
      </c>
      <c r="V12" s="162">
        <f t="shared" si="4"/>
        <v>0</v>
      </c>
      <c r="W12" s="162">
        <f t="shared" si="4"/>
        <v>11.666813298039941</v>
      </c>
      <c r="X12" s="162">
        <f t="shared" si="4"/>
        <v>38.700000000000003</v>
      </c>
      <c r="Y12" s="30"/>
      <c r="Z12" s="30"/>
      <c r="AA12" s="30"/>
      <c r="AB12" s="30"/>
      <c r="AC12" s="30"/>
    </row>
    <row r="13" spans="1:36" s="7" customFormat="1" x14ac:dyDescent="0.35">
      <c r="D13" s="7" t="s">
        <v>440</v>
      </c>
      <c r="E13" s="134"/>
      <c r="F13" s="134"/>
      <c r="G13" s="134"/>
      <c r="H13" s="87"/>
      <c r="I13" s="87"/>
      <c r="J13" s="87"/>
      <c r="S13" s="11"/>
      <c r="T13" s="39"/>
      <c r="U13" s="39"/>
      <c r="V13" s="39"/>
      <c r="W13" s="39"/>
      <c r="X13" s="39"/>
      <c r="Y13" s="30"/>
      <c r="Z13" s="30"/>
      <c r="AA13" s="30"/>
      <c r="AB13" s="30"/>
      <c r="AC13" s="30"/>
    </row>
    <row r="14" spans="1:36" s="7" customFormat="1" x14ac:dyDescent="0.35">
      <c r="A14" s="7" t="s">
        <v>129</v>
      </c>
      <c r="B14" s="7" t="s">
        <v>441</v>
      </c>
      <c r="C14" s="7" t="s">
        <v>432</v>
      </c>
      <c r="D14" s="7" t="s">
        <v>433</v>
      </c>
      <c r="E14" s="103">
        <f>1/15</f>
        <v>6.6666666666666666E-2</v>
      </c>
      <c r="F14" s="103">
        <f>1/25</f>
        <v>0.04</v>
      </c>
      <c r="G14" s="103">
        <v>0</v>
      </c>
      <c r="H14" s="201">
        <v>2.8</v>
      </c>
      <c r="I14" s="206">
        <v>3.7205926764843626</v>
      </c>
      <c r="J14" s="201">
        <v>4.5999999999999996</v>
      </c>
      <c r="S14" s="103">
        <f>1/45</f>
        <v>2.2222222222222223E-2</v>
      </c>
      <c r="T14" s="103">
        <f>1/65</f>
        <v>1.5384615384615385E-2</v>
      </c>
      <c r="U14" s="103">
        <v>0</v>
      </c>
      <c r="V14" s="201">
        <v>2.4</v>
      </c>
      <c r="W14" s="206">
        <v>3.8633398296597852</v>
      </c>
      <c r="X14" s="201">
        <v>5.3</v>
      </c>
      <c r="Y14" s="30"/>
      <c r="Z14" s="30"/>
      <c r="AA14" s="30"/>
      <c r="AB14" s="30"/>
      <c r="AC14" s="30"/>
    </row>
    <row r="15" spans="1:36" s="7" customFormat="1" x14ac:dyDescent="0.35">
      <c r="C15" s="7" t="s">
        <v>434</v>
      </c>
      <c r="D15" s="7" t="s">
        <v>435</v>
      </c>
      <c r="E15" s="103">
        <f>34600/552000</f>
        <v>6.2681159420289859E-2</v>
      </c>
      <c r="F15" s="103">
        <f>17300/552000</f>
        <v>3.1340579710144929E-2</v>
      </c>
      <c r="G15" s="103">
        <v>0</v>
      </c>
      <c r="H15" s="201">
        <v>3.1</v>
      </c>
      <c r="I15" s="206">
        <v>4.0336816477106536</v>
      </c>
      <c r="J15" s="206">
        <v>4.9000000000000004</v>
      </c>
      <c r="S15" s="103">
        <f>2800/131000</f>
        <v>2.1374045801526718E-2</v>
      </c>
      <c r="T15" s="103">
        <f>1400/131000</f>
        <v>1.0687022900763359E-2</v>
      </c>
      <c r="U15" s="103">
        <v>0</v>
      </c>
      <c r="V15" s="201">
        <v>3.8</v>
      </c>
      <c r="W15" s="206">
        <v>5.3453888679328214</v>
      </c>
      <c r="X15" s="201">
        <v>6.8</v>
      </c>
      <c r="Y15" s="30"/>
      <c r="Z15" s="30"/>
      <c r="AA15" s="30"/>
      <c r="AB15" s="30"/>
      <c r="AC15" s="30"/>
    </row>
    <row r="16" spans="1:36" s="7" customFormat="1" x14ac:dyDescent="0.35">
      <c r="D16" s="7" t="s">
        <v>436</v>
      </c>
      <c r="E16" s="103">
        <f>1/15</f>
        <v>6.6666666666666666E-2</v>
      </c>
      <c r="F16" s="103">
        <f>1/25</f>
        <v>0.04</v>
      </c>
      <c r="G16" s="103">
        <v>0</v>
      </c>
      <c r="H16" s="201">
        <v>3.2</v>
      </c>
      <c r="I16" s="207">
        <v>7.8</v>
      </c>
      <c r="J16" s="201">
        <v>14.1</v>
      </c>
      <c r="S16" s="103">
        <f>1/45</f>
        <v>2.2222222222222223E-2</v>
      </c>
      <c r="T16" s="103">
        <f>1/65</f>
        <v>1.5384615384615385E-2</v>
      </c>
      <c r="U16" s="103">
        <v>0</v>
      </c>
      <c r="V16" s="201">
        <v>3.9</v>
      </c>
      <c r="W16" s="206">
        <v>10.653340665579238</v>
      </c>
      <c r="X16" s="201">
        <v>17.399999999999999</v>
      </c>
      <c r="Y16" s="30"/>
      <c r="Z16" s="30"/>
      <c r="AA16" s="30"/>
      <c r="AB16" s="30"/>
      <c r="AC16" s="30"/>
    </row>
    <row r="17" spans="1:29" s="7" customFormat="1" x14ac:dyDescent="0.35">
      <c r="D17" s="7" t="s">
        <v>437</v>
      </c>
      <c r="E17" s="103">
        <f>2320/37000</f>
        <v>6.2702702702702701E-2</v>
      </c>
      <c r="F17" s="103">
        <f>1160/37000</f>
        <v>3.135135135135135E-2</v>
      </c>
      <c r="G17" s="103">
        <v>0</v>
      </c>
      <c r="H17" s="201">
        <v>0.9</v>
      </c>
      <c r="I17" s="207">
        <v>7.8</v>
      </c>
      <c r="J17" s="201">
        <v>12.8</v>
      </c>
      <c r="S17" s="103">
        <f>210/10000</f>
        <v>2.1000000000000001E-2</v>
      </c>
      <c r="T17" s="103">
        <f>110/10000</f>
        <v>1.0999999999999999E-2</v>
      </c>
      <c r="U17" s="103">
        <v>0</v>
      </c>
      <c r="V17" s="201">
        <v>3.4</v>
      </c>
      <c r="W17" s="206">
        <v>9.9597183886391658</v>
      </c>
      <c r="X17" s="201">
        <v>16.5</v>
      </c>
      <c r="Y17" s="30"/>
      <c r="Z17" s="30"/>
      <c r="AA17" s="30"/>
      <c r="AB17" s="30"/>
      <c r="AC17" s="30"/>
    </row>
    <row r="18" spans="1:29" s="7" customFormat="1" x14ac:dyDescent="0.35">
      <c r="D18" s="7" t="s">
        <v>438</v>
      </c>
      <c r="E18" s="150">
        <f t="shared" ref="E18:J18" si="5">AVERAGE(E14,E15)</f>
        <v>6.4673913043478262E-2</v>
      </c>
      <c r="F18" s="150">
        <f t="shared" si="5"/>
        <v>3.5670289855072465E-2</v>
      </c>
      <c r="G18" s="150">
        <f t="shared" si="5"/>
        <v>0</v>
      </c>
      <c r="H18" s="162">
        <f t="shared" si="5"/>
        <v>2.95</v>
      </c>
      <c r="I18" s="162">
        <f t="shared" si="5"/>
        <v>3.8771371620975081</v>
      </c>
      <c r="J18" s="162">
        <f t="shared" si="5"/>
        <v>4.75</v>
      </c>
      <c r="S18" s="112">
        <f t="shared" ref="S18:X18" si="6">AVERAGE(S14,S15)</f>
        <v>2.179813401187447E-2</v>
      </c>
      <c r="T18" s="112">
        <f t="shared" si="6"/>
        <v>1.3035819142689371E-2</v>
      </c>
      <c r="U18" s="112">
        <f t="shared" si="6"/>
        <v>0</v>
      </c>
      <c r="V18" s="162">
        <f t="shared" si="6"/>
        <v>3.0999999999999996</v>
      </c>
      <c r="W18" s="162">
        <f t="shared" si="6"/>
        <v>4.6043643487963033</v>
      </c>
      <c r="X18" s="162">
        <f t="shared" si="6"/>
        <v>6.05</v>
      </c>
      <c r="Y18" s="30"/>
      <c r="Z18" s="30"/>
      <c r="AA18" s="30"/>
      <c r="AB18" s="30"/>
      <c r="AC18" s="30"/>
    </row>
    <row r="19" spans="1:29" s="7" customFormat="1" x14ac:dyDescent="0.35">
      <c r="D19" s="7" t="s">
        <v>439</v>
      </c>
      <c r="E19" s="150">
        <f t="shared" ref="E19:J19" si="7">AVERAGE(E16,E17)</f>
        <v>6.468468468468469E-2</v>
      </c>
      <c r="F19" s="150">
        <f t="shared" si="7"/>
        <v>3.5675675675675672E-2</v>
      </c>
      <c r="G19" s="150">
        <f t="shared" si="7"/>
        <v>0</v>
      </c>
      <c r="H19" s="162">
        <f t="shared" si="7"/>
        <v>2.0500000000000003</v>
      </c>
      <c r="I19" s="162">
        <f t="shared" si="7"/>
        <v>7.8</v>
      </c>
      <c r="J19" s="162">
        <f t="shared" si="7"/>
        <v>13.45</v>
      </c>
      <c r="S19" s="112">
        <f t="shared" ref="S19:X19" si="8">AVERAGE(S16,S17)</f>
        <v>2.1611111111111112E-2</v>
      </c>
      <c r="T19" s="112">
        <f t="shared" si="8"/>
        <v>1.3192307692307692E-2</v>
      </c>
      <c r="U19" s="112">
        <f t="shared" si="8"/>
        <v>0</v>
      </c>
      <c r="V19" s="162">
        <f t="shared" si="8"/>
        <v>3.65</v>
      </c>
      <c r="W19" s="162">
        <f t="shared" si="8"/>
        <v>10.306529527109202</v>
      </c>
      <c r="X19" s="162">
        <f t="shared" si="8"/>
        <v>16.95</v>
      </c>
      <c r="Y19" s="30"/>
      <c r="Z19" s="30"/>
      <c r="AA19" s="30"/>
      <c r="AB19" s="30"/>
      <c r="AC19" s="30"/>
    </row>
    <row r="20" spans="1:29" s="7" customFormat="1" x14ac:dyDescent="0.35">
      <c r="D20" s="7" t="s">
        <v>440</v>
      </c>
      <c r="E20" s="134"/>
      <c r="F20" s="134"/>
      <c r="G20" s="134"/>
      <c r="H20" s="87"/>
      <c r="I20" s="87"/>
      <c r="J20" s="87"/>
      <c r="S20" s="11"/>
      <c r="T20" s="39"/>
      <c r="U20" s="39"/>
      <c r="V20" s="39"/>
      <c r="W20" s="39"/>
      <c r="X20" s="39"/>
      <c r="Y20" s="30"/>
      <c r="Z20" s="30"/>
      <c r="AA20" s="30"/>
      <c r="AB20" s="30"/>
      <c r="AC20" s="30"/>
    </row>
    <row r="21" spans="1:29" s="7" customFormat="1" x14ac:dyDescent="0.35">
      <c r="A21" s="7" t="s">
        <v>131</v>
      </c>
      <c r="B21" s="7" t="s">
        <v>442</v>
      </c>
      <c r="C21" s="7" t="s">
        <v>432</v>
      </c>
      <c r="D21" s="7" t="s">
        <v>433</v>
      </c>
      <c r="E21" s="103">
        <f>1/60</f>
        <v>1.6666666666666666E-2</v>
      </c>
      <c r="F21" s="104">
        <f>1/90</f>
        <v>1.1111111111111112E-2</v>
      </c>
      <c r="G21" s="104">
        <v>0</v>
      </c>
      <c r="H21" s="201">
        <v>4.5999999999999996</v>
      </c>
      <c r="I21" s="206">
        <v>5.9081276488630081</v>
      </c>
      <c r="J21" s="201">
        <v>7.2</v>
      </c>
      <c r="S21" s="103">
        <f>1/70</f>
        <v>1.4285714285714285E-2</v>
      </c>
      <c r="T21" s="103">
        <f>1/100</f>
        <v>0.01</v>
      </c>
      <c r="U21" s="103">
        <v>0</v>
      </c>
      <c r="V21" s="201">
        <v>4.5</v>
      </c>
      <c r="W21" s="206">
        <v>6.8921400837608369</v>
      </c>
      <c r="X21" s="201">
        <v>9.1999999999999993</v>
      </c>
      <c r="Y21" s="30"/>
      <c r="Z21" s="30"/>
      <c r="AA21" s="30"/>
      <c r="AB21" s="30"/>
      <c r="AC21" s="30"/>
    </row>
    <row r="22" spans="1:29" s="7" customFormat="1" x14ac:dyDescent="0.35">
      <c r="C22" s="7" t="s">
        <v>434</v>
      </c>
      <c r="D22" s="7" t="s">
        <v>435</v>
      </c>
      <c r="E22" s="103">
        <f>8400/552000</f>
        <v>1.5217391304347827E-2</v>
      </c>
      <c r="F22" s="104">
        <f>4700/552000</f>
        <v>8.5144927536231884E-3</v>
      </c>
      <c r="G22" s="104">
        <v>0</v>
      </c>
      <c r="H22" s="201">
        <v>5.6</v>
      </c>
      <c r="I22" s="206">
        <v>6.9537633081070584</v>
      </c>
      <c r="J22" s="206">
        <v>8.3000000000000007</v>
      </c>
      <c r="S22" s="103">
        <f>2800/131000</f>
        <v>2.1374045801526718E-2</v>
      </c>
      <c r="T22" s="103">
        <f>1400/131000</f>
        <v>1.0687022900763359E-2</v>
      </c>
      <c r="U22" s="103">
        <v>0</v>
      </c>
      <c r="V22" s="201">
        <v>6.9</v>
      </c>
      <c r="W22" s="206">
        <v>9.3694028444756157</v>
      </c>
      <c r="X22" s="201">
        <v>11.8</v>
      </c>
      <c r="Y22" s="30"/>
      <c r="Z22" s="30"/>
      <c r="AA22" s="30"/>
      <c r="AB22" s="30"/>
      <c r="AC22" s="30"/>
    </row>
    <row r="23" spans="1:29" s="7" customFormat="1" x14ac:dyDescent="0.35">
      <c r="D23" s="7" t="s">
        <v>436</v>
      </c>
      <c r="E23" s="103">
        <f>1/60</f>
        <v>1.6666666666666666E-2</v>
      </c>
      <c r="F23" s="104">
        <f>1/90</f>
        <v>1.1111111111111112E-2</v>
      </c>
      <c r="G23" s="104">
        <v>0</v>
      </c>
      <c r="H23" s="201">
        <v>1.1000000000000001</v>
      </c>
      <c r="I23" s="207">
        <v>9.6999999999999993</v>
      </c>
      <c r="J23" s="201">
        <v>17.3</v>
      </c>
      <c r="S23" s="103">
        <f>1/70</f>
        <v>1.4285714285714285E-2</v>
      </c>
      <c r="T23" s="103">
        <f>1/100</f>
        <v>0.01</v>
      </c>
      <c r="U23" s="103">
        <v>0</v>
      </c>
      <c r="V23" s="201">
        <v>0</v>
      </c>
      <c r="W23" s="206">
        <v>10.831782634161396</v>
      </c>
      <c r="X23" s="201">
        <v>21.9</v>
      </c>
      <c r="Y23" s="30"/>
      <c r="Z23" s="30"/>
      <c r="AA23" s="30"/>
      <c r="AB23" s="30"/>
      <c r="AC23" s="30"/>
    </row>
    <row r="24" spans="1:29" s="7" customFormat="1" x14ac:dyDescent="0.35">
      <c r="D24" s="7" t="s">
        <v>437</v>
      </c>
      <c r="E24" s="103">
        <f>2320/37000</f>
        <v>6.2702702702702701E-2</v>
      </c>
      <c r="F24" s="104">
        <f>1160/37000</f>
        <v>3.135135135135135E-2</v>
      </c>
      <c r="G24" s="104">
        <v>0</v>
      </c>
      <c r="H24" s="201">
        <v>1.5</v>
      </c>
      <c r="I24" s="207">
        <v>9.6999999999999993</v>
      </c>
      <c r="J24" s="201">
        <v>19.100000000000001</v>
      </c>
      <c r="S24" s="103">
        <f>210/10000</f>
        <v>2.1000000000000001E-2</v>
      </c>
      <c r="T24" s="103">
        <f>110/10000</f>
        <v>1.0999999999999999E-2</v>
      </c>
      <c r="U24" s="103">
        <v>0</v>
      </c>
      <c r="V24" s="201">
        <v>1.1000000000000001</v>
      </c>
      <c r="W24" s="206">
        <v>11.912506583939285</v>
      </c>
      <c r="X24" s="201">
        <v>22.7</v>
      </c>
      <c r="Y24" s="30"/>
      <c r="Z24" s="30"/>
      <c r="AA24" s="30"/>
      <c r="AB24" s="30"/>
      <c r="AC24" s="30"/>
    </row>
    <row r="25" spans="1:29" s="7" customFormat="1" x14ac:dyDescent="0.35">
      <c r="D25" s="7" t="s">
        <v>438</v>
      </c>
      <c r="E25" s="150">
        <f t="shared" ref="E25:J25" si="9">AVERAGE(E21,E22)</f>
        <v>1.5942028985507246E-2</v>
      </c>
      <c r="F25" s="150">
        <f t="shared" si="9"/>
        <v>9.81280193236715E-3</v>
      </c>
      <c r="G25" s="150">
        <f t="shared" si="9"/>
        <v>0</v>
      </c>
      <c r="H25" s="162">
        <f t="shared" si="9"/>
        <v>5.0999999999999996</v>
      </c>
      <c r="I25" s="162">
        <f t="shared" si="9"/>
        <v>6.4309454784850333</v>
      </c>
      <c r="J25" s="162">
        <f t="shared" si="9"/>
        <v>7.75</v>
      </c>
      <c r="S25" s="112">
        <f t="shared" ref="S25:X25" si="10">AVERAGE(S21,S22)</f>
        <v>1.7829880043620502E-2</v>
      </c>
      <c r="T25" s="112">
        <f t="shared" si="10"/>
        <v>1.034351145038168E-2</v>
      </c>
      <c r="U25" s="112">
        <f t="shared" si="10"/>
        <v>0</v>
      </c>
      <c r="V25" s="162">
        <f t="shared" si="10"/>
        <v>5.7</v>
      </c>
      <c r="W25" s="162">
        <f t="shared" si="10"/>
        <v>8.1307714641182258</v>
      </c>
      <c r="X25" s="162">
        <f t="shared" si="10"/>
        <v>10.5</v>
      </c>
      <c r="Y25" s="30"/>
      <c r="Z25" s="30"/>
      <c r="AA25" s="30"/>
      <c r="AB25" s="30"/>
      <c r="AC25" s="30"/>
    </row>
    <row r="26" spans="1:29" s="7" customFormat="1" x14ac:dyDescent="0.35">
      <c r="D26" s="7" t="s">
        <v>439</v>
      </c>
      <c r="E26" s="150">
        <f t="shared" ref="E26:J26" si="11">AVERAGE(E23,E24)</f>
        <v>3.9684684684684682E-2</v>
      </c>
      <c r="F26" s="150">
        <f t="shared" si="11"/>
        <v>2.1231231231231232E-2</v>
      </c>
      <c r="G26" s="150">
        <f t="shared" si="11"/>
        <v>0</v>
      </c>
      <c r="H26" s="162">
        <f t="shared" si="11"/>
        <v>1.3</v>
      </c>
      <c r="I26" s="162">
        <f t="shared" si="11"/>
        <v>9.6999999999999993</v>
      </c>
      <c r="J26" s="162">
        <f t="shared" si="11"/>
        <v>18.200000000000003</v>
      </c>
      <c r="S26" s="112">
        <f t="shared" ref="S26:X26" si="12">AVERAGE(S23,S24)</f>
        <v>1.7642857142857144E-2</v>
      </c>
      <c r="T26" s="112">
        <f t="shared" si="12"/>
        <v>1.0499999999999999E-2</v>
      </c>
      <c r="U26" s="112">
        <f t="shared" si="12"/>
        <v>0</v>
      </c>
      <c r="V26" s="162">
        <f t="shared" si="12"/>
        <v>0.55000000000000004</v>
      </c>
      <c r="W26" s="162">
        <f t="shared" si="12"/>
        <v>11.372144609050341</v>
      </c>
      <c r="X26" s="162">
        <f t="shared" si="12"/>
        <v>22.299999999999997</v>
      </c>
      <c r="Y26" s="30"/>
      <c r="Z26" s="30"/>
      <c r="AA26" s="30"/>
      <c r="AB26" s="30"/>
      <c r="AC26" s="30"/>
    </row>
    <row r="27" spans="1:29" s="7" customFormat="1" x14ac:dyDescent="0.35">
      <c r="D27" s="7" t="s">
        <v>440</v>
      </c>
      <c r="E27" s="157"/>
      <c r="F27" s="158"/>
      <c r="G27" s="158"/>
      <c r="H27" s="87"/>
      <c r="I27" s="87"/>
      <c r="J27" s="87"/>
      <c r="S27" s="11"/>
      <c r="T27" s="39"/>
      <c r="U27" s="39"/>
      <c r="V27" s="39"/>
      <c r="W27" s="39"/>
      <c r="X27" s="39"/>
      <c r="Y27" s="30"/>
      <c r="Z27" s="30"/>
      <c r="AA27" s="30"/>
      <c r="AB27" s="30"/>
      <c r="AC27" s="30"/>
    </row>
    <row r="28" spans="1:29" s="7" customFormat="1" x14ac:dyDescent="0.35">
      <c r="A28" s="7" t="s">
        <v>133</v>
      </c>
      <c r="B28" s="7" t="s">
        <v>443</v>
      </c>
      <c r="C28" s="7" t="s">
        <v>432</v>
      </c>
      <c r="D28" s="7" t="s">
        <v>433</v>
      </c>
      <c r="E28" s="103">
        <f>1/3</f>
        <v>0.33333333333333331</v>
      </c>
      <c r="F28" s="103"/>
      <c r="G28" s="103">
        <v>0</v>
      </c>
      <c r="H28" s="201">
        <v>4.5</v>
      </c>
      <c r="I28" s="206">
        <v>6.4729540647217672</v>
      </c>
      <c r="J28" s="201">
        <v>8.4</v>
      </c>
      <c r="S28" s="103">
        <f>1/3</f>
        <v>0.33333333333333331</v>
      </c>
      <c r="T28" s="103"/>
      <c r="U28" s="103">
        <v>0</v>
      </c>
      <c r="V28" s="201">
        <v>6.1</v>
      </c>
      <c r="W28" s="206">
        <v>8.8873621427678824</v>
      </c>
      <c r="X28" s="201">
        <v>11.7</v>
      </c>
      <c r="Y28" s="30"/>
      <c r="Z28" s="30"/>
      <c r="AA28" s="30"/>
      <c r="AB28" s="30"/>
      <c r="AC28" s="30"/>
    </row>
    <row r="29" spans="1:29" s="7" customFormat="1" x14ac:dyDescent="0.35">
      <c r="C29" s="7" t="s">
        <v>434</v>
      </c>
      <c r="D29" s="7" t="s">
        <v>435</v>
      </c>
      <c r="E29" s="103">
        <f>1/3</f>
        <v>0.33333333333333331</v>
      </c>
      <c r="F29" s="103"/>
      <c r="G29" s="103">
        <v>0</v>
      </c>
      <c r="H29" s="201">
        <v>6.8</v>
      </c>
      <c r="I29" s="206">
        <v>8.8310994374620577</v>
      </c>
      <c r="J29" s="201">
        <v>10.9</v>
      </c>
      <c r="S29" s="103">
        <f>1/3</f>
        <v>0.33333333333333331</v>
      </c>
      <c r="T29" s="103"/>
      <c r="U29" s="103">
        <v>0</v>
      </c>
      <c r="V29" s="201">
        <v>6.9</v>
      </c>
      <c r="W29" s="206">
        <v>9.7854962135394494</v>
      </c>
      <c r="X29" s="201">
        <v>12.7</v>
      </c>
      <c r="Y29" s="30"/>
      <c r="Z29" s="30"/>
      <c r="AA29" s="30"/>
      <c r="AB29" s="30"/>
      <c r="AC29" s="30"/>
    </row>
    <row r="30" spans="1:29" s="7" customFormat="1" x14ac:dyDescent="0.35">
      <c r="D30" s="7" t="s">
        <v>436</v>
      </c>
      <c r="E30" s="103">
        <f>1/3</f>
        <v>0.33333333333333331</v>
      </c>
      <c r="F30" s="103"/>
      <c r="G30" s="103">
        <v>0</v>
      </c>
      <c r="H30" s="201">
        <v>0</v>
      </c>
      <c r="I30" s="207">
        <v>8.1</v>
      </c>
      <c r="J30" s="201">
        <v>19.5</v>
      </c>
      <c r="S30" s="103">
        <f>1/3</f>
        <v>0.33333333333333331</v>
      </c>
      <c r="T30" s="103"/>
      <c r="U30" s="103">
        <v>0</v>
      </c>
      <c r="V30" s="201">
        <v>0</v>
      </c>
      <c r="W30" s="206">
        <v>8.6871974059529276</v>
      </c>
      <c r="X30" s="201">
        <v>21.8</v>
      </c>
      <c r="Y30" s="30"/>
      <c r="Z30" s="30"/>
      <c r="AA30" s="30"/>
      <c r="AB30" s="30"/>
      <c r="AC30" s="30"/>
    </row>
    <row r="31" spans="1:29" s="7" customFormat="1" x14ac:dyDescent="0.35">
      <c r="D31" s="7" t="s">
        <v>437</v>
      </c>
      <c r="E31" s="103">
        <f>1/3</f>
        <v>0.33333333333333331</v>
      </c>
      <c r="F31" s="103"/>
      <c r="G31" s="103">
        <v>0</v>
      </c>
      <c r="H31" s="201">
        <v>0</v>
      </c>
      <c r="I31" s="207">
        <v>8.1</v>
      </c>
      <c r="J31" s="201">
        <v>22</v>
      </c>
      <c r="S31" s="103">
        <f>1/3</f>
        <v>0.33333333333333331</v>
      </c>
      <c r="T31" s="103"/>
      <c r="U31" s="103">
        <v>0</v>
      </c>
      <c r="V31" s="201">
        <v>0</v>
      </c>
      <c r="W31" s="206">
        <v>7.1571101173360745</v>
      </c>
      <c r="X31" s="201">
        <v>19.899999999999999</v>
      </c>
      <c r="Y31" s="30"/>
      <c r="Z31" s="30"/>
      <c r="AA31" s="30"/>
      <c r="AB31" s="30"/>
      <c r="AC31" s="30"/>
    </row>
    <row r="32" spans="1:29" s="7" customFormat="1" x14ac:dyDescent="0.35">
      <c r="D32" s="7" t="s">
        <v>438</v>
      </c>
      <c r="E32" s="150">
        <f>AVERAGE(E28,E29)</f>
        <v>0.33333333333333331</v>
      </c>
      <c r="F32" s="150"/>
      <c r="G32" s="150">
        <f>AVERAGE(G28,G29)</f>
        <v>0</v>
      </c>
      <c r="H32" s="162">
        <f>AVERAGE(H28,H29)</f>
        <v>5.65</v>
      </c>
      <c r="I32" s="162">
        <f>AVERAGE(I28,I29)</f>
        <v>7.6520267510919124</v>
      </c>
      <c r="J32" s="162">
        <f>AVERAGE(J28,J29)</f>
        <v>9.65</v>
      </c>
      <c r="S32" s="112">
        <f>AVERAGE(S28,S29)</f>
        <v>0.33333333333333331</v>
      </c>
      <c r="T32" s="112"/>
      <c r="U32" s="112">
        <f>AVERAGE(U28,U29)</f>
        <v>0</v>
      </c>
      <c r="V32" s="162">
        <f>AVERAGE(V28,V29)</f>
        <v>6.5</v>
      </c>
      <c r="W32" s="162">
        <f>AVERAGE(W28,W29)</f>
        <v>9.336429178153665</v>
      </c>
      <c r="X32" s="162">
        <f>AVERAGE(X28,X29)</f>
        <v>12.2</v>
      </c>
    </row>
    <row r="33" spans="1:29" s="7" customFormat="1" x14ac:dyDescent="0.35">
      <c r="D33" s="7" t="s">
        <v>439</v>
      </c>
      <c r="E33" s="150">
        <f>AVERAGE(E30,E31)</f>
        <v>0.33333333333333331</v>
      </c>
      <c r="F33" s="150"/>
      <c r="G33" s="150">
        <f>AVERAGE(G30,G31)</f>
        <v>0</v>
      </c>
      <c r="H33" s="162">
        <f>AVERAGE(H30,H31)</f>
        <v>0</v>
      </c>
      <c r="I33" s="162">
        <f>AVERAGE(I30,I31)</f>
        <v>8.1</v>
      </c>
      <c r="J33" s="162">
        <f>AVERAGE(J30,J31)</f>
        <v>20.75</v>
      </c>
      <c r="S33" s="112">
        <f>AVERAGE(S30,S31)</f>
        <v>0.33333333333333331</v>
      </c>
      <c r="T33" s="112"/>
      <c r="U33" s="112">
        <f>AVERAGE(U30,U31)</f>
        <v>0</v>
      </c>
      <c r="V33" s="162">
        <f>AVERAGE(V30,V31)</f>
        <v>0</v>
      </c>
      <c r="W33" s="162">
        <f>AVERAGE(W30,W31)</f>
        <v>7.922153761644501</v>
      </c>
      <c r="X33" s="162">
        <f>AVERAGE(X30,X31)</f>
        <v>20.85</v>
      </c>
      <c r="Y33" s="30"/>
      <c r="Z33" s="30"/>
      <c r="AA33" s="30"/>
      <c r="AB33" s="30"/>
      <c r="AC33" s="30"/>
    </row>
    <row r="34" spans="1:29" s="7" customFormat="1" x14ac:dyDescent="0.35">
      <c r="D34" s="7" t="s">
        <v>440</v>
      </c>
      <c r="E34" s="134"/>
      <c r="F34" s="134"/>
      <c r="G34" s="134"/>
      <c r="H34" s="87"/>
      <c r="I34" s="87"/>
      <c r="J34" s="87"/>
      <c r="S34" s="11"/>
      <c r="T34" s="39"/>
      <c r="U34" s="39"/>
      <c r="V34" s="39"/>
      <c r="W34" s="39"/>
      <c r="X34" s="39"/>
      <c r="Y34" s="30"/>
      <c r="Z34" s="30"/>
      <c r="AA34" s="30"/>
      <c r="AB34" s="30"/>
      <c r="AC34" s="30"/>
    </row>
    <row r="35" spans="1:29" s="7" customFormat="1" x14ac:dyDescent="0.35">
      <c r="A35" s="7" t="s">
        <v>135</v>
      </c>
      <c r="B35" s="7" t="s">
        <v>444</v>
      </c>
      <c r="C35" s="7" t="s">
        <v>432</v>
      </c>
      <c r="D35" s="7" t="s">
        <v>433</v>
      </c>
      <c r="E35" s="103">
        <v>1</v>
      </c>
      <c r="F35" s="103"/>
      <c r="G35" s="103">
        <v>0</v>
      </c>
      <c r="H35" s="201">
        <v>1.1000000000000001</v>
      </c>
      <c r="I35" s="206">
        <v>1.9612368734919081</v>
      </c>
      <c r="J35" s="201">
        <v>2.8</v>
      </c>
      <c r="S35" s="103">
        <v>1</v>
      </c>
      <c r="T35" s="103"/>
      <c r="U35" s="103">
        <v>0</v>
      </c>
      <c r="V35" s="201">
        <v>1.9</v>
      </c>
      <c r="W35" s="206">
        <v>3.4602958169011133</v>
      </c>
      <c r="X35" s="201">
        <v>5</v>
      </c>
      <c r="Y35" s="30"/>
      <c r="Z35" s="30"/>
      <c r="AA35" s="30"/>
      <c r="AB35" s="30"/>
      <c r="AC35" s="30"/>
    </row>
    <row r="36" spans="1:29" s="7" customFormat="1" x14ac:dyDescent="0.35">
      <c r="C36" s="7" t="s">
        <v>434</v>
      </c>
      <c r="D36" s="7" t="s">
        <v>435</v>
      </c>
      <c r="E36" s="103">
        <v>1</v>
      </c>
      <c r="F36" s="103"/>
      <c r="G36" s="103">
        <v>0</v>
      </c>
      <c r="H36" s="201">
        <v>1</v>
      </c>
      <c r="I36" s="206">
        <v>1.8300858608625976</v>
      </c>
      <c r="J36" s="201">
        <v>2.7</v>
      </c>
      <c r="S36" s="103">
        <v>1</v>
      </c>
      <c r="T36" s="103"/>
      <c r="U36" s="103">
        <v>0</v>
      </c>
      <c r="V36" s="201">
        <v>1.7</v>
      </c>
      <c r="W36" s="206">
        <v>3.3919871593557644</v>
      </c>
      <c r="X36" s="201">
        <v>5</v>
      </c>
      <c r="Y36" s="30"/>
      <c r="Z36" s="30"/>
      <c r="AA36" s="30"/>
      <c r="AB36" s="30"/>
      <c r="AC36" s="30"/>
    </row>
    <row r="37" spans="1:29" s="7" customFormat="1" x14ac:dyDescent="0.35">
      <c r="D37" s="7" t="s">
        <v>436</v>
      </c>
      <c r="E37" s="103">
        <v>1</v>
      </c>
      <c r="F37" s="103"/>
      <c r="G37" s="103">
        <v>0</v>
      </c>
      <c r="H37" s="201">
        <v>0.7</v>
      </c>
      <c r="I37" s="207">
        <v>6.1</v>
      </c>
      <c r="J37" s="201">
        <v>11.1</v>
      </c>
      <c r="S37" s="103">
        <v>1</v>
      </c>
      <c r="T37" s="103"/>
      <c r="U37" s="103">
        <v>0</v>
      </c>
      <c r="V37" s="201">
        <v>1.3</v>
      </c>
      <c r="W37" s="206">
        <v>8.6075255246724467</v>
      </c>
      <c r="X37" s="201">
        <v>15.9</v>
      </c>
      <c r="Y37" s="30"/>
      <c r="Z37" s="30"/>
      <c r="AA37" s="30"/>
      <c r="AB37" s="30"/>
      <c r="AC37" s="30"/>
    </row>
    <row r="38" spans="1:29" s="7" customFormat="1" x14ac:dyDescent="0.35">
      <c r="D38" s="7" t="s">
        <v>437</v>
      </c>
      <c r="E38" s="103">
        <v>1</v>
      </c>
      <c r="F38" s="103"/>
      <c r="G38" s="103">
        <v>0</v>
      </c>
      <c r="H38" s="201">
        <v>0.6</v>
      </c>
      <c r="I38" s="207">
        <v>6.1</v>
      </c>
      <c r="J38" s="201">
        <v>11.9</v>
      </c>
      <c r="S38" s="103">
        <v>1</v>
      </c>
      <c r="T38" s="103"/>
      <c r="U38" s="103">
        <v>0</v>
      </c>
      <c r="V38" s="201">
        <v>1.1000000000000001</v>
      </c>
      <c r="W38" s="206">
        <v>8.308091024333244</v>
      </c>
      <c r="X38" s="201">
        <v>15.5</v>
      </c>
      <c r="Y38" s="30"/>
      <c r="Z38" s="30"/>
      <c r="AA38" s="30"/>
      <c r="AB38" s="30"/>
      <c r="AC38" s="30"/>
    </row>
    <row r="39" spans="1:29" s="7" customFormat="1" x14ac:dyDescent="0.35">
      <c r="D39" s="7" t="s">
        <v>438</v>
      </c>
      <c r="E39" s="150">
        <f>AVERAGE(E35,E36)</f>
        <v>1</v>
      </c>
      <c r="F39" s="150"/>
      <c r="G39" s="150">
        <f>AVERAGE(G35,G36)</f>
        <v>0</v>
      </c>
      <c r="H39" s="162">
        <f>AVERAGE(H35,H36)</f>
        <v>1.05</v>
      </c>
      <c r="I39" s="162">
        <f>AVERAGE(I35,I36)</f>
        <v>1.8956613671772529</v>
      </c>
      <c r="J39" s="162">
        <f>AVERAGE(J35,J36)</f>
        <v>2.75</v>
      </c>
      <c r="S39" s="112">
        <f>AVERAGE(S35,S36)</f>
        <v>1</v>
      </c>
      <c r="T39" s="112"/>
      <c r="U39" s="112">
        <f>AVERAGE(U35,U36)</f>
        <v>0</v>
      </c>
      <c r="V39" s="162">
        <f>AVERAGE(V35,V36)</f>
        <v>1.7999999999999998</v>
      </c>
      <c r="W39" s="162">
        <f>AVERAGE(W35,W36)</f>
        <v>3.4261414881284389</v>
      </c>
      <c r="X39" s="162">
        <f>AVERAGE(X35,X36)</f>
        <v>5</v>
      </c>
      <c r="Y39" s="30"/>
      <c r="Z39" s="30"/>
      <c r="AA39" s="30"/>
      <c r="AB39" s="30"/>
      <c r="AC39" s="30"/>
    </row>
    <row r="40" spans="1:29" s="7" customFormat="1" x14ac:dyDescent="0.35">
      <c r="D40" s="7" t="s">
        <v>439</v>
      </c>
      <c r="E40" s="150">
        <f>AVERAGE(E37,E38)</f>
        <v>1</v>
      </c>
      <c r="F40" s="150"/>
      <c r="G40" s="150">
        <f>AVERAGE(G37,G38)</f>
        <v>0</v>
      </c>
      <c r="H40" s="162">
        <f>AVERAGE(H37,H38)</f>
        <v>0.64999999999999991</v>
      </c>
      <c r="I40" s="162">
        <f>AVERAGE(I37,I38)</f>
        <v>6.1</v>
      </c>
      <c r="J40" s="162">
        <f>AVERAGE(J37,J38)</f>
        <v>11.5</v>
      </c>
      <c r="S40" s="112">
        <f>AVERAGE(S37,S38)</f>
        <v>1</v>
      </c>
      <c r="T40" s="112"/>
      <c r="U40" s="112">
        <f>AVERAGE(U37,U38)</f>
        <v>0</v>
      </c>
      <c r="V40" s="162">
        <f>AVERAGE(V37,V38)</f>
        <v>1.2000000000000002</v>
      </c>
      <c r="W40" s="162">
        <f>AVERAGE(W37,W38)</f>
        <v>8.4578082745028453</v>
      </c>
      <c r="X40" s="162">
        <f>AVERAGE(X37,X38)</f>
        <v>15.7</v>
      </c>
      <c r="Y40" s="30"/>
      <c r="Z40" s="30"/>
      <c r="AA40" s="30"/>
      <c r="AB40" s="30"/>
      <c r="AC40" s="30"/>
    </row>
    <row r="41" spans="1:29" s="7" customFormat="1" x14ac:dyDescent="0.35">
      <c r="D41" s="7" t="s">
        <v>440</v>
      </c>
      <c r="E41" s="134"/>
      <c r="F41" s="134"/>
      <c r="G41" s="134"/>
      <c r="H41" s="87"/>
      <c r="I41" s="87"/>
      <c r="J41" s="87"/>
      <c r="S41" s="11"/>
      <c r="T41" s="39"/>
      <c r="U41" s="39"/>
      <c r="V41" s="39"/>
      <c r="W41" s="39"/>
      <c r="X41" s="39"/>
      <c r="Y41" s="30"/>
      <c r="Z41" s="30"/>
      <c r="AA41" s="30"/>
      <c r="AB41" s="30"/>
      <c r="AC41" s="30"/>
    </row>
    <row r="42" spans="1:29" s="7" customFormat="1" x14ac:dyDescent="0.35">
      <c r="A42" s="7" t="s">
        <v>445</v>
      </c>
      <c r="B42" s="7" t="s">
        <v>446</v>
      </c>
      <c r="C42" s="7" t="s">
        <v>432</v>
      </c>
      <c r="D42" s="7" t="s">
        <v>433</v>
      </c>
      <c r="E42" s="103">
        <f>1/70</f>
        <v>1.4285714285714285E-2</v>
      </c>
      <c r="F42" s="103">
        <f>1/105</f>
        <v>9.5238095238095247E-3</v>
      </c>
      <c r="G42" s="103">
        <v>0</v>
      </c>
      <c r="H42" s="201">
        <v>6.3</v>
      </c>
      <c r="I42" s="206">
        <v>7.5446430482239855</v>
      </c>
      <c r="J42" s="201">
        <v>8.8000000000000007</v>
      </c>
      <c r="S42" s="103">
        <f>1/40</f>
        <v>2.5000000000000001E-2</v>
      </c>
      <c r="T42" s="103">
        <f>1/60</f>
        <v>1.6666666666666666E-2</v>
      </c>
      <c r="U42" s="103">
        <v>0</v>
      </c>
      <c r="V42" s="201">
        <v>5</v>
      </c>
      <c r="W42" s="206">
        <v>6.4007504009702201</v>
      </c>
      <c r="X42" s="201">
        <v>7.8</v>
      </c>
      <c r="Y42" s="30"/>
      <c r="Z42" s="30"/>
      <c r="AA42" s="30"/>
      <c r="AB42" s="30"/>
      <c r="AC42" s="30"/>
    </row>
    <row r="43" spans="1:29" s="7" customFormat="1" x14ac:dyDescent="0.35">
      <c r="C43" s="7" t="s">
        <v>434</v>
      </c>
      <c r="D43" s="7" t="s">
        <v>435</v>
      </c>
      <c r="E43" s="103">
        <f>8000/552000</f>
        <v>1.4492753623188406E-2</v>
      </c>
      <c r="F43" s="103">
        <f>4000/552000</f>
        <v>7.246376811594203E-3</v>
      </c>
      <c r="G43" s="103">
        <v>0</v>
      </c>
      <c r="H43" s="201">
        <v>6.7</v>
      </c>
      <c r="I43" s="206">
        <v>8.0512401319021834</v>
      </c>
      <c r="J43" s="201">
        <v>9.4</v>
      </c>
      <c r="S43" s="103">
        <f>3300/131000</f>
        <v>2.5190839694656488E-2</v>
      </c>
      <c r="T43" s="103">
        <f>1600/131000</f>
        <v>1.2213740458015267E-2</v>
      </c>
      <c r="U43" s="103">
        <v>0</v>
      </c>
      <c r="V43" s="201">
        <v>5.7</v>
      </c>
      <c r="W43" s="206">
        <v>7.1393135378711987</v>
      </c>
      <c r="X43" s="201">
        <v>8.6</v>
      </c>
      <c r="Y43" s="30"/>
      <c r="Z43" s="30"/>
      <c r="AA43" s="30"/>
      <c r="AB43" s="30"/>
      <c r="AC43" s="30"/>
    </row>
    <row r="44" spans="1:29" s="7" customFormat="1" x14ac:dyDescent="0.35">
      <c r="D44" s="7" t="s">
        <v>436</v>
      </c>
      <c r="E44" s="103">
        <f>1/70</f>
        <v>1.4285714285714285E-2</v>
      </c>
      <c r="F44" s="103">
        <f>1/105</f>
        <v>9.5238095238095247E-3</v>
      </c>
      <c r="G44" s="103">
        <v>0</v>
      </c>
      <c r="H44" s="201">
        <v>0</v>
      </c>
      <c r="I44" s="207">
        <v>8.1999999999999993</v>
      </c>
      <c r="J44" s="201">
        <v>15.5</v>
      </c>
      <c r="S44" s="103">
        <f>1/40</f>
        <v>2.5000000000000001E-2</v>
      </c>
      <c r="T44" s="103">
        <f>1/60</f>
        <v>1.6666666666666666E-2</v>
      </c>
      <c r="U44" s="103">
        <v>0</v>
      </c>
      <c r="V44" s="201">
        <v>1.7</v>
      </c>
      <c r="W44" s="206">
        <v>8.0967743796494371</v>
      </c>
      <c r="X44" s="201">
        <v>14.5</v>
      </c>
      <c r="Y44" s="30"/>
      <c r="Z44" s="30"/>
      <c r="AA44" s="30"/>
      <c r="AB44" s="30"/>
      <c r="AC44" s="30"/>
    </row>
    <row r="45" spans="1:29" s="7" customFormat="1" x14ac:dyDescent="0.35">
      <c r="D45" s="7" t="s">
        <v>437</v>
      </c>
      <c r="E45" s="103">
        <f>530/37000</f>
        <v>1.4324324324324324E-2</v>
      </c>
      <c r="F45" s="103">
        <f>265/37000</f>
        <v>7.1621621621621619E-3</v>
      </c>
      <c r="G45" s="103">
        <v>0</v>
      </c>
      <c r="H45" s="201">
        <v>0.3</v>
      </c>
      <c r="I45" s="207">
        <v>8.1999999999999993</v>
      </c>
      <c r="J45" s="201">
        <v>17.3</v>
      </c>
      <c r="S45" s="103">
        <f>250/10000</f>
        <v>2.5000000000000001E-2</v>
      </c>
      <c r="T45" s="103">
        <f>130/10000</f>
        <v>1.2999999999999999E-2</v>
      </c>
      <c r="U45" s="103">
        <v>0</v>
      </c>
      <c r="V45" s="201">
        <v>1.4</v>
      </c>
      <c r="W45" s="206">
        <v>7.671660512959626</v>
      </c>
      <c r="X45" s="201">
        <v>14</v>
      </c>
      <c r="Y45" s="30"/>
      <c r="Z45" s="30"/>
      <c r="AA45" s="30"/>
      <c r="AB45" s="30"/>
      <c r="AC45" s="30"/>
    </row>
    <row r="46" spans="1:29" s="7" customFormat="1" x14ac:dyDescent="0.35">
      <c r="D46" s="7" t="s">
        <v>438</v>
      </c>
      <c r="E46" s="150">
        <f t="shared" ref="E46:J46" si="13">AVERAGE(E42,E43)</f>
        <v>1.4389233954451346E-2</v>
      </c>
      <c r="F46" s="150">
        <f t="shared" si="13"/>
        <v>8.3850931677018643E-3</v>
      </c>
      <c r="G46" s="150">
        <f t="shared" si="13"/>
        <v>0</v>
      </c>
      <c r="H46" s="162">
        <f t="shared" si="13"/>
        <v>6.5</v>
      </c>
      <c r="I46" s="162">
        <f t="shared" si="13"/>
        <v>7.7979415900630844</v>
      </c>
      <c r="J46" s="162">
        <f t="shared" si="13"/>
        <v>9.1000000000000014</v>
      </c>
      <c r="S46" s="112">
        <f t="shared" ref="S46:X46" si="14">AVERAGE(S42,S43)</f>
        <v>2.5095419847328243E-2</v>
      </c>
      <c r="T46" s="112">
        <f t="shared" si="14"/>
        <v>1.4440203562340968E-2</v>
      </c>
      <c r="U46" s="112">
        <f t="shared" si="14"/>
        <v>0</v>
      </c>
      <c r="V46" s="162">
        <f t="shared" si="14"/>
        <v>5.35</v>
      </c>
      <c r="W46" s="162">
        <f t="shared" si="14"/>
        <v>6.7700319694207094</v>
      </c>
      <c r="X46" s="162">
        <f t="shared" si="14"/>
        <v>8.1999999999999993</v>
      </c>
      <c r="Y46" s="30"/>
      <c r="Z46" s="30"/>
      <c r="AA46" s="30"/>
      <c r="AB46" s="30"/>
      <c r="AC46" s="30"/>
    </row>
    <row r="47" spans="1:29" s="7" customFormat="1" x14ac:dyDescent="0.35">
      <c r="D47" s="7" t="s">
        <v>439</v>
      </c>
      <c r="E47" s="150">
        <f t="shared" ref="E47:J47" si="15">AVERAGE(E44,E45)</f>
        <v>1.4305019305019304E-2</v>
      </c>
      <c r="F47" s="150">
        <f t="shared" si="15"/>
        <v>8.3429858429858433E-3</v>
      </c>
      <c r="G47" s="150">
        <f t="shared" si="15"/>
        <v>0</v>
      </c>
      <c r="H47" s="162">
        <f t="shared" si="15"/>
        <v>0.15</v>
      </c>
      <c r="I47" s="162">
        <f t="shared" si="15"/>
        <v>8.1999999999999993</v>
      </c>
      <c r="J47" s="162">
        <f t="shared" si="15"/>
        <v>16.399999999999999</v>
      </c>
      <c r="S47" s="112">
        <f t="shared" ref="S47:X47" si="16">AVERAGE(S44,S45)</f>
        <v>2.5000000000000001E-2</v>
      </c>
      <c r="T47" s="112">
        <f t="shared" si="16"/>
        <v>1.4833333333333334E-2</v>
      </c>
      <c r="U47" s="112">
        <f t="shared" si="16"/>
        <v>0</v>
      </c>
      <c r="V47" s="162">
        <f t="shared" si="16"/>
        <v>1.5499999999999998</v>
      </c>
      <c r="W47" s="162">
        <f t="shared" si="16"/>
        <v>7.8842174463045316</v>
      </c>
      <c r="X47" s="162">
        <f t="shared" si="16"/>
        <v>14.25</v>
      </c>
      <c r="Y47" s="30"/>
      <c r="Z47" s="30"/>
      <c r="AA47" s="30"/>
      <c r="AB47" s="30"/>
      <c r="AC47" s="30"/>
    </row>
    <row r="48" spans="1:29" s="7" customFormat="1" x14ac:dyDescent="0.35">
      <c r="D48" s="7" t="s">
        <v>440</v>
      </c>
      <c r="E48" s="134"/>
      <c r="F48" s="134"/>
      <c r="G48" s="134"/>
      <c r="H48" s="87"/>
      <c r="I48" s="87"/>
      <c r="J48" s="87"/>
      <c r="S48" s="11"/>
      <c r="T48" s="39"/>
      <c r="U48" s="39"/>
      <c r="V48" s="39"/>
      <c r="W48" s="39"/>
      <c r="X48" s="39"/>
      <c r="Y48" s="30"/>
      <c r="Z48" s="30"/>
      <c r="AA48" s="30"/>
      <c r="AB48" s="30"/>
      <c r="AC48" s="30"/>
    </row>
    <row r="49" spans="1:29" s="7" customFormat="1" x14ac:dyDescent="0.35">
      <c r="A49" s="7" t="s">
        <v>143</v>
      </c>
      <c r="B49" s="7" t="s">
        <v>447</v>
      </c>
      <c r="C49" s="7" t="s">
        <v>432</v>
      </c>
      <c r="D49" s="7" t="s">
        <v>433</v>
      </c>
      <c r="E49" s="103">
        <f>1/40</f>
        <v>2.5000000000000001E-2</v>
      </c>
      <c r="F49" s="103">
        <f>1/60</f>
        <v>1.6666666666666666E-2</v>
      </c>
      <c r="G49" s="103">
        <v>0</v>
      </c>
      <c r="H49" s="201">
        <v>1.3</v>
      </c>
      <c r="I49" s="206">
        <v>1.7932603094396167</v>
      </c>
      <c r="J49" s="201">
        <v>2.2999999999999998</v>
      </c>
      <c r="S49" s="103">
        <f>1/80</f>
        <v>1.2500000000000001E-2</v>
      </c>
      <c r="T49" s="103">
        <f>1/120</f>
        <v>8.3333333333333332E-3</v>
      </c>
      <c r="U49" s="103">
        <v>0</v>
      </c>
      <c r="V49" s="201">
        <v>1.1000000000000001</v>
      </c>
      <c r="W49" s="206">
        <v>1.7847414593929065</v>
      </c>
      <c r="X49" s="201">
        <v>2.5</v>
      </c>
      <c r="Y49" s="30"/>
      <c r="Z49" s="30"/>
      <c r="AA49" s="30"/>
      <c r="AB49" s="30"/>
      <c r="AC49" s="30"/>
    </row>
    <row r="50" spans="1:29" s="7" customFormat="1" x14ac:dyDescent="0.35">
      <c r="C50" s="123" t="s">
        <v>448</v>
      </c>
      <c r="D50" s="7" t="s">
        <v>435</v>
      </c>
      <c r="E50" s="103">
        <f>1/40</f>
        <v>2.5000000000000001E-2</v>
      </c>
      <c r="F50" s="103">
        <f>1/60</f>
        <v>1.6666666666666666E-2</v>
      </c>
      <c r="G50" s="103">
        <v>0</v>
      </c>
      <c r="H50" s="201">
        <v>0.9</v>
      </c>
      <c r="I50" s="206">
        <v>1.4521991416893569</v>
      </c>
      <c r="J50" s="201">
        <v>2</v>
      </c>
      <c r="S50" s="103">
        <f>1/80</f>
        <v>1.2500000000000001E-2</v>
      </c>
      <c r="T50" s="103">
        <f>1/120</f>
        <v>8.3333333333333332E-3</v>
      </c>
      <c r="U50" s="103">
        <v>0</v>
      </c>
      <c r="V50" s="201">
        <v>1</v>
      </c>
      <c r="W50" s="206">
        <v>1.7675194484938013</v>
      </c>
      <c r="X50" s="201">
        <v>2.5</v>
      </c>
      <c r="Y50" s="30"/>
      <c r="Z50" s="30"/>
      <c r="AA50" s="30"/>
      <c r="AB50" s="30"/>
      <c r="AC50" s="30"/>
    </row>
    <row r="51" spans="1:29" s="7" customFormat="1" x14ac:dyDescent="0.35">
      <c r="D51" s="7" t="s">
        <v>436</v>
      </c>
      <c r="E51" s="103">
        <f>1/40</f>
        <v>2.5000000000000001E-2</v>
      </c>
      <c r="F51" s="103">
        <f>1/60</f>
        <v>1.6666666666666666E-2</v>
      </c>
      <c r="G51" s="103">
        <v>0</v>
      </c>
      <c r="H51" s="201">
        <v>2</v>
      </c>
      <c r="I51" s="207">
        <v>4.9000000000000004</v>
      </c>
      <c r="J51" s="201">
        <v>8.1999999999999993</v>
      </c>
      <c r="S51" s="103">
        <f>1/80</f>
        <v>1.2500000000000001E-2</v>
      </c>
      <c r="T51" s="103">
        <f>1/120</f>
        <v>8.3333333333333332E-3</v>
      </c>
      <c r="U51" s="103">
        <v>0</v>
      </c>
      <c r="V51" s="201">
        <v>1.7</v>
      </c>
      <c r="W51" s="206">
        <v>4.8722309300238384</v>
      </c>
      <c r="X51" s="201">
        <v>8.1</v>
      </c>
      <c r="Y51" s="30"/>
      <c r="Z51" s="30"/>
      <c r="AA51" s="30"/>
      <c r="AB51" s="30"/>
      <c r="AC51" s="30"/>
    </row>
    <row r="52" spans="1:29" s="7" customFormat="1" x14ac:dyDescent="0.35">
      <c r="D52" s="7" t="s">
        <v>437</v>
      </c>
      <c r="E52" s="103">
        <f>1/40</f>
        <v>2.5000000000000001E-2</v>
      </c>
      <c r="F52" s="103">
        <f>1/60</f>
        <v>1.6666666666666666E-2</v>
      </c>
      <c r="G52" s="103">
        <v>0</v>
      </c>
      <c r="H52" s="201">
        <v>1.3</v>
      </c>
      <c r="I52" s="207">
        <v>4.9000000000000004</v>
      </c>
      <c r="J52" s="201">
        <v>7.9</v>
      </c>
      <c r="S52" s="103">
        <f>1/80</f>
        <v>1.2500000000000001E-2</v>
      </c>
      <c r="T52" s="103">
        <f>1/120</f>
        <v>8.3333333333333332E-3</v>
      </c>
      <c r="U52" s="103">
        <v>0</v>
      </c>
      <c r="V52" s="201">
        <v>0.4</v>
      </c>
      <c r="W52" s="206">
        <v>3.5700749790583761</v>
      </c>
      <c r="X52" s="201">
        <v>6.7</v>
      </c>
      <c r="Y52" s="30"/>
      <c r="Z52" s="30"/>
      <c r="AA52" s="30"/>
      <c r="AB52" s="30"/>
      <c r="AC52" s="30"/>
    </row>
    <row r="53" spans="1:29" s="7" customFormat="1" x14ac:dyDescent="0.35">
      <c r="D53" s="7" t="s">
        <v>438</v>
      </c>
      <c r="E53" s="150">
        <f t="shared" ref="E53:J53" si="17">AVERAGE(E49,E50)</f>
        <v>2.5000000000000001E-2</v>
      </c>
      <c r="F53" s="150">
        <f t="shared" si="17"/>
        <v>1.6666666666666666E-2</v>
      </c>
      <c r="G53" s="150">
        <f t="shared" si="17"/>
        <v>0</v>
      </c>
      <c r="H53" s="162">
        <f t="shared" si="17"/>
        <v>1.1000000000000001</v>
      </c>
      <c r="I53" s="162">
        <f t="shared" si="17"/>
        <v>1.6227297255644868</v>
      </c>
      <c r="J53" s="162">
        <f t="shared" si="17"/>
        <v>2.15</v>
      </c>
      <c r="S53" s="112">
        <f t="shared" ref="S53:X53" si="18">AVERAGE(S49,S50)</f>
        <v>1.2500000000000001E-2</v>
      </c>
      <c r="T53" s="112">
        <f t="shared" si="18"/>
        <v>8.3333333333333332E-3</v>
      </c>
      <c r="U53" s="112">
        <f t="shared" si="18"/>
        <v>0</v>
      </c>
      <c r="V53" s="162">
        <f t="shared" si="18"/>
        <v>1.05</v>
      </c>
      <c r="W53" s="162">
        <f t="shared" si="18"/>
        <v>1.7761304539433538</v>
      </c>
      <c r="X53" s="162">
        <f t="shared" si="18"/>
        <v>2.5</v>
      </c>
      <c r="Y53" s="30"/>
      <c r="Z53" s="30"/>
      <c r="AA53" s="30"/>
      <c r="AB53" s="30"/>
      <c r="AC53" s="30"/>
    </row>
    <row r="54" spans="1:29" s="7" customFormat="1" x14ac:dyDescent="0.35">
      <c r="D54" s="7" t="s">
        <v>439</v>
      </c>
      <c r="E54" s="150">
        <f t="shared" ref="E54:J54" si="19">AVERAGE(E51,E52)</f>
        <v>2.5000000000000001E-2</v>
      </c>
      <c r="F54" s="150">
        <f t="shared" si="19"/>
        <v>1.6666666666666666E-2</v>
      </c>
      <c r="G54" s="150">
        <f t="shared" si="19"/>
        <v>0</v>
      </c>
      <c r="H54" s="162">
        <f t="shared" si="19"/>
        <v>1.65</v>
      </c>
      <c r="I54" s="162">
        <f t="shared" si="19"/>
        <v>4.9000000000000004</v>
      </c>
      <c r="J54" s="162">
        <f t="shared" si="19"/>
        <v>8.0500000000000007</v>
      </c>
      <c r="S54" s="112">
        <f t="shared" ref="S54:X54" si="20">AVERAGE(S51,S52)</f>
        <v>1.2500000000000001E-2</v>
      </c>
      <c r="T54" s="112">
        <f t="shared" si="20"/>
        <v>8.3333333333333332E-3</v>
      </c>
      <c r="U54" s="112">
        <f t="shared" si="20"/>
        <v>0</v>
      </c>
      <c r="V54" s="162">
        <f t="shared" si="20"/>
        <v>1.05</v>
      </c>
      <c r="W54" s="162">
        <f t="shared" si="20"/>
        <v>4.2211529545411075</v>
      </c>
      <c r="X54" s="162">
        <f t="shared" si="20"/>
        <v>7.4</v>
      </c>
      <c r="Y54" s="30"/>
      <c r="Z54" s="30"/>
      <c r="AA54" s="30"/>
      <c r="AB54" s="30"/>
      <c r="AC54" s="30"/>
    </row>
    <row r="55" spans="1:29" s="7" customFormat="1" x14ac:dyDescent="0.35">
      <c r="D55" s="7" t="s">
        <v>440</v>
      </c>
      <c r="E55" s="134"/>
      <c r="F55" s="134"/>
      <c r="G55" s="134"/>
      <c r="H55" s="87"/>
      <c r="I55" s="87"/>
      <c r="J55" s="87"/>
      <c r="S55" s="11"/>
      <c r="T55" s="39"/>
      <c r="U55" s="39"/>
      <c r="V55" s="39"/>
      <c r="W55" s="39"/>
      <c r="X55" s="39"/>
      <c r="Y55" s="30"/>
      <c r="Z55" s="30"/>
      <c r="AA55" s="30"/>
      <c r="AB55" s="30"/>
      <c r="AC55" s="30"/>
    </row>
    <row r="56" spans="1:29" s="7" customFormat="1" x14ac:dyDescent="0.35">
      <c r="A56" s="123" t="s">
        <v>449</v>
      </c>
      <c r="B56" s="7" t="s">
        <v>450</v>
      </c>
      <c r="C56" s="7" t="s">
        <v>432</v>
      </c>
      <c r="D56" s="7" t="s">
        <v>433</v>
      </c>
      <c r="E56" s="113">
        <f>1/80</f>
        <v>1.2500000000000001E-2</v>
      </c>
      <c r="F56" s="113">
        <f>1/120</f>
        <v>8.3333333333333332E-3</v>
      </c>
      <c r="G56" s="114">
        <v>0</v>
      </c>
      <c r="H56" s="201">
        <v>1.6</v>
      </c>
      <c r="I56" s="206">
        <v>2.0970391293119706</v>
      </c>
      <c r="J56" s="201">
        <v>2.6</v>
      </c>
      <c r="S56" s="113">
        <f>1/80</f>
        <v>1.2500000000000001E-2</v>
      </c>
      <c r="T56" s="113">
        <f>1/120</f>
        <v>8.3333333333333332E-3</v>
      </c>
      <c r="U56" s="114">
        <f>0</f>
        <v>0</v>
      </c>
      <c r="V56" s="201">
        <v>1.1000000000000001</v>
      </c>
      <c r="W56" s="206">
        <v>1.7323733407468345</v>
      </c>
      <c r="X56" s="201">
        <v>2.4</v>
      </c>
      <c r="Y56" s="30"/>
      <c r="Z56" s="30"/>
      <c r="AA56" s="30"/>
      <c r="AB56" s="30"/>
      <c r="AC56" s="30"/>
    </row>
    <row r="57" spans="1:29" s="7" customFormat="1" x14ac:dyDescent="0.35">
      <c r="A57" s="123" t="s">
        <v>451</v>
      </c>
      <c r="C57" s="123" t="s">
        <v>448</v>
      </c>
      <c r="D57" s="7" t="s">
        <v>435</v>
      </c>
      <c r="E57" s="113">
        <f>1/80</f>
        <v>1.2500000000000001E-2</v>
      </c>
      <c r="F57" s="113">
        <f>1/120</f>
        <v>8.3333333333333332E-3</v>
      </c>
      <c r="G57" s="114">
        <v>0</v>
      </c>
      <c r="H57" s="201">
        <v>1.3</v>
      </c>
      <c r="I57" s="206">
        <v>1.7623621827422369</v>
      </c>
      <c r="J57" s="201">
        <v>2.2999999999999998</v>
      </c>
      <c r="S57" s="113">
        <f>1/80</f>
        <v>1.2500000000000001E-2</v>
      </c>
      <c r="T57" s="113">
        <f>1/120</f>
        <v>8.3333333333333332E-3</v>
      </c>
      <c r="U57" s="114">
        <f>0</f>
        <v>0</v>
      </c>
      <c r="V57" s="201">
        <v>1</v>
      </c>
      <c r="W57" s="206">
        <v>1.7442601078164248</v>
      </c>
      <c r="X57" s="201">
        <v>2.5</v>
      </c>
      <c r="Y57" s="30"/>
      <c r="Z57" s="30"/>
      <c r="AA57" s="30"/>
      <c r="AB57" s="30"/>
      <c r="AC57" s="30"/>
    </row>
    <row r="58" spans="1:29" s="7" customFormat="1" x14ac:dyDescent="0.35">
      <c r="D58" s="7" t="s">
        <v>436</v>
      </c>
      <c r="E58" s="113">
        <f>1/80</f>
        <v>1.2500000000000001E-2</v>
      </c>
      <c r="F58" s="113">
        <f>1/120</f>
        <v>8.3333333333333332E-3</v>
      </c>
      <c r="G58" s="114">
        <v>0</v>
      </c>
      <c r="H58" s="201">
        <v>1.1000000000000001</v>
      </c>
      <c r="I58" s="207">
        <v>4</v>
      </c>
      <c r="J58" s="201">
        <v>7</v>
      </c>
      <c r="S58" s="113">
        <f>1/80</f>
        <v>1.2500000000000001E-2</v>
      </c>
      <c r="T58" s="113">
        <f>1/120</f>
        <v>8.3333333333333332E-3</v>
      </c>
      <c r="U58" s="114">
        <f>0</f>
        <v>0</v>
      </c>
      <c r="V58" s="201">
        <v>1.5</v>
      </c>
      <c r="W58" s="206">
        <v>4.671561876399327</v>
      </c>
      <c r="X58" s="201">
        <v>7.8</v>
      </c>
      <c r="Y58" s="30"/>
      <c r="Z58" s="30"/>
      <c r="AA58" s="30"/>
      <c r="AB58" s="30"/>
      <c r="AC58" s="30"/>
    </row>
    <row r="59" spans="1:29" s="7" customFormat="1" x14ac:dyDescent="0.35">
      <c r="D59" s="7" t="s">
        <v>437</v>
      </c>
      <c r="E59" s="113">
        <f>1/80</f>
        <v>1.2500000000000001E-2</v>
      </c>
      <c r="F59" s="113">
        <f>1/120</f>
        <v>8.3333333333333332E-3</v>
      </c>
      <c r="G59" s="114">
        <v>0</v>
      </c>
      <c r="H59" s="201">
        <v>0.6</v>
      </c>
      <c r="I59" s="207">
        <v>4</v>
      </c>
      <c r="J59" s="201">
        <v>7.1</v>
      </c>
      <c r="S59" s="113">
        <f>1/80</f>
        <v>1.2500000000000001E-2</v>
      </c>
      <c r="T59" s="113">
        <f>1/120</f>
        <v>8.3333333333333332E-3</v>
      </c>
      <c r="U59" s="114">
        <f>0</f>
        <v>0</v>
      </c>
      <c r="V59" s="201">
        <v>0.7</v>
      </c>
      <c r="W59" s="206">
        <v>3.7960322337667045</v>
      </c>
      <c r="X59" s="201">
        <v>6.9</v>
      </c>
      <c r="Y59" s="30"/>
      <c r="Z59" s="30"/>
      <c r="AA59" s="30"/>
      <c r="AB59" s="30"/>
      <c r="AC59" s="30"/>
    </row>
    <row r="60" spans="1:29" s="7" customFormat="1" x14ac:dyDescent="0.35">
      <c r="D60" s="7" t="s">
        <v>438</v>
      </c>
      <c r="E60" s="150">
        <f t="shared" ref="E60:J60" si="21">AVERAGE(E56,E57)</f>
        <v>1.2500000000000001E-2</v>
      </c>
      <c r="F60" s="150">
        <f t="shared" si="21"/>
        <v>8.3333333333333332E-3</v>
      </c>
      <c r="G60" s="150">
        <f t="shared" si="21"/>
        <v>0</v>
      </c>
      <c r="H60" s="162">
        <f t="shared" si="21"/>
        <v>1.4500000000000002</v>
      </c>
      <c r="I60" s="162">
        <f t="shared" si="21"/>
        <v>1.9297006560271037</v>
      </c>
      <c r="J60" s="162">
        <f t="shared" si="21"/>
        <v>2.4500000000000002</v>
      </c>
      <c r="S60" s="112">
        <f t="shared" ref="S60:X60" si="22">AVERAGE(S56,S57)</f>
        <v>1.2500000000000001E-2</v>
      </c>
      <c r="T60" s="112">
        <f t="shared" si="22"/>
        <v>8.3333333333333332E-3</v>
      </c>
      <c r="U60" s="112">
        <f t="shared" si="22"/>
        <v>0</v>
      </c>
      <c r="V60" s="162">
        <f t="shared" si="22"/>
        <v>1.05</v>
      </c>
      <c r="W60" s="162">
        <f t="shared" si="22"/>
        <v>1.7383167242816295</v>
      </c>
      <c r="X60" s="162">
        <f t="shared" si="22"/>
        <v>2.4500000000000002</v>
      </c>
      <c r="Y60" s="30"/>
      <c r="Z60" s="30"/>
      <c r="AA60" s="30"/>
      <c r="AB60" s="30"/>
      <c r="AC60" s="30"/>
    </row>
    <row r="61" spans="1:29" s="7" customFormat="1" x14ac:dyDescent="0.35">
      <c r="D61" s="7" t="s">
        <v>439</v>
      </c>
      <c r="E61" s="150">
        <f t="shared" ref="E61:J61" si="23">AVERAGE(E58,E59)</f>
        <v>1.2500000000000001E-2</v>
      </c>
      <c r="F61" s="150">
        <f t="shared" si="23"/>
        <v>8.3333333333333332E-3</v>
      </c>
      <c r="G61" s="150">
        <f t="shared" si="23"/>
        <v>0</v>
      </c>
      <c r="H61" s="162">
        <f t="shared" si="23"/>
        <v>0.85000000000000009</v>
      </c>
      <c r="I61" s="162">
        <f t="shared" si="23"/>
        <v>4</v>
      </c>
      <c r="J61" s="162">
        <f t="shared" si="23"/>
        <v>7.05</v>
      </c>
      <c r="S61" s="112">
        <f t="shared" ref="S61:X61" si="24">AVERAGE(S58,S59)</f>
        <v>1.2500000000000001E-2</v>
      </c>
      <c r="T61" s="112">
        <f t="shared" si="24"/>
        <v>8.3333333333333332E-3</v>
      </c>
      <c r="U61" s="112">
        <f t="shared" si="24"/>
        <v>0</v>
      </c>
      <c r="V61" s="162">
        <f t="shared" si="24"/>
        <v>1.1000000000000001</v>
      </c>
      <c r="W61" s="162">
        <f t="shared" si="24"/>
        <v>4.2337970550830155</v>
      </c>
      <c r="X61" s="162">
        <f t="shared" si="24"/>
        <v>7.35</v>
      </c>
      <c r="Y61" s="30"/>
      <c r="Z61" s="30"/>
      <c r="AA61" s="30"/>
      <c r="AB61" s="30"/>
      <c r="AC61" s="30"/>
    </row>
    <row r="62" spans="1:29" s="7" customFormat="1" x14ac:dyDescent="0.35">
      <c r="D62" s="7" t="s">
        <v>440</v>
      </c>
      <c r="E62" s="134"/>
      <c r="F62" s="134"/>
      <c r="G62" s="134"/>
      <c r="H62" s="87"/>
      <c r="I62" s="87"/>
      <c r="J62" s="87"/>
      <c r="S62" s="11"/>
      <c r="T62" s="39"/>
      <c r="U62" s="39"/>
      <c r="V62" s="39"/>
      <c r="W62" s="39"/>
      <c r="X62" s="39"/>
      <c r="Y62" s="30"/>
      <c r="Z62" s="30"/>
      <c r="AA62" s="30"/>
      <c r="AB62" s="30"/>
      <c r="AC62" s="30"/>
    </row>
    <row r="63" spans="1:29" s="7" customFormat="1" x14ac:dyDescent="0.35">
      <c r="A63" s="7" t="s">
        <v>139</v>
      </c>
      <c r="B63" s="7" t="s">
        <v>452</v>
      </c>
      <c r="C63" s="7" t="s">
        <v>432</v>
      </c>
      <c r="D63" s="7" t="s">
        <v>433</v>
      </c>
      <c r="E63" s="103">
        <f>1/10</f>
        <v>0.1</v>
      </c>
      <c r="F63" s="103">
        <f>1/15</f>
        <v>6.6666666666666666E-2</v>
      </c>
      <c r="G63" s="103">
        <f>1/20</f>
        <v>0.05</v>
      </c>
      <c r="H63" s="201">
        <v>1</v>
      </c>
      <c r="I63" s="206">
        <v>1.643828426624993</v>
      </c>
      <c r="J63" s="201">
        <v>2.2999999999999998</v>
      </c>
      <c r="S63" s="103">
        <f>1/11</f>
        <v>9.0909090909090912E-2</v>
      </c>
      <c r="T63" s="103">
        <f>1/15</f>
        <v>6.6666666666666666E-2</v>
      </c>
      <c r="U63" s="103">
        <f>1/20</f>
        <v>0.05</v>
      </c>
      <c r="V63" s="201">
        <v>0.8</v>
      </c>
      <c r="W63" s="206">
        <v>1.4336579106089959</v>
      </c>
      <c r="X63" s="201">
        <v>2.1</v>
      </c>
      <c r="Y63" s="30"/>
      <c r="Z63" s="30"/>
      <c r="AA63" s="30"/>
      <c r="AB63" s="30"/>
      <c r="AC63" s="30"/>
    </row>
    <row r="64" spans="1:29" s="7" customFormat="1" x14ac:dyDescent="0.35">
      <c r="C64" s="7" t="s">
        <v>434</v>
      </c>
      <c r="D64" s="7" t="s">
        <v>435</v>
      </c>
      <c r="E64" s="103">
        <f>56100/552000</f>
        <v>0.10163043478260869</v>
      </c>
      <c r="F64" s="103">
        <f>28100/552000</f>
        <v>5.0905797101449275E-2</v>
      </c>
      <c r="G64" s="103">
        <f>14000/552000</f>
        <v>2.5362318840579712E-2</v>
      </c>
      <c r="H64" s="201">
        <v>0.8</v>
      </c>
      <c r="I64" s="206">
        <v>1.4915265469148589</v>
      </c>
      <c r="J64" s="201">
        <v>2.2000000000000002</v>
      </c>
      <c r="S64" s="103">
        <f>12200/131000</f>
        <v>9.3129770992366412E-2</v>
      </c>
      <c r="T64" s="103">
        <f>6100/131000</f>
        <v>4.6564885496183206E-2</v>
      </c>
      <c r="U64" s="103">
        <f>3000/131000</f>
        <v>2.2900763358778626E-2</v>
      </c>
      <c r="V64" s="201">
        <v>1</v>
      </c>
      <c r="W64" s="206">
        <v>1.7042050307334906</v>
      </c>
      <c r="X64" s="201">
        <v>2.4</v>
      </c>
      <c r="Y64" s="30"/>
      <c r="Z64" s="30"/>
      <c r="AA64" s="30"/>
      <c r="AB64" s="30"/>
      <c r="AC64" s="30"/>
    </row>
    <row r="65" spans="1:29" s="7" customFormat="1" x14ac:dyDescent="0.35">
      <c r="D65" s="7" t="s">
        <v>436</v>
      </c>
      <c r="E65" s="103">
        <f>1/10</f>
        <v>0.1</v>
      </c>
      <c r="F65" s="103">
        <f>1/15</f>
        <v>6.6666666666666666E-2</v>
      </c>
      <c r="G65" s="103">
        <f>1/20</f>
        <v>0.05</v>
      </c>
      <c r="H65" s="201">
        <v>1.5</v>
      </c>
      <c r="I65" s="207">
        <v>5.8</v>
      </c>
      <c r="J65" s="201">
        <v>9.6</v>
      </c>
      <c r="S65" s="103">
        <f>1/11</f>
        <v>9.0909090909090912E-2</v>
      </c>
      <c r="T65" s="103">
        <f>1/15</f>
        <v>6.6666666666666666E-2</v>
      </c>
      <c r="U65" s="103">
        <f>1/20</f>
        <v>0.05</v>
      </c>
      <c r="V65" s="201">
        <v>0.6</v>
      </c>
      <c r="W65" s="206">
        <v>3.7615427203831526</v>
      </c>
      <c r="X65" s="201">
        <v>6.9</v>
      </c>
      <c r="Y65" s="30"/>
      <c r="Z65" s="30"/>
      <c r="AA65" s="30"/>
      <c r="AB65" s="30"/>
      <c r="AC65" s="30"/>
    </row>
    <row r="66" spans="1:29" s="7" customFormat="1" x14ac:dyDescent="0.35">
      <c r="D66" s="7" t="s">
        <v>437</v>
      </c>
      <c r="E66" s="103">
        <f>3760/37000</f>
        <v>0.10162162162162162</v>
      </c>
      <c r="F66" s="103">
        <f>1880/37000</f>
        <v>5.0810810810810812E-2</v>
      </c>
      <c r="G66" s="103">
        <f>940/37000</f>
        <v>2.5405405405405406E-2</v>
      </c>
      <c r="H66" s="201">
        <v>1.7</v>
      </c>
      <c r="I66" s="207">
        <v>5.8</v>
      </c>
      <c r="J66" s="201">
        <v>10.5</v>
      </c>
      <c r="S66" s="103">
        <f>930/10000</f>
        <v>9.2999999999999999E-2</v>
      </c>
      <c r="T66" s="103">
        <f>460/10000</f>
        <v>4.5999999999999999E-2</v>
      </c>
      <c r="U66" s="103">
        <f>230/10000</f>
        <v>2.3E-2</v>
      </c>
      <c r="V66" s="201">
        <v>0.7</v>
      </c>
      <c r="W66" s="206">
        <v>3.7386808016780564</v>
      </c>
      <c r="X66" s="201">
        <v>6.8</v>
      </c>
      <c r="Y66" s="30"/>
      <c r="Z66" s="30"/>
      <c r="AA66" s="30"/>
      <c r="AB66" s="30"/>
      <c r="AC66" s="30"/>
    </row>
    <row r="67" spans="1:29" s="7" customFormat="1" x14ac:dyDescent="0.35">
      <c r="D67" s="7" t="s">
        <v>438</v>
      </c>
      <c r="E67" s="150">
        <f t="shared" ref="E67:J67" si="25">AVERAGE(E63,E64)</f>
        <v>0.10081521739130435</v>
      </c>
      <c r="F67" s="150">
        <f t="shared" si="25"/>
        <v>5.8786231884057974E-2</v>
      </c>
      <c r="G67" s="150">
        <f t="shared" si="25"/>
        <v>3.7681159420289857E-2</v>
      </c>
      <c r="H67" s="162">
        <f t="shared" si="25"/>
        <v>0.9</v>
      </c>
      <c r="I67" s="162">
        <f t="shared" si="25"/>
        <v>1.5676774867699259</v>
      </c>
      <c r="J67" s="162">
        <f t="shared" si="25"/>
        <v>2.25</v>
      </c>
      <c r="S67" s="112">
        <f t="shared" ref="S67:X67" si="26">AVERAGE(S63,S64)</f>
        <v>9.2019430950728662E-2</v>
      </c>
      <c r="T67" s="112">
        <f t="shared" si="26"/>
        <v>5.6615776081424936E-2</v>
      </c>
      <c r="U67" s="112">
        <f t="shared" si="26"/>
        <v>3.6450381679389313E-2</v>
      </c>
      <c r="V67" s="162">
        <f t="shared" si="26"/>
        <v>0.9</v>
      </c>
      <c r="W67" s="162">
        <f t="shared" si="26"/>
        <v>1.5689314706712434</v>
      </c>
      <c r="X67" s="162">
        <f t="shared" si="26"/>
        <v>2.25</v>
      </c>
      <c r="Y67" s="30"/>
      <c r="Z67" s="30"/>
      <c r="AA67" s="30"/>
      <c r="AB67" s="30"/>
      <c r="AC67" s="30"/>
    </row>
    <row r="68" spans="1:29" s="7" customFormat="1" x14ac:dyDescent="0.35">
      <c r="D68" s="7" t="s">
        <v>439</v>
      </c>
      <c r="E68" s="150">
        <f t="shared" ref="E68:J68" si="27">AVERAGE(E65,E66)</f>
        <v>0.10081081081081081</v>
      </c>
      <c r="F68" s="150">
        <f t="shared" si="27"/>
        <v>5.8738738738738736E-2</v>
      </c>
      <c r="G68" s="150">
        <f t="shared" si="27"/>
        <v>3.7702702702702706E-2</v>
      </c>
      <c r="H68" s="162">
        <f t="shared" si="27"/>
        <v>1.6</v>
      </c>
      <c r="I68" s="162">
        <f t="shared" si="27"/>
        <v>5.8</v>
      </c>
      <c r="J68" s="162">
        <f t="shared" si="27"/>
        <v>10.050000000000001</v>
      </c>
      <c r="S68" s="112">
        <f t="shared" ref="S68:X68" si="28">AVERAGE(S65,S66)</f>
        <v>9.1954545454545455E-2</v>
      </c>
      <c r="T68" s="112">
        <f t="shared" si="28"/>
        <v>5.6333333333333332E-2</v>
      </c>
      <c r="U68" s="112">
        <f t="shared" si="28"/>
        <v>3.6500000000000005E-2</v>
      </c>
      <c r="V68" s="162">
        <f t="shared" si="28"/>
        <v>0.64999999999999991</v>
      </c>
      <c r="W68" s="162">
        <f t="shared" si="28"/>
        <v>3.7501117610306043</v>
      </c>
      <c r="X68" s="162">
        <f t="shared" si="28"/>
        <v>6.85</v>
      </c>
      <c r="Y68" s="30"/>
      <c r="Z68" s="30"/>
      <c r="AA68" s="30"/>
      <c r="AB68" s="30"/>
      <c r="AC68" s="30"/>
    </row>
    <row r="69" spans="1:29" s="7" customFormat="1" x14ac:dyDescent="0.35">
      <c r="D69" s="7" t="s">
        <v>440</v>
      </c>
      <c r="E69" s="134"/>
      <c r="F69" s="134"/>
      <c r="G69" s="134"/>
      <c r="H69" s="87"/>
      <c r="I69" s="87"/>
      <c r="J69" s="87"/>
      <c r="S69" s="11"/>
      <c r="T69" s="39"/>
      <c r="U69" s="39"/>
      <c r="V69" s="39"/>
      <c r="W69" s="39"/>
      <c r="X69" s="39"/>
      <c r="Y69" s="30"/>
      <c r="Z69" s="30"/>
      <c r="AA69" s="30"/>
      <c r="AB69" s="30"/>
      <c r="AC69" s="30"/>
    </row>
    <row r="70" spans="1:29" s="7" customFormat="1" x14ac:dyDescent="0.35">
      <c r="A70" s="7" t="s">
        <v>141</v>
      </c>
      <c r="B70" s="7" t="s">
        <v>453</v>
      </c>
      <c r="C70" s="7" t="s">
        <v>432</v>
      </c>
      <c r="D70" s="7" t="s">
        <v>433</v>
      </c>
      <c r="E70" s="103">
        <f>1/80</f>
        <v>1.2500000000000001E-2</v>
      </c>
      <c r="F70" s="103">
        <f>1/120</f>
        <v>8.3333333333333332E-3</v>
      </c>
      <c r="G70" s="103">
        <v>0</v>
      </c>
      <c r="H70" s="201">
        <v>5.4</v>
      </c>
      <c r="I70" s="206">
        <v>6.539773793414243</v>
      </c>
      <c r="J70" s="201">
        <v>7.7</v>
      </c>
      <c r="S70" s="103">
        <f>1/80</f>
        <v>1.2500000000000001E-2</v>
      </c>
      <c r="T70" s="103">
        <f>1/120</f>
        <v>8.3333333333333332E-3</v>
      </c>
      <c r="U70" s="103">
        <v>0</v>
      </c>
      <c r="V70" s="201">
        <v>3.6</v>
      </c>
      <c r="W70" s="206">
        <v>4.8270857384869217</v>
      </c>
      <c r="X70" s="201">
        <v>6.1</v>
      </c>
      <c r="Y70" s="30"/>
      <c r="Z70" s="30"/>
      <c r="AA70" s="30"/>
      <c r="AB70" s="30"/>
      <c r="AC70" s="30"/>
    </row>
    <row r="71" spans="1:29" s="7" customFormat="1" x14ac:dyDescent="0.35">
      <c r="D71" s="7" t="s">
        <v>435</v>
      </c>
      <c r="E71" s="103">
        <f>1/80</f>
        <v>1.2500000000000001E-2</v>
      </c>
      <c r="F71" s="103">
        <f>1/120</f>
        <v>8.3333333333333332E-3</v>
      </c>
      <c r="G71" s="103">
        <v>0</v>
      </c>
      <c r="H71" s="201">
        <v>3.4</v>
      </c>
      <c r="I71" s="206">
        <v>4.6332282008555259</v>
      </c>
      <c r="J71" s="201">
        <v>5.8</v>
      </c>
      <c r="S71" s="103">
        <f>1/80</f>
        <v>1.2500000000000001E-2</v>
      </c>
      <c r="T71" s="103">
        <f>1/120</f>
        <v>8.3333333333333332E-3</v>
      </c>
      <c r="U71" s="103">
        <v>0</v>
      </c>
      <c r="V71" s="201">
        <v>2.2000000000000002</v>
      </c>
      <c r="W71" s="206">
        <v>3.547763520481686</v>
      </c>
      <c r="X71" s="201">
        <v>4.9000000000000004</v>
      </c>
      <c r="Y71" s="30"/>
      <c r="Z71" s="30"/>
      <c r="AA71" s="30"/>
      <c r="AB71" s="30"/>
      <c r="AC71" s="30"/>
    </row>
    <row r="72" spans="1:29" s="7" customFormat="1" x14ac:dyDescent="0.35">
      <c r="D72" s="7" t="s">
        <v>436</v>
      </c>
      <c r="E72" s="103">
        <f>1/80</f>
        <v>1.2500000000000001E-2</v>
      </c>
      <c r="F72" s="103">
        <f>1/120</f>
        <v>8.3333333333333332E-3</v>
      </c>
      <c r="G72" s="103">
        <v>0</v>
      </c>
      <c r="H72" s="201">
        <v>0</v>
      </c>
      <c r="I72" s="207">
        <v>5.4</v>
      </c>
      <c r="J72" s="201">
        <v>12.8</v>
      </c>
      <c r="S72" s="103">
        <f>1/80</f>
        <v>1.2500000000000001E-2</v>
      </c>
      <c r="T72" s="103">
        <f>1/120</f>
        <v>8.3333333333333332E-3</v>
      </c>
      <c r="U72" s="103">
        <v>0</v>
      </c>
      <c r="V72" s="201">
        <v>0</v>
      </c>
      <c r="W72" s="206">
        <v>3.9220077207686401</v>
      </c>
      <c r="X72" s="201">
        <v>9.8000000000000007</v>
      </c>
      <c r="Y72" s="30"/>
      <c r="Z72" s="30"/>
      <c r="AA72" s="30"/>
      <c r="AB72" s="30"/>
      <c r="AC72" s="30"/>
    </row>
    <row r="73" spans="1:29" s="7" customFormat="1" x14ac:dyDescent="0.35">
      <c r="D73" s="7" t="s">
        <v>437</v>
      </c>
      <c r="E73" s="103">
        <f>1/80</f>
        <v>1.2500000000000001E-2</v>
      </c>
      <c r="F73" s="103">
        <f>1/120</f>
        <v>8.3333333333333332E-3</v>
      </c>
      <c r="G73" s="103">
        <v>0</v>
      </c>
      <c r="H73" s="201">
        <v>0</v>
      </c>
      <c r="I73" s="207">
        <v>5.4</v>
      </c>
      <c r="J73" s="201">
        <v>13</v>
      </c>
      <c r="S73" s="103">
        <f>1/80</f>
        <v>1.2500000000000001E-2</v>
      </c>
      <c r="T73" s="103">
        <f>1/120</f>
        <v>8.3333333333333332E-3</v>
      </c>
      <c r="U73" s="103">
        <v>0</v>
      </c>
      <c r="V73" s="201">
        <v>0</v>
      </c>
      <c r="W73" s="206">
        <v>4.8461469754288817</v>
      </c>
      <c r="X73" s="201">
        <v>10.6</v>
      </c>
      <c r="Y73" s="30"/>
      <c r="Z73" s="30"/>
      <c r="AA73" s="30"/>
      <c r="AB73" s="30"/>
      <c r="AC73" s="30"/>
    </row>
    <row r="74" spans="1:29" s="7" customFormat="1" x14ac:dyDescent="0.35">
      <c r="D74" s="7" t="s">
        <v>438</v>
      </c>
      <c r="E74" s="150">
        <f t="shared" ref="E74:J74" si="29">AVERAGE(E70,E71)</f>
        <v>1.2500000000000001E-2</v>
      </c>
      <c r="F74" s="150">
        <f t="shared" si="29"/>
        <v>8.3333333333333332E-3</v>
      </c>
      <c r="G74" s="150">
        <f t="shared" si="29"/>
        <v>0</v>
      </c>
      <c r="H74" s="162">
        <f t="shared" si="29"/>
        <v>4.4000000000000004</v>
      </c>
      <c r="I74" s="162">
        <f t="shared" si="29"/>
        <v>5.586500997134884</v>
      </c>
      <c r="J74" s="162">
        <f t="shared" si="29"/>
        <v>6.75</v>
      </c>
      <c r="S74" s="112">
        <f t="shared" ref="S74:X74" si="30">AVERAGE(S70,S71)</f>
        <v>1.2500000000000001E-2</v>
      </c>
      <c r="T74" s="112">
        <f t="shared" si="30"/>
        <v>8.3333333333333332E-3</v>
      </c>
      <c r="U74" s="112">
        <f t="shared" si="30"/>
        <v>0</v>
      </c>
      <c r="V74" s="162">
        <f t="shared" si="30"/>
        <v>2.9000000000000004</v>
      </c>
      <c r="W74" s="162">
        <f t="shared" si="30"/>
        <v>4.1874246294843038</v>
      </c>
      <c r="X74" s="162">
        <f t="shared" si="30"/>
        <v>5.5</v>
      </c>
      <c r="Y74" s="30"/>
      <c r="Z74" s="30"/>
      <c r="AA74" s="30"/>
      <c r="AB74" s="30"/>
      <c r="AC74" s="30"/>
    </row>
    <row r="75" spans="1:29" s="7" customFormat="1" x14ac:dyDescent="0.35">
      <c r="D75" s="7" t="s">
        <v>439</v>
      </c>
      <c r="E75" s="150">
        <f t="shared" ref="E75:J75" si="31">AVERAGE(E72,E73)</f>
        <v>1.2500000000000001E-2</v>
      </c>
      <c r="F75" s="150">
        <f t="shared" si="31"/>
        <v>8.3333333333333332E-3</v>
      </c>
      <c r="G75" s="150">
        <f t="shared" si="31"/>
        <v>0</v>
      </c>
      <c r="H75" s="162">
        <f t="shared" si="31"/>
        <v>0</v>
      </c>
      <c r="I75" s="162">
        <f t="shared" si="31"/>
        <v>5.4</v>
      </c>
      <c r="J75" s="162">
        <f t="shared" si="31"/>
        <v>12.9</v>
      </c>
      <c r="S75" s="112">
        <f t="shared" ref="S75:X75" si="32">AVERAGE(S72,S73)</f>
        <v>1.2500000000000001E-2</v>
      </c>
      <c r="T75" s="112">
        <f t="shared" si="32"/>
        <v>8.3333333333333332E-3</v>
      </c>
      <c r="U75" s="112">
        <f t="shared" si="32"/>
        <v>0</v>
      </c>
      <c r="V75" s="162">
        <f t="shared" si="32"/>
        <v>0</v>
      </c>
      <c r="W75" s="162">
        <f t="shared" si="32"/>
        <v>4.3840773480987609</v>
      </c>
      <c r="X75" s="162">
        <f t="shared" si="32"/>
        <v>10.199999999999999</v>
      </c>
      <c r="Y75" s="30"/>
      <c r="Z75" s="30"/>
      <c r="AA75" s="30"/>
      <c r="AB75" s="30"/>
      <c r="AC75" s="30"/>
    </row>
    <row r="76" spans="1:29" s="7" customFormat="1" x14ac:dyDescent="0.35">
      <c r="D76" s="7" t="s">
        <v>440</v>
      </c>
      <c r="E76" s="134"/>
      <c r="F76" s="134"/>
      <c r="G76" s="134"/>
      <c r="H76" s="87"/>
      <c r="I76" s="87"/>
      <c r="J76" s="87"/>
      <c r="S76" s="11"/>
      <c r="T76" s="39"/>
      <c r="U76" s="39"/>
      <c r="V76" s="39"/>
      <c r="W76" s="39"/>
      <c r="X76" s="39"/>
      <c r="Y76" s="30"/>
      <c r="Z76" s="30"/>
      <c r="AA76" s="30"/>
      <c r="AB76" s="30"/>
      <c r="AC76" s="30"/>
    </row>
    <row r="77" spans="1:29" s="7" customFormat="1" x14ac:dyDescent="0.35">
      <c r="A77" s="7" t="s">
        <v>40</v>
      </c>
      <c r="B77" s="7" t="s">
        <v>454</v>
      </c>
      <c r="C77" s="123" t="s">
        <v>148</v>
      </c>
      <c r="D77" s="7" t="s">
        <v>433</v>
      </c>
      <c r="E77" s="108">
        <v>70.5</v>
      </c>
      <c r="F77" s="106">
        <f t="shared" ref="F77:G80" si="33">E77/2</f>
        <v>35.25</v>
      </c>
      <c r="G77" s="108">
        <f t="shared" si="33"/>
        <v>17.625</v>
      </c>
      <c r="H77" s="201">
        <v>4.3</v>
      </c>
      <c r="I77" s="206">
        <v>5.3117794804686991</v>
      </c>
      <c r="J77" s="201">
        <v>6.3</v>
      </c>
      <c r="S77" s="108">
        <v>13.5</v>
      </c>
      <c r="T77" s="108">
        <f t="shared" ref="T77:U80" si="34">S77/2</f>
        <v>6.75</v>
      </c>
      <c r="U77" s="108">
        <f t="shared" si="34"/>
        <v>3.375</v>
      </c>
      <c r="V77" s="201">
        <v>3.7</v>
      </c>
      <c r="W77" s="206">
        <v>4.9937540196901971</v>
      </c>
      <c r="X77" s="201">
        <v>6.3</v>
      </c>
      <c r="Y77" s="30"/>
      <c r="Z77" s="30"/>
      <c r="AA77" s="30"/>
      <c r="AB77" s="30"/>
      <c r="AC77" s="30"/>
    </row>
    <row r="78" spans="1:29" s="7" customFormat="1" x14ac:dyDescent="0.35">
      <c r="D78" s="7" t="s">
        <v>435</v>
      </c>
      <c r="E78" s="108">
        <v>70.5</v>
      </c>
      <c r="F78" s="106">
        <f t="shared" si="33"/>
        <v>35.25</v>
      </c>
      <c r="G78" s="108">
        <f t="shared" si="33"/>
        <v>17.625</v>
      </c>
      <c r="H78" s="201">
        <v>3.6</v>
      </c>
      <c r="I78" s="206">
        <v>4.5996274105131292</v>
      </c>
      <c r="J78" s="201">
        <v>5.6</v>
      </c>
      <c r="S78" s="108">
        <v>13.5</v>
      </c>
      <c r="T78" s="108">
        <f t="shared" si="34"/>
        <v>6.75</v>
      </c>
      <c r="U78" s="108">
        <f t="shared" si="34"/>
        <v>3.375</v>
      </c>
      <c r="V78" s="201">
        <v>3.2</v>
      </c>
      <c r="W78" s="206">
        <v>4.526766182772306</v>
      </c>
      <c r="X78" s="201">
        <v>5.9</v>
      </c>
      <c r="Y78" s="30"/>
      <c r="Z78" s="30"/>
      <c r="AA78" s="30"/>
      <c r="AB78" s="30"/>
      <c r="AC78" s="30"/>
    </row>
    <row r="79" spans="1:29" s="7" customFormat="1" x14ac:dyDescent="0.35">
      <c r="D79" s="7" t="s">
        <v>436</v>
      </c>
      <c r="E79" s="108">
        <v>70.5</v>
      </c>
      <c r="F79" s="106">
        <f t="shared" si="33"/>
        <v>35.25</v>
      </c>
      <c r="G79" s="108">
        <f t="shared" si="33"/>
        <v>17.625</v>
      </c>
      <c r="H79" s="201">
        <v>0.7</v>
      </c>
      <c r="I79" s="207">
        <v>6.5</v>
      </c>
      <c r="J79" s="201">
        <v>12.8</v>
      </c>
      <c r="S79" s="108">
        <v>13.5</v>
      </c>
      <c r="T79" s="108">
        <f t="shared" si="34"/>
        <v>6.75</v>
      </c>
      <c r="U79" s="108">
        <f t="shared" si="34"/>
        <v>3.375</v>
      </c>
      <c r="V79" s="201">
        <v>0</v>
      </c>
      <c r="W79" s="206">
        <v>5.3164141134772009</v>
      </c>
      <c r="X79" s="201">
        <v>11.4</v>
      </c>
      <c r="Y79" s="30"/>
      <c r="Z79" s="30"/>
      <c r="AA79" s="30"/>
      <c r="AB79" s="30"/>
      <c r="AC79" s="30"/>
    </row>
    <row r="80" spans="1:29" s="7" customFormat="1" x14ac:dyDescent="0.35">
      <c r="D80" s="7" t="s">
        <v>437</v>
      </c>
      <c r="E80" s="108">
        <v>70.5</v>
      </c>
      <c r="F80" s="106">
        <f t="shared" si="33"/>
        <v>35.25</v>
      </c>
      <c r="G80" s="108">
        <f t="shared" si="33"/>
        <v>17.625</v>
      </c>
      <c r="H80" s="201">
        <v>0</v>
      </c>
      <c r="I80" s="207">
        <v>6.5</v>
      </c>
      <c r="J80" s="201">
        <v>12.8</v>
      </c>
      <c r="S80" s="108">
        <v>13.5</v>
      </c>
      <c r="T80" s="108">
        <f t="shared" si="34"/>
        <v>6.75</v>
      </c>
      <c r="U80" s="108">
        <f t="shared" si="34"/>
        <v>3.375</v>
      </c>
      <c r="V80" s="201">
        <v>0</v>
      </c>
      <c r="W80" s="206">
        <v>5.7911019018283083</v>
      </c>
      <c r="X80" s="201">
        <v>11.8</v>
      </c>
      <c r="Y80" s="30"/>
      <c r="Z80" s="30"/>
      <c r="AA80" s="30"/>
      <c r="AB80" s="30"/>
      <c r="AC80" s="30"/>
    </row>
    <row r="81" spans="1:29" s="7" customFormat="1" x14ac:dyDescent="0.35">
      <c r="D81" s="7" t="s">
        <v>438</v>
      </c>
      <c r="E81" s="163">
        <f t="shared" ref="E81:J81" si="35">AVERAGE(E77,E78)</f>
        <v>70.5</v>
      </c>
      <c r="F81" s="163">
        <f t="shared" si="35"/>
        <v>35.25</v>
      </c>
      <c r="G81" s="163">
        <f t="shared" si="35"/>
        <v>17.625</v>
      </c>
      <c r="H81" s="162">
        <f t="shared" si="35"/>
        <v>3.95</v>
      </c>
      <c r="I81" s="162">
        <f t="shared" si="35"/>
        <v>4.9557034454909141</v>
      </c>
      <c r="J81" s="162">
        <f t="shared" si="35"/>
        <v>5.9499999999999993</v>
      </c>
      <c r="S81" s="112">
        <f t="shared" ref="S81:X81" si="36">AVERAGE(S77,S78)</f>
        <v>13.5</v>
      </c>
      <c r="T81" s="112">
        <f t="shared" si="36"/>
        <v>6.75</v>
      </c>
      <c r="U81" s="112">
        <f t="shared" si="36"/>
        <v>3.375</v>
      </c>
      <c r="V81" s="162">
        <f t="shared" si="36"/>
        <v>3.45</v>
      </c>
      <c r="W81" s="162">
        <f t="shared" si="36"/>
        <v>4.7602601012312515</v>
      </c>
      <c r="X81" s="162">
        <f t="shared" si="36"/>
        <v>6.1</v>
      </c>
      <c r="Y81" s="30"/>
      <c r="Z81" s="30"/>
      <c r="AA81" s="30"/>
      <c r="AB81" s="30"/>
      <c r="AC81" s="30"/>
    </row>
    <row r="82" spans="1:29" s="7" customFormat="1" x14ac:dyDescent="0.35">
      <c r="D82" s="7" t="s">
        <v>439</v>
      </c>
      <c r="E82" s="163">
        <f t="shared" ref="E82:J82" si="37">AVERAGE(E79,E80)</f>
        <v>70.5</v>
      </c>
      <c r="F82" s="163">
        <f t="shared" si="37"/>
        <v>35.25</v>
      </c>
      <c r="G82" s="163">
        <f t="shared" si="37"/>
        <v>17.625</v>
      </c>
      <c r="H82" s="162">
        <f t="shared" si="37"/>
        <v>0.35</v>
      </c>
      <c r="I82" s="162">
        <f t="shared" si="37"/>
        <v>6.5</v>
      </c>
      <c r="J82" s="162">
        <f t="shared" si="37"/>
        <v>12.8</v>
      </c>
      <c r="S82" s="112">
        <f t="shared" ref="S82:X82" si="38">AVERAGE(S79,S80)</f>
        <v>13.5</v>
      </c>
      <c r="T82" s="112">
        <f t="shared" si="38"/>
        <v>6.75</v>
      </c>
      <c r="U82" s="112">
        <f t="shared" si="38"/>
        <v>3.375</v>
      </c>
      <c r="V82" s="162">
        <f t="shared" si="38"/>
        <v>0</v>
      </c>
      <c r="W82" s="162">
        <f t="shared" si="38"/>
        <v>5.5537580076527551</v>
      </c>
      <c r="X82" s="162">
        <f t="shared" si="38"/>
        <v>11.600000000000001</v>
      </c>
      <c r="Y82" s="30"/>
      <c r="Z82" s="30"/>
      <c r="AA82" s="30"/>
      <c r="AB82" s="30"/>
      <c r="AC82" s="30"/>
    </row>
    <row r="83" spans="1:29" s="7" customFormat="1" x14ac:dyDescent="0.35">
      <c r="D83" s="7" t="s">
        <v>440</v>
      </c>
      <c r="E83" s="165"/>
      <c r="F83" s="165"/>
      <c r="G83" s="165"/>
      <c r="H83" s="87"/>
      <c r="I83" s="87"/>
      <c r="J83" s="87"/>
      <c r="S83" s="11"/>
      <c r="T83" s="39"/>
      <c r="U83" s="39"/>
      <c r="V83" s="39"/>
      <c r="W83" s="39"/>
      <c r="X83" s="39"/>
      <c r="Y83" s="30"/>
      <c r="Z83" s="30"/>
      <c r="AA83" s="30"/>
      <c r="AB83" s="30"/>
      <c r="AC83" s="30"/>
    </row>
    <row r="84" spans="1:29" s="7" customFormat="1" x14ac:dyDescent="0.35">
      <c r="A84" s="7" t="s">
        <v>455</v>
      </c>
      <c r="B84" s="7" t="s">
        <v>456</v>
      </c>
      <c r="C84" s="123" t="s">
        <v>457</v>
      </c>
      <c r="D84" s="7" t="s">
        <v>433</v>
      </c>
      <c r="E84" s="103">
        <v>0.33</v>
      </c>
      <c r="F84" s="103">
        <v>0.65</v>
      </c>
      <c r="G84" s="103">
        <v>0.9</v>
      </c>
      <c r="H84" s="201">
        <v>0.8</v>
      </c>
      <c r="I84" s="206">
        <v>1.5554525449038146</v>
      </c>
      <c r="J84" s="201">
        <v>2.2999999999999998</v>
      </c>
      <c r="S84" s="103">
        <v>0.7</v>
      </c>
      <c r="T84" s="103">
        <v>0.8</v>
      </c>
      <c r="U84" s="103">
        <v>0.95</v>
      </c>
      <c r="V84" s="201">
        <v>0.7</v>
      </c>
      <c r="W84" s="206">
        <v>1.3375714810151687</v>
      </c>
      <c r="X84" s="201">
        <v>2</v>
      </c>
      <c r="Y84" s="30"/>
      <c r="Z84" s="30"/>
      <c r="AA84" s="30"/>
      <c r="AB84" s="30"/>
      <c r="AC84" s="30"/>
    </row>
    <row r="85" spans="1:29" s="7" customFormat="1" x14ac:dyDescent="0.35">
      <c r="D85" s="7" t="s">
        <v>435</v>
      </c>
      <c r="E85" s="103">
        <v>0.33</v>
      </c>
      <c r="F85" s="103">
        <v>0.65</v>
      </c>
      <c r="G85" s="103">
        <v>0.9</v>
      </c>
      <c r="H85" s="201">
        <v>0.4</v>
      </c>
      <c r="I85" s="206">
        <v>1.0971596069647045</v>
      </c>
      <c r="J85" s="201">
        <v>1.8</v>
      </c>
      <c r="S85" s="103">
        <v>0.7</v>
      </c>
      <c r="T85" s="103">
        <v>0.8</v>
      </c>
      <c r="U85" s="103">
        <v>0.95</v>
      </c>
      <c r="V85" s="201">
        <v>0.4</v>
      </c>
      <c r="W85" s="206">
        <v>1.0884108872552432</v>
      </c>
      <c r="X85" s="201">
        <v>1.7</v>
      </c>
      <c r="Y85" s="30"/>
      <c r="Z85" s="30"/>
      <c r="AA85" s="30"/>
      <c r="AB85" s="30"/>
      <c r="AC85" s="30"/>
    </row>
    <row r="86" spans="1:29" s="7" customFormat="1" x14ac:dyDescent="0.35">
      <c r="D86" s="7" t="s">
        <v>436</v>
      </c>
      <c r="E86" s="118"/>
      <c r="F86" s="118"/>
      <c r="G86" s="118"/>
      <c r="H86" s="201"/>
      <c r="I86" s="201"/>
      <c r="J86" s="201"/>
      <c r="T86" s="201"/>
      <c r="U86" s="201"/>
      <c r="V86" s="201"/>
      <c r="W86" s="201"/>
      <c r="X86" s="201"/>
      <c r="Y86" s="30"/>
      <c r="Z86" s="30"/>
      <c r="AA86" s="30"/>
      <c r="AB86" s="30"/>
      <c r="AC86" s="30"/>
    </row>
    <row r="87" spans="1:29" s="7" customFormat="1" x14ac:dyDescent="0.35">
      <c r="D87" s="7" t="s">
        <v>437</v>
      </c>
      <c r="E87" s="118"/>
      <c r="F87" s="118"/>
      <c r="G87" s="118"/>
      <c r="H87" s="201"/>
      <c r="I87" s="206" t="s">
        <v>536</v>
      </c>
      <c r="J87" s="201"/>
      <c r="T87" s="201"/>
      <c r="U87" s="201"/>
      <c r="V87" s="201"/>
      <c r="W87" s="201"/>
      <c r="X87" s="201"/>
      <c r="Y87" s="30"/>
      <c r="Z87" s="30"/>
      <c r="AA87" s="30"/>
      <c r="AB87" s="30"/>
      <c r="AC87" s="30"/>
    </row>
    <row r="88" spans="1:29" s="7" customFormat="1" x14ac:dyDescent="0.35">
      <c r="D88" s="7" t="s">
        <v>438</v>
      </c>
      <c r="E88" s="150">
        <f t="shared" ref="E88:J88" si="39">AVERAGE(E84,E85)</f>
        <v>0.33</v>
      </c>
      <c r="F88" s="150">
        <f t="shared" si="39"/>
        <v>0.65</v>
      </c>
      <c r="G88" s="150">
        <f t="shared" si="39"/>
        <v>0.9</v>
      </c>
      <c r="H88" s="162">
        <f t="shared" si="39"/>
        <v>0.60000000000000009</v>
      </c>
      <c r="I88" s="162">
        <f t="shared" si="39"/>
        <v>1.3263060759342595</v>
      </c>
      <c r="J88" s="162">
        <f t="shared" si="39"/>
        <v>2.0499999999999998</v>
      </c>
      <c r="S88" s="112">
        <f t="shared" ref="S88:X88" si="40">AVERAGE(S84,S85)</f>
        <v>0.7</v>
      </c>
      <c r="T88" s="112">
        <f t="shared" si="40"/>
        <v>0.8</v>
      </c>
      <c r="U88" s="112">
        <f t="shared" si="40"/>
        <v>0.95</v>
      </c>
      <c r="V88" s="162">
        <f t="shared" si="40"/>
        <v>0.55000000000000004</v>
      </c>
      <c r="W88" s="162">
        <f t="shared" si="40"/>
        <v>1.2129911841352059</v>
      </c>
      <c r="X88" s="162">
        <f t="shared" si="40"/>
        <v>1.85</v>
      </c>
      <c r="Y88" s="30"/>
      <c r="Z88" s="30"/>
      <c r="AA88" s="30"/>
      <c r="AB88" s="30"/>
      <c r="AC88" s="30"/>
    </row>
    <row r="89" spans="1:29" s="7" customFormat="1" x14ac:dyDescent="0.35">
      <c r="D89" s="7" t="s">
        <v>439</v>
      </c>
      <c r="E89" s="150"/>
      <c r="F89" s="150"/>
      <c r="G89" s="150"/>
      <c r="H89" s="162"/>
      <c r="I89" s="162"/>
      <c r="J89" s="162"/>
      <c r="S89" s="112"/>
      <c r="T89" s="112"/>
      <c r="U89" s="112"/>
      <c r="V89" s="162"/>
      <c r="W89" s="162"/>
      <c r="X89" s="162"/>
      <c r="Y89" s="30"/>
      <c r="Z89" s="30"/>
      <c r="AA89" s="30"/>
      <c r="AB89" s="30"/>
      <c r="AC89" s="30"/>
    </row>
    <row r="90" spans="1:29" s="7" customFormat="1" x14ac:dyDescent="0.35">
      <c r="D90" s="7" t="s">
        <v>440</v>
      </c>
      <c r="E90" s="160"/>
      <c r="F90" s="160"/>
      <c r="G90" s="160"/>
      <c r="H90" s="87"/>
      <c r="I90" s="87"/>
      <c r="J90" s="87"/>
      <c r="S90" s="11"/>
      <c r="T90" s="39"/>
      <c r="U90" s="39"/>
      <c r="V90" s="39"/>
      <c r="W90" s="39"/>
      <c r="X90" s="39"/>
      <c r="Y90" s="30"/>
      <c r="Z90" s="30"/>
      <c r="AA90" s="30"/>
      <c r="AB90" s="30"/>
      <c r="AC90" s="30"/>
    </row>
    <row r="91" spans="1:29" s="7" customFormat="1" x14ac:dyDescent="0.35">
      <c r="A91" s="123" t="s">
        <v>151</v>
      </c>
      <c r="B91" s="7" t="s">
        <v>458</v>
      </c>
      <c r="C91" s="123" t="s">
        <v>459</v>
      </c>
      <c r="D91" s="7" t="s">
        <v>433</v>
      </c>
      <c r="E91" s="103">
        <v>0</v>
      </c>
      <c r="F91" s="103"/>
      <c r="G91" s="103">
        <v>1</v>
      </c>
      <c r="H91" s="201">
        <v>0.4</v>
      </c>
      <c r="I91" s="206">
        <v>0.69922209679018155</v>
      </c>
      <c r="J91" s="201">
        <v>1</v>
      </c>
      <c r="S91" s="191">
        <f>E91</f>
        <v>0</v>
      </c>
      <c r="T91" s="117"/>
      <c r="U91" s="117">
        <f>G91</f>
        <v>1</v>
      </c>
      <c r="V91" s="201">
        <v>0.2</v>
      </c>
      <c r="W91" s="206">
        <v>0.67210674233033485</v>
      </c>
      <c r="X91" s="201">
        <v>1.1000000000000001</v>
      </c>
      <c r="Y91" s="30"/>
      <c r="Z91" s="30"/>
      <c r="AA91" s="30"/>
      <c r="AB91" s="30"/>
      <c r="AC91" s="30"/>
    </row>
    <row r="92" spans="1:29" s="7" customFormat="1" x14ac:dyDescent="0.35">
      <c r="A92" s="123" t="s">
        <v>451</v>
      </c>
      <c r="C92" s="123" t="s">
        <v>460</v>
      </c>
      <c r="D92" s="7" t="s">
        <v>435</v>
      </c>
      <c r="E92" s="103">
        <v>0</v>
      </c>
      <c r="F92" s="103"/>
      <c r="G92" s="103">
        <v>1</v>
      </c>
      <c r="H92" s="201">
        <v>0.2</v>
      </c>
      <c r="I92" s="206">
        <v>0.53245213642230294</v>
      </c>
      <c r="J92" s="201">
        <v>0.8</v>
      </c>
      <c r="S92" s="191">
        <f>E92</f>
        <v>0</v>
      </c>
      <c r="T92" s="117"/>
      <c r="U92" s="117">
        <f>G92</f>
        <v>1</v>
      </c>
      <c r="V92" s="201">
        <v>0.4</v>
      </c>
      <c r="W92" s="206">
        <v>0.82788860667603514</v>
      </c>
      <c r="X92" s="201">
        <v>1.3</v>
      </c>
      <c r="Y92" s="30"/>
      <c r="Z92" s="30"/>
      <c r="AA92" s="30"/>
      <c r="AB92" s="30"/>
      <c r="AC92" s="30"/>
    </row>
    <row r="93" spans="1:29" s="7" customFormat="1" x14ac:dyDescent="0.35">
      <c r="D93" s="7" t="s">
        <v>436</v>
      </c>
      <c r="E93" s="118"/>
      <c r="F93" s="118"/>
      <c r="G93" s="118"/>
      <c r="H93" s="201"/>
      <c r="I93" s="201"/>
      <c r="J93" s="201"/>
      <c r="S93" s="133"/>
      <c r="T93" s="201"/>
      <c r="U93" s="201"/>
      <c r="V93" s="201"/>
      <c r="W93" s="201"/>
      <c r="X93" s="201"/>
      <c r="Y93" s="30"/>
      <c r="Z93" s="30"/>
      <c r="AA93" s="30"/>
      <c r="AB93" s="30"/>
      <c r="AC93" s="30"/>
    </row>
    <row r="94" spans="1:29" s="7" customFormat="1" x14ac:dyDescent="0.35">
      <c r="D94" s="7" t="s">
        <v>437</v>
      </c>
      <c r="E94" s="118"/>
      <c r="F94" s="118"/>
      <c r="G94" s="118"/>
      <c r="H94" s="201"/>
      <c r="I94" s="201"/>
      <c r="J94" s="201"/>
      <c r="S94" s="133"/>
      <c r="T94" s="201"/>
      <c r="U94" s="201"/>
      <c r="V94" s="201"/>
      <c r="W94" s="201"/>
      <c r="X94" s="201"/>
      <c r="Y94" s="30"/>
      <c r="Z94" s="30"/>
      <c r="AA94" s="30"/>
      <c r="AB94" s="30"/>
      <c r="AC94" s="30"/>
    </row>
    <row r="95" spans="1:29" s="7" customFormat="1" x14ac:dyDescent="0.35">
      <c r="D95" s="7" t="s">
        <v>438</v>
      </c>
      <c r="E95" s="150">
        <f t="shared" ref="E95:J95" si="41">AVERAGE(E91,E92)</f>
        <v>0</v>
      </c>
      <c r="F95" s="150" t="e">
        <f t="shared" si="41"/>
        <v>#DIV/0!</v>
      </c>
      <c r="G95" s="150">
        <f t="shared" si="41"/>
        <v>1</v>
      </c>
      <c r="H95" s="162">
        <f t="shared" si="41"/>
        <v>0.30000000000000004</v>
      </c>
      <c r="I95" s="162">
        <f t="shared" si="41"/>
        <v>0.61583711660624219</v>
      </c>
      <c r="J95" s="162">
        <f t="shared" si="41"/>
        <v>0.9</v>
      </c>
      <c r="S95" s="112">
        <f t="shared" ref="S95:X95" si="42">AVERAGE(S91,S92)</f>
        <v>0</v>
      </c>
      <c r="T95" s="112" t="e">
        <f t="shared" si="42"/>
        <v>#DIV/0!</v>
      </c>
      <c r="U95" s="112">
        <f t="shared" si="42"/>
        <v>1</v>
      </c>
      <c r="V95" s="162">
        <f t="shared" si="42"/>
        <v>0.30000000000000004</v>
      </c>
      <c r="W95" s="162">
        <f t="shared" si="42"/>
        <v>0.749997674503185</v>
      </c>
      <c r="X95" s="162">
        <f t="shared" si="42"/>
        <v>1.2000000000000002</v>
      </c>
      <c r="Y95" s="30"/>
      <c r="Z95" s="30"/>
      <c r="AA95" s="30"/>
      <c r="AB95" s="30"/>
      <c r="AC95" s="30"/>
    </row>
    <row r="96" spans="1:29" s="7" customFormat="1" x14ac:dyDescent="0.35">
      <c r="D96" s="7" t="s">
        <v>439</v>
      </c>
      <c r="E96" s="150"/>
      <c r="F96" s="150"/>
      <c r="G96" s="150"/>
      <c r="H96" s="162"/>
      <c r="I96" s="162"/>
      <c r="J96" s="162"/>
      <c r="S96" s="112"/>
      <c r="T96" s="112"/>
      <c r="U96" s="112"/>
      <c r="V96" s="162"/>
      <c r="W96" s="162"/>
      <c r="X96" s="162"/>
      <c r="Y96" s="30"/>
      <c r="Z96" s="30"/>
      <c r="AA96" s="30"/>
      <c r="AB96" s="30"/>
      <c r="AC96" s="30"/>
    </row>
    <row r="97" spans="1:29" s="7" customFormat="1" x14ac:dyDescent="0.35">
      <c r="D97" s="7" t="s">
        <v>440</v>
      </c>
      <c r="E97" s="160"/>
      <c r="F97" s="160"/>
      <c r="G97" s="160"/>
      <c r="H97" s="87"/>
      <c r="I97" s="87"/>
      <c r="J97" s="87"/>
      <c r="S97" s="11"/>
      <c r="T97" s="39"/>
      <c r="U97" s="39"/>
      <c r="V97" s="39"/>
      <c r="W97" s="39"/>
      <c r="X97" s="39"/>
      <c r="Y97" s="30"/>
      <c r="Z97" s="30"/>
      <c r="AA97" s="30"/>
      <c r="AB97" s="30"/>
      <c r="AC97" s="30"/>
    </row>
    <row r="98" spans="1:29" s="7" customFormat="1" x14ac:dyDescent="0.35">
      <c r="A98" s="53" t="s">
        <v>461</v>
      </c>
      <c r="B98" s="7" t="s">
        <v>462</v>
      </c>
      <c r="C98" s="123" t="s">
        <v>463</v>
      </c>
      <c r="D98" s="7" t="s">
        <v>433</v>
      </c>
      <c r="E98" s="199">
        <v>0.11</v>
      </c>
      <c r="F98" s="199">
        <v>0.3</v>
      </c>
      <c r="G98" s="199">
        <v>0.5</v>
      </c>
      <c r="H98" s="201">
        <v>3</v>
      </c>
      <c r="I98" s="206">
        <v>4.0444156124918296</v>
      </c>
      <c r="J98" s="201">
        <v>5.0999999999999996</v>
      </c>
      <c r="S98" s="199">
        <v>0.11</v>
      </c>
      <c r="T98" s="199">
        <v>0.3</v>
      </c>
      <c r="U98" s="199">
        <v>0.5</v>
      </c>
      <c r="V98" s="201">
        <v>3.4</v>
      </c>
      <c r="W98" s="206">
        <v>4.993273786444588</v>
      </c>
      <c r="X98" s="201">
        <v>6.6</v>
      </c>
      <c r="Y98" s="30"/>
      <c r="Z98" s="30"/>
      <c r="AA98" s="30"/>
      <c r="AB98" s="30"/>
      <c r="AC98" s="30"/>
    </row>
    <row r="99" spans="1:29" s="7" customFormat="1" x14ac:dyDescent="0.35">
      <c r="D99" s="7" t="s">
        <v>435</v>
      </c>
      <c r="E99" s="199">
        <v>0.11</v>
      </c>
      <c r="F99" s="199">
        <v>0.3</v>
      </c>
      <c r="G99" s="199">
        <v>0.5</v>
      </c>
      <c r="H99" s="201">
        <v>3.4</v>
      </c>
      <c r="I99" s="206">
        <v>4.4622933992670175</v>
      </c>
      <c r="J99" s="201">
        <v>5.6</v>
      </c>
      <c r="S99" s="199">
        <v>0.11</v>
      </c>
      <c r="T99" s="199">
        <v>0.3</v>
      </c>
      <c r="U99" s="199">
        <v>0.5</v>
      </c>
      <c r="V99" s="201">
        <v>2.2000000000000002</v>
      </c>
      <c r="W99" s="206">
        <v>3.8360425540740808</v>
      </c>
      <c r="X99" s="201">
        <v>5.5</v>
      </c>
      <c r="Y99" s="30"/>
      <c r="Z99" s="30"/>
      <c r="AA99" s="30"/>
      <c r="AB99" s="30"/>
      <c r="AC99" s="30"/>
    </row>
    <row r="100" spans="1:29" s="7" customFormat="1" x14ac:dyDescent="0.35">
      <c r="D100" s="7" t="s">
        <v>436</v>
      </c>
      <c r="E100" s="199">
        <v>0.11</v>
      </c>
      <c r="F100" s="199">
        <v>0.3</v>
      </c>
      <c r="G100" s="199">
        <v>0.5</v>
      </c>
      <c r="H100" s="201">
        <v>1</v>
      </c>
      <c r="I100" s="207">
        <v>8</v>
      </c>
      <c r="J100" s="201">
        <v>14.1</v>
      </c>
      <c r="S100" s="199">
        <v>0.11</v>
      </c>
      <c r="T100" s="199">
        <v>0.3</v>
      </c>
      <c r="U100" s="199">
        <v>0.5</v>
      </c>
      <c r="V100" s="201">
        <v>0</v>
      </c>
      <c r="W100" s="206">
        <v>4.5986836696139379</v>
      </c>
      <c r="X100" s="201">
        <v>12</v>
      </c>
      <c r="Y100" s="30"/>
      <c r="Z100" s="30"/>
      <c r="AA100" s="30"/>
      <c r="AB100" s="30"/>
      <c r="AC100" s="30"/>
    </row>
    <row r="101" spans="1:29" s="7" customFormat="1" x14ac:dyDescent="0.35">
      <c r="D101" s="7" t="s">
        <v>437</v>
      </c>
      <c r="E101" s="199">
        <v>0.11</v>
      </c>
      <c r="F101" s="199">
        <v>0.3</v>
      </c>
      <c r="G101" s="199">
        <v>0.5</v>
      </c>
      <c r="H101" s="201">
        <v>1.3</v>
      </c>
      <c r="I101" s="207">
        <v>8</v>
      </c>
      <c r="J101" s="201">
        <v>15.5</v>
      </c>
      <c r="S101" s="199">
        <v>0.11</v>
      </c>
      <c r="T101" s="199">
        <v>0.3</v>
      </c>
      <c r="U101" s="199">
        <v>0.5</v>
      </c>
      <c r="V101" s="201">
        <v>0</v>
      </c>
      <c r="W101" s="206">
        <v>6.966972282241553</v>
      </c>
      <c r="X101" s="201">
        <v>14.2</v>
      </c>
      <c r="Y101" s="30"/>
      <c r="Z101" s="30"/>
      <c r="AA101" s="30"/>
      <c r="AB101" s="30"/>
      <c r="AC101" s="30"/>
    </row>
    <row r="102" spans="1:29" s="7" customFormat="1" x14ac:dyDescent="0.35">
      <c r="D102" s="7" t="s">
        <v>438</v>
      </c>
      <c r="E102" s="159">
        <f t="shared" ref="E102:J102" si="43">AVERAGE(E98,E99)</f>
        <v>0.11</v>
      </c>
      <c r="F102" s="159">
        <f t="shared" si="43"/>
        <v>0.3</v>
      </c>
      <c r="G102" s="159">
        <f t="shared" si="43"/>
        <v>0.5</v>
      </c>
      <c r="H102" s="162">
        <f t="shared" si="43"/>
        <v>3.2</v>
      </c>
      <c r="I102" s="162">
        <f t="shared" si="43"/>
        <v>4.2533545058794235</v>
      </c>
      <c r="J102" s="162">
        <f t="shared" si="43"/>
        <v>5.35</v>
      </c>
      <c r="S102" s="112">
        <f t="shared" ref="S102:X102" si="44">AVERAGE(S98,S99)</f>
        <v>0.11</v>
      </c>
      <c r="T102" s="112">
        <f t="shared" si="44"/>
        <v>0.3</v>
      </c>
      <c r="U102" s="112">
        <f t="shared" si="44"/>
        <v>0.5</v>
      </c>
      <c r="V102" s="162">
        <f t="shared" si="44"/>
        <v>2.8</v>
      </c>
      <c r="W102" s="162">
        <f t="shared" si="44"/>
        <v>4.4146581702593348</v>
      </c>
      <c r="X102" s="162">
        <f t="shared" si="44"/>
        <v>6.05</v>
      </c>
      <c r="Y102" s="30"/>
      <c r="Z102" s="30"/>
      <c r="AA102" s="30"/>
      <c r="AB102" s="30"/>
      <c r="AC102" s="30"/>
    </row>
    <row r="103" spans="1:29" s="7" customFormat="1" x14ac:dyDescent="0.35">
      <c r="D103" s="7" t="s">
        <v>439</v>
      </c>
      <c r="E103" s="159">
        <f t="shared" ref="E103:J103" si="45">AVERAGE(E100,E101)</f>
        <v>0.11</v>
      </c>
      <c r="F103" s="159">
        <f t="shared" si="45"/>
        <v>0.3</v>
      </c>
      <c r="G103" s="159">
        <f t="shared" si="45"/>
        <v>0.5</v>
      </c>
      <c r="H103" s="162">
        <f t="shared" si="45"/>
        <v>1.1499999999999999</v>
      </c>
      <c r="I103" s="162">
        <f t="shared" si="45"/>
        <v>8</v>
      </c>
      <c r="J103" s="162">
        <f t="shared" si="45"/>
        <v>14.8</v>
      </c>
      <c r="S103" s="112">
        <f t="shared" ref="S103:X103" si="46">AVERAGE(S100,S101)</f>
        <v>0.11</v>
      </c>
      <c r="T103" s="112">
        <f t="shared" si="46"/>
        <v>0.3</v>
      </c>
      <c r="U103" s="112">
        <f t="shared" si="46"/>
        <v>0.5</v>
      </c>
      <c r="V103" s="162">
        <f t="shared" si="46"/>
        <v>0</v>
      </c>
      <c r="W103" s="162">
        <f t="shared" si="46"/>
        <v>5.782827975927745</v>
      </c>
      <c r="X103" s="162">
        <f t="shared" si="46"/>
        <v>13.1</v>
      </c>
      <c r="Y103" s="30"/>
      <c r="Z103" s="30"/>
      <c r="AA103" s="30"/>
      <c r="AB103" s="30"/>
      <c r="AC103" s="30"/>
    </row>
    <row r="104" spans="1:29" s="7" customFormat="1" x14ac:dyDescent="0.35">
      <c r="D104" s="7" t="s">
        <v>440</v>
      </c>
      <c r="E104" s="134"/>
      <c r="F104" s="134"/>
      <c r="G104" s="134"/>
      <c r="H104" s="87"/>
      <c r="I104" s="87"/>
      <c r="J104" s="87"/>
      <c r="S104" s="11"/>
      <c r="T104" s="39"/>
      <c r="U104" s="39"/>
      <c r="V104" s="39"/>
      <c r="W104" s="39"/>
      <c r="X104" s="39"/>
      <c r="Y104" s="30"/>
      <c r="Z104" s="30"/>
      <c r="AA104" s="30"/>
      <c r="AB104" s="30"/>
      <c r="AC104" s="30"/>
    </row>
    <row r="105" spans="1:29" s="7" customFormat="1" ht="29" x14ac:dyDescent="0.35">
      <c r="A105" s="53" t="s">
        <v>464</v>
      </c>
      <c r="B105" s="7" t="s">
        <v>465</v>
      </c>
      <c r="C105" s="123" t="s">
        <v>155</v>
      </c>
      <c r="D105" s="7" t="s">
        <v>433</v>
      </c>
      <c r="E105" s="106">
        <v>0</v>
      </c>
      <c r="F105" s="106">
        <v>19</v>
      </c>
      <c r="G105" s="106">
        <v>30</v>
      </c>
      <c r="H105" s="201">
        <v>4.4000000000000004</v>
      </c>
      <c r="I105" s="206">
        <v>5.5173919412025247</v>
      </c>
      <c r="J105" s="201">
        <v>6.7</v>
      </c>
      <c r="S105" s="106">
        <v>0</v>
      </c>
      <c r="T105" s="106">
        <v>6</v>
      </c>
      <c r="U105" s="106">
        <v>10</v>
      </c>
      <c r="V105" s="201">
        <v>3.9</v>
      </c>
      <c r="W105" s="206">
        <v>5.568786697334029</v>
      </c>
      <c r="X105" s="201">
        <v>7.2</v>
      </c>
      <c r="Y105" s="30"/>
      <c r="Z105" s="30"/>
      <c r="AA105" s="30"/>
      <c r="AB105" s="30"/>
      <c r="AC105" s="30"/>
    </row>
    <row r="106" spans="1:29" s="7" customFormat="1" x14ac:dyDescent="0.35">
      <c r="D106" s="7" t="s">
        <v>435</v>
      </c>
      <c r="E106" s="106">
        <v>0</v>
      </c>
      <c r="F106" s="106">
        <v>19</v>
      </c>
      <c r="G106" s="106">
        <v>30</v>
      </c>
      <c r="H106" s="201">
        <v>4.3</v>
      </c>
      <c r="I106" s="206">
        <v>5.4649566883434293</v>
      </c>
      <c r="J106" s="201">
        <v>6.7</v>
      </c>
      <c r="S106" s="106">
        <v>0</v>
      </c>
      <c r="T106" s="106">
        <v>6</v>
      </c>
      <c r="U106" s="106">
        <v>10</v>
      </c>
      <c r="V106" s="201">
        <v>3.6</v>
      </c>
      <c r="W106" s="206">
        <v>5.370026439034115</v>
      </c>
      <c r="X106" s="201">
        <v>7.1</v>
      </c>
      <c r="Y106" s="30"/>
      <c r="Z106" s="30"/>
      <c r="AA106" s="30"/>
      <c r="AB106" s="30"/>
      <c r="AC106" s="30"/>
    </row>
    <row r="107" spans="1:29" s="7" customFormat="1" x14ac:dyDescent="0.35">
      <c r="D107" s="7" t="s">
        <v>436</v>
      </c>
      <c r="E107" s="106">
        <v>0</v>
      </c>
      <c r="F107" s="106">
        <v>19</v>
      </c>
      <c r="G107" s="106">
        <v>30</v>
      </c>
      <c r="H107" s="201">
        <v>0</v>
      </c>
      <c r="I107" s="207">
        <v>5.6</v>
      </c>
      <c r="J107" s="201">
        <v>13.1</v>
      </c>
      <c r="S107" s="106">
        <v>0</v>
      </c>
      <c r="T107" s="106">
        <v>6</v>
      </c>
      <c r="U107" s="106">
        <v>10</v>
      </c>
      <c r="V107" s="201">
        <v>0</v>
      </c>
      <c r="W107" s="206">
        <v>4.0407594034135199</v>
      </c>
      <c r="X107" s="201">
        <v>11.9</v>
      </c>
      <c r="Y107" s="30"/>
      <c r="Z107" s="30"/>
      <c r="AA107" s="30"/>
      <c r="AB107" s="30"/>
      <c r="AC107" s="30"/>
    </row>
    <row r="108" spans="1:29" s="7" customFormat="1" x14ac:dyDescent="0.35">
      <c r="D108" s="7" t="s">
        <v>437</v>
      </c>
      <c r="E108" s="106">
        <v>0</v>
      </c>
      <c r="F108" s="106">
        <v>19</v>
      </c>
      <c r="G108" s="106">
        <v>30</v>
      </c>
      <c r="H108" s="201">
        <v>0</v>
      </c>
      <c r="I108" s="207">
        <v>5.6</v>
      </c>
      <c r="J108" s="201">
        <v>12.9</v>
      </c>
      <c r="S108" s="106">
        <v>0</v>
      </c>
      <c r="T108" s="106">
        <v>6</v>
      </c>
      <c r="U108" s="106">
        <v>10</v>
      </c>
      <c r="V108" s="201">
        <v>0</v>
      </c>
      <c r="W108" s="206">
        <v>6.2235642745094975</v>
      </c>
      <c r="X108" s="201">
        <v>14</v>
      </c>
      <c r="Y108" s="30"/>
      <c r="Z108" s="30"/>
      <c r="AA108" s="30"/>
      <c r="AB108" s="30"/>
      <c r="AC108" s="30"/>
    </row>
    <row r="109" spans="1:29" s="7" customFormat="1" x14ac:dyDescent="0.35">
      <c r="D109" s="7" t="s">
        <v>438</v>
      </c>
      <c r="E109" s="163">
        <f t="shared" ref="E109:J109" si="47">AVERAGE(E105,E106)</f>
        <v>0</v>
      </c>
      <c r="F109" s="163">
        <f t="shared" si="47"/>
        <v>19</v>
      </c>
      <c r="G109" s="163">
        <f t="shared" si="47"/>
        <v>30</v>
      </c>
      <c r="H109" s="162">
        <f t="shared" si="47"/>
        <v>4.3499999999999996</v>
      </c>
      <c r="I109" s="162">
        <f t="shared" si="47"/>
        <v>5.4911743147729766</v>
      </c>
      <c r="J109" s="162">
        <f t="shared" si="47"/>
        <v>6.7</v>
      </c>
      <c r="S109" s="112">
        <f t="shared" ref="S109:X109" si="48">AVERAGE(S105,S106)</f>
        <v>0</v>
      </c>
      <c r="T109" s="112">
        <f t="shared" si="48"/>
        <v>6</v>
      </c>
      <c r="U109" s="112">
        <f t="shared" si="48"/>
        <v>10</v>
      </c>
      <c r="V109" s="162">
        <f t="shared" si="48"/>
        <v>3.75</v>
      </c>
      <c r="W109" s="162">
        <f t="shared" si="48"/>
        <v>5.4694065681840716</v>
      </c>
      <c r="X109" s="162">
        <f t="shared" si="48"/>
        <v>7.15</v>
      </c>
      <c r="Y109" s="30"/>
      <c r="Z109" s="30"/>
      <c r="AA109" s="30"/>
      <c r="AB109" s="30"/>
      <c r="AC109" s="30"/>
    </row>
    <row r="110" spans="1:29" s="7" customFormat="1" x14ac:dyDescent="0.35">
      <c r="D110" s="7" t="s">
        <v>439</v>
      </c>
      <c r="E110" s="163">
        <f t="shared" ref="E110:J110" si="49">AVERAGE(E107,E108)</f>
        <v>0</v>
      </c>
      <c r="F110" s="163">
        <f t="shared" si="49"/>
        <v>19</v>
      </c>
      <c r="G110" s="163">
        <f t="shared" si="49"/>
        <v>30</v>
      </c>
      <c r="H110" s="162">
        <f t="shared" si="49"/>
        <v>0</v>
      </c>
      <c r="I110" s="162">
        <f t="shared" si="49"/>
        <v>5.6</v>
      </c>
      <c r="J110" s="162">
        <f t="shared" si="49"/>
        <v>13</v>
      </c>
      <c r="S110" s="112">
        <f t="shared" ref="S110:X110" si="50">AVERAGE(S107,S108)</f>
        <v>0</v>
      </c>
      <c r="T110" s="112">
        <f t="shared" si="50"/>
        <v>6</v>
      </c>
      <c r="U110" s="112">
        <f t="shared" si="50"/>
        <v>10</v>
      </c>
      <c r="V110" s="162">
        <f t="shared" si="50"/>
        <v>0</v>
      </c>
      <c r="W110" s="162">
        <f t="shared" si="50"/>
        <v>5.1321618389615082</v>
      </c>
      <c r="X110" s="162">
        <f t="shared" si="50"/>
        <v>12.95</v>
      </c>
      <c r="Y110" s="30"/>
      <c r="Z110" s="30"/>
      <c r="AA110" s="30"/>
      <c r="AB110" s="30"/>
      <c r="AC110" s="30"/>
    </row>
    <row r="111" spans="1:29" s="7" customFormat="1" x14ac:dyDescent="0.35">
      <c r="D111" s="7" t="s">
        <v>440</v>
      </c>
      <c r="E111" s="134"/>
      <c r="F111" s="134"/>
      <c r="G111" s="134"/>
      <c r="H111" s="87"/>
      <c r="I111" s="87"/>
      <c r="J111" s="87"/>
      <c r="S111" s="11"/>
      <c r="T111" s="39"/>
      <c r="U111" s="39"/>
      <c r="V111" s="39"/>
      <c r="W111" s="39"/>
      <c r="X111" s="39"/>
      <c r="Y111" s="30"/>
      <c r="Z111" s="30"/>
      <c r="AA111" s="30"/>
      <c r="AB111" s="30"/>
      <c r="AC111" s="30"/>
    </row>
    <row r="112" spans="1:29" s="7" customFormat="1" x14ac:dyDescent="0.35">
      <c r="A112" s="7" t="s">
        <v>156</v>
      </c>
      <c r="B112" s="7" t="s">
        <v>466</v>
      </c>
      <c r="C112" s="123" t="s">
        <v>155</v>
      </c>
      <c r="D112" s="7" t="s">
        <v>433</v>
      </c>
      <c r="E112" s="106">
        <v>0</v>
      </c>
      <c r="F112" s="106">
        <v>150</v>
      </c>
      <c r="G112" s="106">
        <v>200</v>
      </c>
      <c r="H112" s="201">
        <v>4</v>
      </c>
      <c r="I112" s="206">
        <v>5.2595907834587727</v>
      </c>
      <c r="J112" s="201">
        <v>6.5</v>
      </c>
      <c r="S112" s="106">
        <v>0</v>
      </c>
      <c r="T112" s="106">
        <v>50</v>
      </c>
      <c r="U112" s="106">
        <v>100</v>
      </c>
      <c r="V112" s="201">
        <v>4.0999999999999996</v>
      </c>
      <c r="W112" s="206">
        <v>5.7650581127434766</v>
      </c>
      <c r="X112" s="201">
        <v>7.5</v>
      </c>
      <c r="Y112" s="30"/>
      <c r="Z112" s="30"/>
      <c r="AA112" s="30"/>
      <c r="AB112" s="30"/>
      <c r="AC112" s="30"/>
    </row>
    <row r="113" spans="1:29" s="7" customFormat="1" x14ac:dyDescent="0.35">
      <c r="D113" s="7" t="s">
        <v>435</v>
      </c>
      <c r="E113" s="106">
        <v>0</v>
      </c>
      <c r="F113" s="106">
        <v>150</v>
      </c>
      <c r="G113" s="106">
        <v>200</v>
      </c>
      <c r="H113" s="201">
        <v>4.5999999999999996</v>
      </c>
      <c r="I113" s="206">
        <v>5.9109791033597512</v>
      </c>
      <c r="J113" s="201">
        <v>7.2</v>
      </c>
      <c r="S113" s="106">
        <v>0</v>
      </c>
      <c r="T113" s="106">
        <v>50</v>
      </c>
      <c r="U113" s="106">
        <v>100</v>
      </c>
      <c r="V113" s="201">
        <v>3.9</v>
      </c>
      <c r="W113" s="206">
        <v>5.732896362345782</v>
      </c>
      <c r="X113" s="201">
        <v>7.5</v>
      </c>
      <c r="Y113" s="30"/>
      <c r="Z113" s="30"/>
      <c r="AA113" s="30"/>
      <c r="AB113" s="30"/>
      <c r="AC113" s="30"/>
    </row>
    <row r="114" spans="1:29" s="7" customFormat="1" x14ac:dyDescent="0.35">
      <c r="D114" s="7" t="s">
        <v>436</v>
      </c>
      <c r="E114" s="106">
        <v>0</v>
      </c>
      <c r="F114" s="106">
        <v>150</v>
      </c>
      <c r="G114" s="106">
        <v>200</v>
      </c>
      <c r="H114" s="201">
        <v>0</v>
      </c>
      <c r="I114" s="207">
        <v>6</v>
      </c>
      <c r="J114" s="201">
        <v>13.5</v>
      </c>
      <c r="S114" s="106">
        <v>0</v>
      </c>
      <c r="T114" s="106">
        <v>50</v>
      </c>
      <c r="U114" s="106">
        <v>100</v>
      </c>
      <c r="V114" s="201">
        <v>0</v>
      </c>
      <c r="W114" s="206">
        <v>4.6639982840826457</v>
      </c>
      <c r="X114" s="201">
        <v>12.7</v>
      </c>
      <c r="Y114" s="30"/>
      <c r="Z114" s="30"/>
      <c r="AA114" s="30"/>
      <c r="AB114" s="30"/>
      <c r="AC114" s="30"/>
    </row>
    <row r="115" spans="1:29" s="7" customFormat="1" x14ac:dyDescent="0.35">
      <c r="D115" s="7" t="s">
        <v>437</v>
      </c>
      <c r="E115" s="106">
        <v>0</v>
      </c>
      <c r="F115" s="106">
        <v>150</v>
      </c>
      <c r="G115" s="106">
        <v>200</v>
      </c>
      <c r="H115" s="201">
        <v>0</v>
      </c>
      <c r="I115" s="207">
        <v>6</v>
      </c>
      <c r="J115" s="201">
        <v>14.3</v>
      </c>
      <c r="S115" s="106">
        <v>0</v>
      </c>
      <c r="T115" s="106">
        <v>50</v>
      </c>
      <c r="U115" s="106">
        <v>100</v>
      </c>
      <c r="V115" s="201">
        <v>0</v>
      </c>
      <c r="W115" s="206">
        <v>5.9860623270869748</v>
      </c>
      <c r="X115" s="201">
        <v>13.8</v>
      </c>
      <c r="Y115" s="30"/>
      <c r="Z115" s="30"/>
      <c r="AA115" s="30"/>
      <c r="AB115" s="30"/>
      <c r="AC115" s="30"/>
    </row>
    <row r="116" spans="1:29" s="7" customFormat="1" x14ac:dyDescent="0.35">
      <c r="D116" s="7" t="s">
        <v>438</v>
      </c>
      <c r="E116" s="163">
        <f t="shared" ref="E116:J116" si="51">AVERAGE(E112,E113)</f>
        <v>0</v>
      </c>
      <c r="F116" s="163">
        <f t="shared" si="51"/>
        <v>150</v>
      </c>
      <c r="G116" s="163">
        <f t="shared" si="51"/>
        <v>200</v>
      </c>
      <c r="H116" s="162">
        <f t="shared" si="51"/>
        <v>4.3</v>
      </c>
      <c r="I116" s="162">
        <f t="shared" si="51"/>
        <v>5.5852849434092615</v>
      </c>
      <c r="J116" s="162">
        <f t="shared" si="51"/>
        <v>6.85</v>
      </c>
      <c r="S116" s="112">
        <f t="shared" ref="S116:X116" si="52">AVERAGE(S112,S113)</f>
        <v>0</v>
      </c>
      <c r="T116" s="112">
        <f t="shared" si="52"/>
        <v>50</v>
      </c>
      <c r="U116" s="112">
        <f t="shared" si="52"/>
        <v>100</v>
      </c>
      <c r="V116" s="162">
        <f t="shared" si="52"/>
        <v>4</v>
      </c>
      <c r="W116" s="162">
        <f t="shared" si="52"/>
        <v>5.7489772375446293</v>
      </c>
      <c r="X116" s="162">
        <f t="shared" si="52"/>
        <v>7.5</v>
      </c>
      <c r="Y116" s="30"/>
      <c r="Z116" s="30"/>
      <c r="AA116" s="30"/>
      <c r="AB116" s="30"/>
      <c r="AC116" s="30"/>
    </row>
    <row r="117" spans="1:29" s="7" customFormat="1" x14ac:dyDescent="0.35">
      <c r="D117" s="7" t="s">
        <v>439</v>
      </c>
      <c r="E117" s="163">
        <f t="shared" ref="E117:J117" si="53">AVERAGE(E114,E115)</f>
        <v>0</v>
      </c>
      <c r="F117" s="163">
        <f t="shared" si="53"/>
        <v>150</v>
      </c>
      <c r="G117" s="163">
        <f t="shared" si="53"/>
        <v>200</v>
      </c>
      <c r="H117" s="162">
        <f t="shared" si="53"/>
        <v>0</v>
      </c>
      <c r="I117" s="162">
        <f t="shared" si="53"/>
        <v>6</v>
      </c>
      <c r="J117" s="162">
        <f t="shared" si="53"/>
        <v>13.9</v>
      </c>
      <c r="S117" s="112">
        <f t="shared" ref="S117:X117" si="54">AVERAGE(S114,S115)</f>
        <v>0</v>
      </c>
      <c r="T117" s="112">
        <f t="shared" si="54"/>
        <v>50</v>
      </c>
      <c r="U117" s="112">
        <f t="shared" si="54"/>
        <v>100</v>
      </c>
      <c r="V117" s="162">
        <f t="shared" si="54"/>
        <v>0</v>
      </c>
      <c r="W117" s="162">
        <f t="shared" si="54"/>
        <v>5.3250303055848107</v>
      </c>
      <c r="X117" s="162">
        <f t="shared" si="54"/>
        <v>13.25</v>
      </c>
      <c r="Y117" s="30"/>
      <c r="Z117" s="30"/>
      <c r="AA117" s="30"/>
      <c r="AB117" s="30"/>
      <c r="AC117" s="30"/>
    </row>
    <row r="118" spans="1:29" s="7" customFormat="1" x14ac:dyDescent="0.35">
      <c r="D118" s="7" t="s">
        <v>440</v>
      </c>
      <c r="E118" s="134"/>
      <c r="F118" s="134"/>
      <c r="G118" s="134"/>
      <c r="H118" s="87"/>
      <c r="I118" s="87"/>
      <c r="J118" s="87"/>
      <c r="S118" s="11"/>
      <c r="T118" s="39"/>
      <c r="U118" s="39"/>
      <c r="V118" s="39"/>
      <c r="W118" s="39"/>
      <c r="X118" s="39"/>
      <c r="Y118" s="30"/>
      <c r="Z118" s="30"/>
      <c r="AA118" s="30"/>
      <c r="AB118" s="30"/>
      <c r="AC118" s="30"/>
    </row>
    <row r="119" spans="1:29" s="7" customFormat="1" x14ac:dyDescent="0.35">
      <c r="A119" s="7" t="s">
        <v>158</v>
      </c>
      <c r="B119" s="7" t="s">
        <v>467</v>
      </c>
      <c r="C119" s="7" t="s">
        <v>468</v>
      </c>
      <c r="D119" s="7" t="s">
        <v>433</v>
      </c>
      <c r="E119" s="106">
        <f>1</f>
        <v>1</v>
      </c>
      <c r="F119" s="106">
        <v>0.5</v>
      </c>
      <c r="G119" s="106">
        <v>0.2</v>
      </c>
      <c r="H119" s="201">
        <v>0.4</v>
      </c>
      <c r="I119" s="206">
        <v>1.1247559513920011</v>
      </c>
      <c r="J119" s="201">
        <v>1.9</v>
      </c>
      <c r="S119" s="106">
        <f>1</f>
        <v>1</v>
      </c>
      <c r="T119" s="106">
        <v>0.5</v>
      </c>
      <c r="U119" s="106">
        <v>0.2</v>
      </c>
      <c r="V119" s="201">
        <v>0.2</v>
      </c>
      <c r="W119" s="206">
        <v>0.94839727337148683</v>
      </c>
      <c r="X119" s="201">
        <v>1.7</v>
      </c>
      <c r="Y119" s="30"/>
      <c r="Z119" s="30"/>
      <c r="AA119" s="30"/>
      <c r="AB119" s="30"/>
      <c r="AC119" s="30"/>
    </row>
    <row r="120" spans="1:29" s="7" customFormat="1" x14ac:dyDescent="0.35">
      <c r="C120" s="7" t="s">
        <v>469</v>
      </c>
      <c r="D120" s="7" t="s">
        <v>435</v>
      </c>
      <c r="E120" s="107">
        <f>5*365/3</f>
        <v>608.33333333333337</v>
      </c>
      <c r="F120" s="107">
        <f>3*365/3</f>
        <v>365</v>
      </c>
      <c r="G120" s="107">
        <f>2*365/3</f>
        <v>243.33333333333334</v>
      </c>
      <c r="H120" s="201">
        <v>0.2</v>
      </c>
      <c r="I120" s="206">
        <v>1.0237253779313176</v>
      </c>
      <c r="J120" s="201">
        <v>1.8</v>
      </c>
      <c r="S120" s="107">
        <f>3*365/3</f>
        <v>365</v>
      </c>
      <c r="T120" s="107">
        <f>2*365/3</f>
        <v>243.33333333333334</v>
      </c>
      <c r="U120" s="107">
        <f>1*365/3</f>
        <v>121.66666666666667</v>
      </c>
      <c r="V120" s="201">
        <v>0.4</v>
      </c>
      <c r="W120" s="206">
        <v>1.2420833783522209</v>
      </c>
      <c r="X120" s="201">
        <v>2.1</v>
      </c>
      <c r="Y120" s="30"/>
      <c r="Z120" s="30"/>
      <c r="AA120" s="30"/>
      <c r="AB120" s="30"/>
      <c r="AC120" s="30"/>
    </row>
    <row r="121" spans="1:29" s="7" customFormat="1" x14ac:dyDescent="0.35">
      <c r="C121" s="123" t="s">
        <v>470</v>
      </c>
      <c r="D121" s="7" t="s">
        <v>436</v>
      </c>
      <c r="E121" s="106">
        <f>1</f>
        <v>1</v>
      </c>
      <c r="F121" s="106">
        <v>0.5</v>
      </c>
      <c r="G121" s="106">
        <v>0.2</v>
      </c>
      <c r="H121" s="201">
        <v>1</v>
      </c>
      <c r="I121" s="207">
        <v>4.9000000000000004</v>
      </c>
      <c r="J121" s="201">
        <v>10.3</v>
      </c>
      <c r="S121" s="106">
        <f>1</f>
        <v>1</v>
      </c>
      <c r="T121" s="106">
        <v>0.5</v>
      </c>
      <c r="U121" s="106">
        <v>0.2</v>
      </c>
      <c r="V121" s="201">
        <v>0.9</v>
      </c>
      <c r="W121" s="206">
        <v>4.4800608974811027</v>
      </c>
      <c r="X121" s="201">
        <v>8.1</v>
      </c>
      <c r="Y121" s="30"/>
      <c r="Z121" s="30"/>
      <c r="AA121" s="30"/>
      <c r="AB121" s="30"/>
      <c r="AC121" s="30"/>
    </row>
    <row r="122" spans="1:29" s="7" customFormat="1" x14ac:dyDescent="0.35">
      <c r="D122" s="7" t="s">
        <v>437</v>
      </c>
      <c r="E122" s="107">
        <f>5*365/3</f>
        <v>608.33333333333337</v>
      </c>
      <c r="F122" s="107">
        <f>3*365/3</f>
        <v>365</v>
      </c>
      <c r="G122" s="107">
        <f>2*365/3</f>
        <v>243.33333333333334</v>
      </c>
      <c r="H122" s="201">
        <v>0</v>
      </c>
      <c r="I122" s="207">
        <v>4.9000000000000004</v>
      </c>
      <c r="J122" s="201">
        <v>9.1</v>
      </c>
      <c r="S122" s="107">
        <f>3*365/3</f>
        <v>365</v>
      </c>
      <c r="T122" s="107">
        <f>2*365/3</f>
        <v>243.33333333333334</v>
      </c>
      <c r="U122" s="107">
        <f>1*365/3</f>
        <v>121.66666666666667</v>
      </c>
      <c r="V122" s="201">
        <v>0</v>
      </c>
      <c r="W122" s="206">
        <v>3.5347707754555424</v>
      </c>
      <c r="X122" s="201">
        <v>7.1</v>
      </c>
      <c r="Y122" s="30"/>
      <c r="Z122" s="30"/>
      <c r="AA122" s="30"/>
      <c r="AB122" s="30"/>
      <c r="AC122" s="30"/>
    </row>
    <row r="123" spans="1:29" s="7" customFormat="1" x14ac:dyDescent="0.35">
      <c r="D123" s="7" t="s">
        <v>438</v>
      </c>
      <c r="E123" s="161">
        <f>E120</f>
        <v>608.33333333333337</v>
      </c>
      <c r="F123" s="161">
        <f>F120</f>
        <v>365</v>
      </c>
      <c r="G123" s="161">
        <f>G120</f>
        <v>243.33333333333334</v>
      </c>
      <c r="H123" s="162">
        <f>AVERAGE(H119,H120)</f>
        <v>0.30000000000000004</v>
      </c>
      <c r="I123" s="162">
        <f>AVERAGE(I119,I120)</f>
        <v>1.0742406646616594</v>
      </c>
      <c r="J123" s="162">
        <f>AVERAGE(J119,J120)</f>
        <v>1.85</v>
      </c>
      <c r="K123" s="30"/>
      <c r="L123" s="30"/>
      <c r="M123" s="30"/>
      <c r="N123" s="30"/>
      <c r="O123" s="30"/>
      <c r="P123" s="30"/>
      <c r="Q123" s="30"/>
      <c r="R123" s="30"/>
      <c r="S123" s="112">
        <f t="shared" ref="S123:X123" si="55">AVERAGE(S119,S120)</f>
        <v>183</v>
      </c>
      <c r="T123" s="112">
        <f t="shared" si="55"/>
        <v>121.91666666666667</v>
      </c>
      <c r="U123" s="112">
        <f t="shared" si="55"/>
        <v>60.933333333333337</v>
      </c>
      <c r="V123" s="162">
        <f t="shared" si="55"/>
        <v>0.30000000000000004</v>
      </c>
      <c r="W123" s="162">
        <f t="shared" si="55"/>
        <v>1.0952403258618539</v>
      </c>
      <c r="X123" s="162">
        <f t="shared" si="55"/>
        <v>1.9</v>
      </c>
      <c r="Y123" s="30"/>
      <c r="Z123" s="30"/>
      <c r="AA123" s="30"/>
      <c r="AB123" s="30"/>
      <c r="AC123" s="30"/>
    </row>
    <row r="124" spans="1:29" s="7" customFormat="1" x14ac:dyDescent="0.35">
      <c r="D124" s="7" t="s">
        <v>439</v>
      </c>
      <c r="E124" s="161">
        <f>E122</f>
        <v>608.33333333333337</v>
      </c>
      <c r="F124" s="161">
        <f>F122</f>
        <v>365</v>
      </c>
      <c r="G124" s="161">
        <f>G122</f>
        <v>243.33333333333334</v>
      </c>
      <c r="H124" s="162">
        <f>AVERAGE(H121,H122)</f>
        <v>0.5</v>
      </c>
      <c r="I124" s="162">
        <f>AVERAGE(I121,I122)</f>
        <v>4.9000000000000004</v>
      </c>
      <c r="J124" s="162">
        <f>AVERAGE(J121,J122)</f>
        <v>9.6999999999999993</v>
      </c>
      <c r="K124" s="30"/>
      <c r="L124" s="30"/>
      <c r="M124" s="30"/>
      <c r="N124" s="30"/>
      <c r="O124" s="30"/>
      <c r="P124" s="30"/>
      <c r="Q124" s="30"/>
      <c r="R124" s="30"/>
      <c r="S124" s="112">
        <f t="shared" ref="S124:X124" si="56">AVERAGE(S121,S122)</f>
        <v>183</v>
      </c>
      <c r="T124" s="112">
        <f t="shared" si="56"/>
        <v>121.91666666666667</v>
      </c>
      <c r="U124" s="112">
        <f t="shared" si="56"/>
        <v>60.933333333333337</v>
      </c>
      <c r="V124" s="162">
        <f t="shared" si="56"/>
        <v>0.45</v>
      </c>
      <c r="W124" s="162">
        <f t="shared" si="56"/>
        <v>4.0074158364683221</v>
      </c>
      <c r="X124" s="162">
        <f t="shared" si="56"/>
        <v>7.6</v>
      </c>
      <c r="Y124" s="30"/>
      <c r="Z124" s="30"/>
      <c r="AA124" s="30"/>
      <c r="AB124" s="30"/>
      <c r="AC124" s="30"/>
    </row>
    <row r="125" spans="1:29" s="7" customFormat="1" x14ac:dyDescent="0.35">
      <c r="D125" s="7" t="s">
        <v>440</v>
      </c>
      <c r="E125" s="134"/>
      <c r="F125" s="134"/>
      <c r="G125" s="134"/>
      <c r="H125" s="208"/>
      <c r="I125" s="208"/>
      <c r="J125" s="208"/>
      <c r="K125" s="30"/>
      <c r="L125" s="30"/>
      <c r="M125" s="30"/>
      <c r="N125" s="30"/>
      <c r="O125" s="30"/>
      <c r="P125" s="30"/>
      <c r="Q125" s="30"/>
      <c r="R125" s="30"/>
      <c r="S125" s="11"/>
      <c r="T125" s="39"/>
      <c r="U125" s="39"/>
      <c r="V125" s="39"/>
      <c r="W125" s="39"/>
      <c r="X125" s="39"/>
      <c r="Y125" s="30"/>
      <c r="Z125" s="30"/>
      <c r="AA125" s="30"/>
      <c r="AB125" s="30"/>
      <c r="AC125" s="30"/>
    </row>
    <row r="126" spans="1:29" s="7" customFormat="1" x14ac:dyDescent="0.35">
      <c r="A126" s="200"/>
      <c r="D126" s="201"/>
      <c r="H126" s="202"/>
      <c r="I126" s="202"/>
      <c r="J126" s="202"/>
      <c r="K126" s="30"/>
      <c r="L126" s="30"/>
      <c r="M126" s="30"/>
      <c r="N126" s="30"/>
      <c r="O126" s="30"/>
      <c r="P126" s="30"/>
      <c r="Q126" s="30"/>
      <c r="R126" s="30"/>
      <c r="S126" s="30"/>
      <c r="T126" s="30"/>
      <c r="U126" s="30"/>
      <c r="V126" s="30"/>
      <c r="W126" s="30"/>
      <c r="X126" s="30"/>
      <c r="Y126" s="30"/>
      <c r="Z126" s="30"/>
      <c r="AA126" s="30"/>
      <c r="AB126" s="30"/>
      <c r="AC126" s="30"/>
    </row>
    <row r="127" spans="1:29" s="7" customFormat="1" x14ac:dyDescent="0.35">
      <c r="A127" s="200"/>
      <c r="D127" s="201"/>
      <c r="H127" s="202"/>
      <c r="I127" s="202"/>
      <c r="J127" s="202"/>
      <c r="K127" s="30"/>
      <c r="L127" s="30"/>
      <c r="M127" s="30"/>
      <c r="N127" s="30"/>
      <c r="O127" s="30"/>
      <c r="P127" s="30"/>
      <c r="Q127" s="30"/>
      <c r="R127" s="30"/>
      <c r="S127" s="30"/>
      <c r="T127" s="30"/>
      <c r="U127" s="30"/>
      <c r="V127" s="30"/>
      <c r="W127" s="30"/>
      <c r="X127" s="30"/>
      <c r="Y127" s="30"/>
      <c r="Z127" s="30"/>
      <c r="AA127" s="30"/>
      <c r="AB127" s="30"/>
      <c r="AC127" s="30"/>
    </row>
    <row r="128" spans="1:29" s="7" customFormat="1" x14ac:dyDescent="0.35">
      <c r="A128" s="200"/>
      <c r="D128" s="201"/>
      <c r="H128" s="202"/>
      <c r="I128" s="202"/>
      <c r="J128" s="202"/>
      <c r="K128" s="30"/>
      <c r="L128" s="30"/>
      <c r="M128" s="30"/>
      <c r="N128" s="30"/>
      <c r="O128" s="30"/>
      <c r="P128" s="30"/>
      <c r="Q128" s="30"/>
      <c r="R128" s="30"/>
      <c r="S128" s="30"/>
      <c r="T128" s="30"/>
      <c r="U128" s="30"/>
      <c r="V128" s="30"/>
      <c r="W128" s="30"/>
      <c r="X128" s="30"/>
      <c r="Y128" s="30"/>
      <c r="Z128" s="30"/>
      <c r="AA128" s="30"/>
      <c r="AB128" s="30"/>
      <c r="AC128" s="30"/>
    </row>
    <row r="129" spans="1:44" s="133" customFormat="1" x14ac:dyDescent="0.35">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7"/>
      <c r="AL129" s="50"/>
      <c r="AM129" s="50"/>
      <c r="AN129" s="50"/>
      <c r="AO129" s="50"/>
      <c r="AP129" s="50"/>
      <c r="AQ129" s="50"/>
      <c r="AR129" s="50"/>
    </row>
    <row r="130" spans="1:44" s="133" customFormat="1" ht="19.5" x14ac:dyDescent="0.45">
      <c r="A130" s="209" t="s">
        <v>525</v>
      </c>
      <c r="B130" s="50"/>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7"/>
      <c r="AL130" s="98"/>
      <c r="AM130" s="98"/>
      <c r="AN130" s="98"/>
      <c r="AO130" s="98"/>
      <c r="AP130" s="98"/>
      <c r="AQ130" s="98"/>
      <c r="AR130" s="98"/>
    </row>
    <row r="131" spans="1:44" s="7" customFormat="1" ht="15" thickBot="1" x14ac:dyDescent="0.4">
      <c r="A131" s="50"/>
      <c r="B131" s="52"/>
      <c r="C131" s="188"/>
      <c r="D131" s="98"/>
      <c r="E131" s="148" t="s">
        <v>537</v>
      </c>
      <c r="F131" s="148"/>
      <c r="G131" s="210"/>
      <c r="H131" s="98"/>
      <c r="I131" s="99"/>
      <c r="J131" s="1007"/>
      <c r="K131" s="1006"/>
      <c r="L131" s="88"/>
      <c r="M131" s="88"/>
      <c r="N131" s="88"/>
      <c r="O131" s="88"/>
      <c r="P131" s="50"/>
      <c r="Q131" s="50"/>
      <c r="R131" s="50"/>
      <c r="S131" s="98" t="s">
        <v>537</v>
      </c>
      <c r="T131" s="148"/>
      <c r="U131" s="211"/>
      <c r="V131" s="98"/>
      <c r="W131" s="98"/>
      <c r="X131" s="99"/>
      <c r="Y131" s="1007"/>
      <c r="Z131" s="251"/>
      <c r="AA131" s="251"/>
      <c r="AB131" s="251"/>
      <c r="AC131" s="251"/>
      <c r="AD131" s="1006"/>
      <c r="AE131" s="50"/>
      <c r="AF131" s="50"/>
      <c r="AG131" s="50"/>
      <c r="AH131" s="50"/>
      <c r="AI131" s="50"/>
      <c r="AJ131" s="50"/>
    </row>
    <row r="132" spans="1:44" s="53" customFormat="1" x14ac:dyDescent="0.35">
      <c r="A132" s="54" t="s">
        <v>347</v>
      </c>
      <c r="B132" s="54" t="s">
        <v>395</v>
      </c>
      <c r="C132" s="189"/>
      <c r="D132" s="88"/>
      <c r="E132" s="88" t="s">
        <v>538</v>
      </c>
      <c r="F132" s="268" t="s">
        <v>539</v>
      </c>
      <c r="G132" s="88"/>
      <c r="H132" s="88"/>
      <c r="I132" s="88"/>
      <c r="J132" s="1007"/>
      <c r="K132" s="1006"/>
      <c r="L132" s="88"/>
      <c r="M132" s="88"/>
      <c r="N132" s="88"/>
      <c r="O132" s="88"/>
      <c r="P132" s="88"/>
      <c r="Q132" s="88"/>
      <c r="R132" s="88"/>
      <c r="S132" s="88" t="s">
        <v>538</v>
      </c>
      <c r="T132" s="268" t="s">
        <v>539</v>
      </c>
      <c r="U132" s="88"/>
      <c r="V132" s="88"/>
      <c r="W132" s="88"/>
      <c r="X132" s="88"/>
      <c r="Y132" s="1007"/>
      <c r="Z132" s="251"/>
      <c r="AA132" s="251"/>
      <c r="AB132" s="251"/>
      <c r="AC132" s="251"/>
      <c r="AD132" s="1006"/>
      <c r="AE132" s="88"/>
      <c r="AF132" s="88"/>
      <c r="AG132" s="88"/>
      <c r="AH132" s="88"/>
      <c r="AI132" s="88"/>
      <c r="AJ132" s="88"/>
    </row>
    <row r="133" spans="1:44" s="133" customFormat="1" x14ac:dyDescent="0.35">
      <c r="A133" s="7" t="s">
        <v>40</v>
      </c>
      <c r="B133" s="7" t="s">
        <v>333</v>
      </c>
      <c r="E133" s="147">
        <f ca="1">INDEX(INDIRECT("SSW_WTPCore_DCE_"&amp;$A133&amp;"_MaxDiffUIndex"),MATCH("COMBINED-HH",WTPCore_Group,0),MATCH("MEAN",LMH,0))</f>
        <v>4.9557034454909141</v>
      </c>
      <c r="F133" s="274">
        <f ca="1">E133*100/E$136</f>
        <v>71.844210310034214</v>
      </c>
      <c r="G133" s="90"/>
      <c r="H133" s="8"/>
      <c r="S133" s="147">
        <f ca="1">INDEX(INDIRECT("CAM_WTPCore_"&amp;$A133&amp;"_MaxDiffUIndex"),MATCH("COMBINED-HH",WTPCore_Group,0),MATCH("MEAN",LMH,0))</f>
        <v>4.7602601012312515</v>
      </c>
      <c r="T133" s="274">
        <f ca="1">S133*100/S$136</f>
        <v>70.802972337403205</v>
      </c>
      <c r="U133" s="90"/>
      <c r="V133" s="8"/>
      <c r="W133" s="111"/>
      <c r="X133" s="111"/>
      <c r="Y133" s="111"/>
      <c r="Z133" s="111"/>
      <c r="AA133" s="111"/>
      <c r="AB133" s="111"/>
      <c r="AC133" s="111"/>
      <c r="AD133" s="111"/>
      <c r="AE133" s="111"/>
      <c r="AP133" s="7"/>
      <c r="AQ133" s="7"/>
      <c r="AR133" s="7"/>
    </row>
    <row r="134" spans="1:44" s="133" customFormat="1" x14ac:dyDescent="0.35">
      <c r="A134" s="7" t="s">
        <v>149</v>
      </c>
      <c r="B134" s="7" t="s">
        <v>401</v>
      </c>
      <c r="E134" s="147">
        <f ca="1">INDEX(INDIRECT("SSW_WTPCore_DCE_"&amp;$A134&amp;"_MaxDiffUIndex"),MATCH("COMBINED-HH",WTPCore_Group,0),MATCH("MEAN",LMH,0))</f>
        <v>1.3263060759342595</v>
      </c>
      <c r="F134" s="274">
        <f ca="1">E134*100/E$136</f>
        <v>19.22782783574289</v>
      </c>
      <c r="G134" s="90"/>
      <c r="H134" s="8"/>
      <c r="S134" s="147">
        <f ca="1">INDEX(INDIRECT("CAM_WTPCore_"&amp;$A134&amp;"_MaxDiffUIndex"),MATCH("COMBINED-HH",WTPCore_Group,0),MATCH("MEAN",LMH,0))</f>
        <v>1.2129911841352059</v>
      </c>
      <c r="T134" s="274">
        <f ca="1">S134*100/S$136</f>
        <v>18.041741297628889</v>
      </c>
      <c r="U134" s="90"/>
      <c r="V134" s="8"/>
      <c r="W134" s="111"/>
      <c r="X134" s="111"/>
      <c r="Y134" s="111"/>
      <c r="Z134" s="111"/>
      <c r="AA134" s="111"/>
      <c r="AB134" s="111"/>
      <c r="AC134" s="111"/>
      <c r="AD134" s="111"/>
      <c r="AE134" s="111"/>
      <c r="AP134" s="7"/>
      <c r="AQ134" s="7"/>
      <c r="AR134" s="7"/>
    </row>
    <row r="135" spans="1:44" s="133" customFormat="1" x14ac:dyDescent="0.35">
      <c r="A135" s="7" t="s">
        <v>152</v>
      </c>
      <c r="B135" s="7" t="s">
        <v>334</v>
      </c>
      <c r="E135" s="147">
        <f ca="1">INDEX(INDIRECT("SSW_WTPCore_DCE_"&amp;$A135&amp;"_MaxDiffUIndex"),MATCH("COMBINED-HH",WTPCore_Group,0),MATCH("MEAN",LMH,0))</f>
        <v>0.61583711660624219</v>
      </c>
      <c r="F135" s="274">
        <f ca="1">E135*100/E$136</f>
        <v>8.9279618542229091</v>
      </c>
      <c r="G135" s="90"/>
      <c r="H135" s="8"/>
      <c r="S135" s="147">
        <f ca="1">INDEX(INDIRECT("CAM_WTPCore_"&amp;$A135&amp;"_MaxDiffUIndex"),MATCH("COMBINED-HH",WTPCore_Group,0),MATCH("MEAN",LMH,0))</f>
        <v>0.749997674503185</v>
      </c>
      <c r="T135" s="274">
        <f ca="1">S135*100/S$136</f>
        <v>11.15528636496791</v>
      </c>
      <c r="U135" s="90"/>
      <c r="V135" s="8"/>
      <c r="W135" s="111"/>
      <c r="X135" s="111"/>
      <c r="Y135" s="111"/>
      <c r="Z135" s="111"/>
      <c r="AA135" s="111"/>
      <c r="AB135" s="111"/>
      <c r="AC135" s="111"/>
      <c r="AD135" s="111"/>
      <c r="AE135" s="111"/>
      <c r="AP135" s="7"/>
      <c r="AQ135" s="7"/>
      <c r="AR135" s="7"/>
    </row>
    <row r="136" spans="1:44" s="133" customFormat="1" ht="15" thickBot="1" x14ac:dyDescent="0.4">
      <c r="E136" s="29">
        <f ca="1">SUM(E133:E135)</f>
        <v>6.8978466380314156</v>
      </c>
      <c r="F136" s="276">
        <f ca="1">SUM(F133:F135)</f>
        <v>100.00000000000001</v>
      </c>
      <c r="G136" s="194"/>
      <c r="H136" s="3"/>
      <c r="S136" s="29">
        <f ca="1">SUM(S133:S135)</f>
        <v>6.7232489598696423</v>
      </c>
      <c r="T136" s="276">
        <f ca="1">SUM(T133:T135)</f>
        <v>100</v>
      </c>
      <c r="U136" s="194"/>
      <c r="V136" s="3"/>
      <c r="W136" s="111"/>
      <c r="X136" s="111"/>
      <c r="Y136" s="111"/>
      <c r="Z136" s="111"/>
      <c r="AA136" s="111"/>
      <c r="AB136" s="111"/>
      <c r="AC136" s="111"/>
      <c r="AD136" s="111"/>
      <c r="AE136" s="111"/>
      <c r="AP136" s="7"/>
      <c r="AQ136" s="7"/>
      <c r="AR136" s="7"/>
    </row>
    <row r="137" spans="1:44" s="133" customFormat="1" x14ac:dyDescent="0.35">
      <c r="A137" s="123" t="s">
        <v>540</v>
      </c>
      <c r="S137" s="111"/>
      <c r="T137" s="111"/>
      <c r="U137" s="111"/>
      <c r="V137" s="111"/>
      <c r="W137" s="111"/>
      <c r="X137" s="111"/>
      <c r="Y137" s="111"/>
      <c r="Z137" s="111"/>
      <c r="AA137" s="111"/>
      <c r="AB137" s="111"/>
      <c r="AC137" s="111"/>
      <c r="AD137" s="111"/>
      <c r="AE137" s="111"/>
      <c r="AP137" s="7"/>
      <c r="AQ137" s="7"/>
      <c r="AR137" s="7"/>
    </row>
    <row r="138" spans="1:44" s="7" customFormat="1" x14ac:dyDescent="0.35">
      <c r="A138" s="200"/>
      <c r="D138" s="201"/>
      <c r="H138" s="202"/>
      <c r="I138" s="202"/>
      <c r="J138" s="202"/>
      <c r="K138" s="30"/>
      <c r="L138" s="30"/>
      <c r="M138" s="30"/>
      <c r="N138" s="30"/>
      <c r="O138" s="30"/>
      <c r="P138" s="30"/>
      <c r="Q138" s="30"/>
      <c r="R138" s="30"/>
      <c r="S138" s="30"/>
      <c r="T138" s="30"/>
      <c r="U138" s="30"/>
      <c r="V138" s="30"/>
      <c r="W138" s="30"/>
      <c r="X138" s="30"/>
      <c r="Y138" s="30"/>
      <c r="Z138" s="30"/>
      <c r="AA138" s="30"/>
      <c r="AB138" s="30"/>
      <c r="AC138" s="30"/>
    </row>
    <row r="139" spans="1:44" s="7" customFormat="1" x14ac:dyDescent="0.35">
      <c r="A139" s="50"/>
      <c r="B139" s="50"/>
      <c r="C139" s="50"/>
      <c r="D139" s="54"/>
      <c r="E139" s="52"/>
      <c r="F139" s="52"/>
      <c r="G139" s="52"/>
      <c r="H139" s="52"/>
      <c r="I139" s="52"/>
      <c r="J139" s="52"/>
      <c r="K139" s="84"/>
      <c r="L139" s="84"/>
      <c r="M139" s="84"/>
      <c r="N139" s="84"/>
      <c r="O139" s="84"/>
      <c r="P139" s="52"/>
      <c r="Q139" s="52"/>
      <c r="R139" s="52"/>
      <c r="S139" s="84"/>
      <c r="T139" s="52"/>
      <c r="U139" s="52"/>
      <c r="V139" s="52"/>
      <c r="W139" s="52"/>
      <c r="X139" s="52"/>
      <c r="Y139" s="52"/>
      <c r="Z139" s="52"/>
      <c r="AA139" s="52"/>
      <c r="AB139" s="52"/>
      <c r="AC139" s="52"/>
      <c r="AD139" s="52"/>
      <c r="AE139" s="52"/>
      <c r="AF139" s="52"/>
      <c r="AG139" s="52"/>
      <c r="AH139" s="52"/>
      <c r="AI139" s="52"/>
      <c r="AJ139" s="52"/>
    </row>
    <row r="140" spans="1:44" s="7" customFormat="1" ht="19.5" x14ac:dyDescent="0.45">
      <c r="A140" s="85" t="s">
        <v>541</v>
      </c>
      <c r="B140" s="50"/>
      <c r="C140" s="50"/>
      <c r="D140" s="54"/>
      <c r="E140" s="185"/>
      <c r="F140" s="98"/>
      <c r="G140" s="98"/>
      <c r="H140" s="98"/>
      <c r="I140" s="98"/>
      <c r="J140" s="98"/>
      <c r="K140" s="186"/>
      <c r="L140" s="186"/>
      <c r="M140" s="186"/>
      <c r="N140" s="186"/>
      <c r="O140" s="186"/>
      <c r="P140" s="52"/>
      <c r="Q140" s="52"/>
      <c r="R140" s="52"/>
      <c r="S140" s="84"/>
      <c r="T140" s="52"/>
      <c r="U140" s="52"/>
      <c r="V140" s="52"/>
      <c r="W140" s="52"/>
      <c r="X140" s="52"/>
      <c r="Y140" s="52"/>
      <c r="Z140" s="52"/>
      <c r="AA140" s="52"/>
      <c r="AB140" s="52"/>
      <c r="AC140" s="52"/>
      <c r="AD140" s="52"/>
      <c r="AE140" s="52"/>
      <c r="AF140" s="52"/>
      <c r="AG140" s="52"/>
      <c r="AH140" s="52"/>
      <c r="AI140" s="52"/>
      <c r="AJ140" s="52"/>
    </row>
    <row r="141" spans="1:44" s="7" customFormat="1" ht="15" customHeight="1" thickBot="1" x14ac:dyDescent="0.4">
      <c r="A141" s="50"/>
      <c r="B141" s="52"/>
      <c r="C141" s="188"/>
      <c r="D141" s="54"/>
      <c r="E141" s="98" t="s">
        <v>342</v>
      </c>
      <c r="F141" s="148"/>
      <c r="G141" s="148"/>
      <c r="H141" s="98" t="s">
        <v>343</v>
      </c>
      <c r="I141" s="98"/>
      <c r="J141" s="99"/>
      <c r="K141" s="1007" t="s">
        <v>344</v>
      </c>
      <c r="L141" s="251"/>
      <c r="M141" s="251"/>
      <c r="N141" s="251"/>
      <c r="O141" s="251"/>
      <c r="P141" s="1006" t="s">
        <v>346</v>
      </c>
      <c r="Q141" s="50"/>
      <c r="R141" s="50"/>
      <c r="S141" s="98" t="s">
        <v>342</v>
      </c>
      <c r="T141" s="148"/>
      <c r="U141" s="148"/>
      <c r="V141" s="98" t="s">
        <v>343</v>
      </c>
      <c r="W141" s="98"/>
      <c r="X141" s="99"/>
      <c r="Y141" s="1007" t="s">
        <v>344</v>
      </c>
      <c r="Z141" s="251"/>
      <c r="AA141" s="251"/>
      <c r="AB141" s="251"/>
      <c r="AC141" s="251"/>
      <c r="AD141" s="1006" t="s">
        <v>346</v>
      </c>
      <c r="AE141" s="50"/>
      <c r="AF141" s="50"/>
      <c r="AG141" s="50"/>
      <c r="AH141" s="50"/>
      <c r="AI141" s="50"/>
      <c r="AJ141" s="50"/>
    </row>
    <row r="142" spans="1:44" s="53" customFormat="1" ht="43.5" x14ac:dyDescent="0.35">
      <c r="A142" s="54" t="s">
        <v>542</v>
      </c>
      <c r="B142" s="54"/>
      <c r="C142" s="189" t="s">
        <v>349</v>
      </c>
      <c r="D142" s="54"/>
      <c r="E142" s="88" t="s">
        <v>350</v>
      </c>
      <c r="F142" s="88" t="s">
        <v>351</v>
      </c>
      <c r="G142" s="88" t="s">
        <v>352</v>
      </c>
      <c r="H142" s="88" t="s">
        <v>353</v>
      </c>
      <c r="I142" s="88" t="s">
        <v>354</v>
      </c>
      <c r="J142" s="88" t="s">
        <v>355</v>
      </c>
      <c r="K142" s="1007"/>
      <c r="L142" s="251" t="s">
        <v>356</v>
      </c>
      <c r="M142" s="251" t="s">
        <v>357</v>
      </c>
      <c r="N142" s="251" t="s">
        <v>358</v>
      </c>
      <c r="O142" s="598" t="s">
        <v>359</v>
      </c>
      <c r="P142" s="1006"/>
      <c r="Q142" s="88" t="s">
        <v>124</v>
      </c>
      <c r="R142" s="268" t="s">
        <v>360</v>
      </c>
      <c r="S142" s="88" t="s">
        <v>350</v>
      </c>
      <c r="T142" s="88" t="s">
        <v>351</v>
      </c>
      <c r="U142" s="88" t="s">
        <v>352</v>
      </c>
      <c r="V142" s="88" t="s">
        <v>353</v>
      </c>
      <c r="W142" s="88" t="s">
        <v>354</v>
      </c>
      <c r="X142" s="88" t="s">
        <v>355</v>
      </c>
      <c r="Y142" s="1007"/>
      <c r="Z142" s="251" t="s">
        <v>356</v>
      </c>
      <c r="AA142" s="251" t="s">
        <v>357</v>
      </c>
      <c r="AB142" s="251" t="s">
        <v>358</v>
      </c>
      <c r="AC142" s="598" t="s">
        <v>359</v>
      </c>
      <c r="AD142" s="1006"/>
      <c r="AE142" s="88" t="s">
        <v>124</v>
      </c>
      <c r="AF142" s="268" t="s">
        <v>360</v>
      </c>
      <c r="AG142" s="88"/>
      <c r="AH142" s="88"/>
      <c r="AI142" s="88"/>
      <c r="AJ142" s="88"/>
    </row>
    <row r="143" spans="1:44" s="7" customFormat="1" x14ac:dyDescent="0.35">
      <c r="A143" s="7" t="s">
        <v>125</v>
      </c>
      <c r="B143" s="51"/>
      <c r="C143" s="7" t="s">
        <v>126</v>
      </c>
      <c r="D143" s="51"/>
      <c r="E143" s="36">
        <f t="shared" ref="E143:E149" ca="1" si="57">INDEX(INDIRECT("SSW_WTPCore2_"&amp;$C143&amp;"_Levels"),1,MATCH(E$142,WTPCore2_AttLevels,0))</f>
        <v>1.2500000000000001E-2</v>
      </c>
      <c r="F143" s="36"/>
      <c r="G143" s="36">
        <f t="shared" ref="G143:G149" ca="1" si="58">INDEX(INDIRECT("SSW_WTPCore2_"&amp;$C143&amp;"_Levels"),1,MATCH(G$142,WTPCore2_AttLevels,0))</f>
        <v>8.3333333333333332E-3</v>
      </c>
      <c r="H143" s="89">
        <f t="shared" ref="H143:H149" ca="1" si="59">INDEX(INDIRECT("SSW_WTPCore2_"&amp;$C143&amp;"_LevelValues"),1,MATCH("S1 MEAN",WTPCore2_LevelValues,0))</f>
        <v>0.88929876177631462</v>
      </c>
      <c r="I143" s="89">
        <f t="shared" ref="I143:I149" ca="1" si="60">INDEX(INDIRECT("SSW_WTPCore2_"&amp;$C143&amp;"_LevelValues"),1,MATCH("S2 MEAN",WTPCore2_LevelValues,0))</f>
        <v>0.22437782965097952</v>
      </c>
      <c r="J143" s="10">
        <f ca="1">H143+I143</f>
        <v>1.1136765914272941</v>
      </c>
      <c r="K143" s="147">
        <f ca="1">INDEX(INDIRECT("SSW_WTPCore_DCE_"&amp;$C143&amp;"_MaxDiffUIndex"),MATCH("COMBINED-HH",WTPCore_Group,0),MATCH("MEAN",LMH,0))</f>
        <v>38.337777718834076</v>
      </c>
      <c r="L143" s="429">
        <f t="shared" ref="L143:L159" ca="1" si="61">INDEX(INDIRECT("SSW_WTPCore_DCE_"&amp;$C143&amp;"_UnitValues"),MATCH("COMBINED-HH",WTPCore_Group,0),MATCH("MEAN",LMH,0))</f>
        <v>759.38481661325</v>
      </c>
      <c r="M143" s="429">
        <f ca="1">L143*($E143-$G143)*(AllProps_SSW/HHProps_SSW)</f>
        <v>3.34</v>
      </c>
      <c r="N143" s="89">
        <f ca="1">INDEX(INDIRECT("SSW_WTPCore2_"&amp;$C143&amp;"_UnitValues"),1,MATCH("MEAN",LMH,0))</f>
        <v>253.20631561301954</v>
      </c>
      <c r="O143" s="624">
        <f ca="1">N143*($E143-$G143)*(AllProps_SSW/HHProps_SSW)</f>
        <v>1.1136765914272941</v>
      </c>
      <c r="P143" s="90">
        <f ca="1">(K143*N$161)/K$160</f>
        <v>14.934630548335205</v>
      </c>
      <c r="Q143" s="7" t="s">
        <v>127</v>
      </c>
      <c r="R143" s="271">
        <f t="shared" ref="R143:R148" ca="1" si="62">(P143*HHProps_SSW)/((E143-G143)*AllProps_SSW)</f>
        <v>3395.5484072258</v>
      </c>
      <c r="S143" s="36">
        <f t="shared" ref="S143:S149" ca="1" si="63">INDEX(INDIRECT("CAM_WTPCore2_"&amp;$C143&amp;"_Levels"),1,MATCH(S$142,WTPCore2_AttLevels,0))</f>
        <v>1.2500000000000001E-2</v>
      </c>
      <c r="T143" s="36"/>
      <c r="U143" s="36">
        <f t="shared" ref="U143:U149" ca="1" si="64">INDEX(INDIRECT("CAM_WTPCore2_"&amp;$C143&amp;"_Levels"),1,MATCH(U$142,WTPCore2_AttLevels,0))</f>
        <v>8.3333333333333332E-3</v>
      </c>
      <c r="V143" s="89">
        <f t="shared" ref="V143:V149" ca="1" si="65">INDEX(INDIRECT("CAM_WTPCore2_"&amp;$C143&amp;"_LevelValues"),1,MATCH("S1 MEAN",WTPCore2_LevelValues,0))</f>
        <v>1.0483009561625427</v>
      </c>
      <c r="W143" s="89">
        <f t="shared" ref="W143:W149" ca="1" si="66">INDEX(INDIRECT("CAM_WTPCore2_"&amp;$C143&amp;"_LevelValues"),1,MATCH("S2 MEAN",WTPCore2_LevelValues,0))</f>
        <v>1.4106837870846367</v>
      </c>
      <c r="X143" s="10">
        <f ca="1">V143+W143</f>
        <v>2.4589847432471794</v>
      </c>
      <c r="Y143" s="147">
        <f t="shared" ref="Y143:Y159" ca="1" si="67">INDEX(INDIRECT("CAM_WTPCore_"&amp;$C143&amp;"_MaxDiffUIndex"),MATCH("COMBINED-HH",WTPCore_Group,0),MATCH("MEAN",LMH,0))</f>
        <v>35.009927011282585</v>
      </c>
      <c r="Z143" s="429">
        <f t="shared" ref="Z143:Z159" ca="1" si="68">INDEX(INDIRECT("CAM_WTPCore_"&amp;$C143&amp;"_UnitValues"),MATCH("COMBINED-HH",WTPCore_Group,0),MATCH("MEAN",LMH,0))</f>
        <v>501.11390007890685</v>
      </c>
      <c r="AA143" s="429">
        <f ca="1">Z143*($S143-$U143)*(AllProps_CAM/HHProps_CAM)</f>
        <v>2.2200000000000002</v>
      </c>
      <c r="AB143" s="89">
        <f t="shared" ref="AB143:AB149" ca="1" si="69">INDEX(INDIRECT("CAM_WTPCore2_"&amp;$C143&amp;"_UnitValues"),1,MATCH("MEAN",LMH,0))</f>
        <v>555.0592049203259</v>
      </c>
      <c r="AC143" s="624">
        <f ca="1">AB143*($S143-$U143)*(AllProps_CAM/HHProps_CAM)</f>
        <v>2.4589847432471794</v>
      </c>
      <c r="AD143" s="90">
        <f ca="1">(Y143*AB$211)/Y$160</f>
        <v>15.654427774080775</v>
      </c>
      <c r="AE143" s="7" t="s">
        <v>127</v>
      </c>
      <c r="AF143" s="271">
        <f t="shared" ref="AF143:AF148" ca="1" si="70">(AD143*HHProps_CAM)/((S143-U143)*AllProps_CAM)</f>
        <v>3533.626736654584</v>
      </c>
      <c r="AG143" s="622"/>
      <c r="AH143" s="622"/>
      <c r="AI143" s="622"/>
      <c r="AJ143" s="622"/>
    </row>
    <row r="144" spans="1:44" s="7" customFormat="1" x14ac:dyDescent="0.35">
      <c r="A144" s="200" t="s">
        <v>129</v>
      </c>
      <c r="B144" s="200"/>
      <c r="C144" s="7" t="s">
        <v>130</v>
      </c>
      <c r="D144" s="200"/>
      <c r="E144" s="36">
        <f t="shared" ca="1" si="57"/>
        <v>6.6666666666666666E-2</v>
      </c>
      <c r="F144" s="36"/>
      <c r="G144" s="36">
        <f t="shared" ca="1" si="58"/>
        <v>0.04</v>
      </c>
      <c r="H144" s="89">
        <f t="shared" ca="1" si="59"/>
        <v>3.3679929677046498</v>
      </c>
      <c r="I144" s="89">
        <f t="shared" ca="1" si="60"/>
        <v>0.60669022375558512</v>
      </c>
      <c r="J144" s="10">
        <f t="shared" ref="J144:J159" ca="1" si="71">H144+I144</f>
        <v>3.974683191460235</v>
      </c>
      <c r="K144" s="147">
        <f t="shared" ref="K144:K159" ca="1" si="72">INDEX(INDIRECT("SSW_WTPCore_DCE_"&amp;$C144&amp;"_MaxDiffUIndex"),MATCH("COMBINED-HH",WTPCore_Group,0),MATCH("MEAN",LMH,0))</f>
        <v>3.8771371620975081</v>
      </c>
      <c r="L144" s="429">
        <f t="shared" ca="1" si="61"/>
        <v>28.111247840776404</v>
      </c>
      <c r="M144" s="429">
        <f ca="1">L144*($E144-$G144)*(AllProps_SSW/HHProps_SSW)</f>
        <v>0.79130635838150276</v>
      </c>
      <c r="N144" s="89">
        <f t="shared" ref="N144:N158" ca="1" si="73">INDEX(INDIRECT("SSW_WTPCore2_"&amp;$C144&amp;"_UnitValues"),1,MATCH("MEAN",LMH,0))</f>
        <v>141.20106972505607</v>
      </c>
      <c r="O144" s="624">
        <f ca="1">N144*($E144-$G144)*(AllProps_SSW/HHProps_SSW)</f>
        <v>3.9746831914602345</v>
      </c>
      <c r="P144" s="90">
        <f t="shared" ref="P144:P159" ca="1" si="74">(K144*N$161)/K$160</f>
        <v>1.5103538740770828</v>
      </c>
      <c r="Q144" s="7" t="s">
        <v>127</v>
      </c>
      <c r="R144" s="271">
        <f t="shared" ca="1" si="62"/>
        <v>53.655492126082407</v>
      </c>
      <c r="S144" s="36">
        <f t="shared" ca="1" si="63"/>
        <v>2.2222222222222223E-2</v>
      </c>
      <c r="T144" s="36"/>
      <c r="U144" s="36">
        <f t="shared" ca="1" si="64"/>
        <v>1.5384615384615385E-2</v>
      </c>
      <c r="V144" s="89">
        <f t="shared" ca="1" si="65"/>
        <v>3.1155463151224057</v>
      </c>
      <c r="W144" s="89">
        <f t="shared" ca="1" si="66"/>
        <v>1.3419840000849801</v>
      </c>
      <c r="X144" s="10">
        <f t="shared" ref="X144:X159" ca="1" si="75">V144+W144</f>
        <v>4.4575303152073857</v>
      </c>
      <c r="Y144" s="147">
        <f t="shared" ca="1" si="67"/>
        <v>4.6043643487963033</v>
      </c>
      <c r="Z144" s="429">
        <f t="shared" ca="1" si="68"/>
        <v>308.90334405201918</v>
      </c>
      <c r="AA144" s="429">
        <f ca="1">Z144*($S144-$U144)*(AllProps_CAM/HHProps_CAM)</f>
        <v>2.2457142857142856</v>
      </c>
      <c r="AB144" s="89">
        <f t="shared" ca="1" si="69"/>
        <v>613.1439022942551</v>
      </c>
      <c r="AC144" s="624">
        <f ca="1">AB144*($S144-$U144)*(AllProps_CAM/HHProps_CAM)</f>
        <v>4.4575303152073857</v>
      </c>
      <c r="AD144" s="90">
        <f t="shared" ref="AD144:AD159" ca="1" si="76">(Y144*AB$211)/Y$160</f>
        <v>2.05880718119051</v>
      </c>
      <c r="AE144" s="7" t="s">
        <v>127</v>
      </c>
      <c r="AF144" s="271">
        <f t="shared" ca="1" si="70"/>
        <v>283.19382704811835</v>
      </c>
      <c r="AG144" s="622"/>
      <c r="AH144" s="622"/>
      <c r="AI144" s="622"/>
      <c r="AJ144" s="622"/>
    </row>
    <row r="145" spans="1:36" s="7" customFormat="1" x14ac:dyDescent="0.35">
      <c r="A145" s="200" t="s">
        <v>543</v>
      </c>
      <c r="B145" s="200"/>
      <c r="C145" s="7" t="s">
        <v>132</v>
      </c>
      <c r="D145" s="200"/>
      <c r="E145" s="36">
        <f t="shared" ca="1" si="57"/>
        <v>1.6666666666666666E-2</v>
      </c>
      <c r="F145" s="36"/>
      <c r="G145" s="36">
        <f t="shared" ca="1" si="58"/>
        <v>1.1111111111111112E-2</v>
      </c>
      <c r="H145" s="89">
        <f t="shared" ca="1" si="59"/>
        <v>0.30818609087835352</v>
      </c>
      <c r="I145" s="89">
        <f t="shared" ca="1" si="60"/>
        <v>0.18578205633963885</v>
      </c>
      <c r="J145" s="10">
        <f t="shared" ca="1" si="71"/>
        <v>0.49396814721799237</v>
      </c>
      <c r="K145" s="147">
        <f t="shared" ca="1" si="72"/>
        <v>6.4309454784850333</v>
      </c>
      <c r="L145" s="429">
        <f t="shared" ca="1" si="61"/>
        <v>173.83878023943072</v>
      </c>
      <c r="M145" s="429">
        <f ca="1">L145*(E145-G145)*(AllProps_SSW/HHProps_SSW)</f>
        <v>1.0194594594594593</v>
      </c>
      <c r="N145" s="89">
        <f t="shared" ca="1" si="73"/>
        <v>84.231716516748989</v>
      </c>
      <c r="O145" s="624">
        <f ca="1">N145*(E145-G145)*(AllProps_SSW/HHProps_SSW)</f>
        <v>0.49396814721799237</v>
      </c>
      <c r="P145" s="90">
        <f t="shared" ca="1" si="74"/>
        <v>2.5051998449685211</v>
      </c>
      <c r="Q145" s="7" t="s">
        <v>127</v>
      </c>
      <c r="R145" s="271">
        <f t="shared" ca="1" si="62"/>
        <v>427.18803701743195</v>
      </c>
      <c r="S145" s="36">
        <f t="shared" ca="1" si="63"/>
        <v>1.4285714285714285E-2</v>
      </c>
      <c r="T145" s="36"/>
      <c r="U145" s="36">
        <f t="shared" ca="1" si="64"/>
        <v>0.01</v>
      </c>
      <c r="V145" s="89">
        <f t="shared" ca="1" si="65"/>
        <v>4.7204807663126298E-2</v>
      </c>
      <c r="W145" s="89">
        <f t="shared" ca="1" si="66"/>
        <v>0.1217094578997745</v>
      </c>
      <c r="X145" s="10">
        <f t="shared" ca="1" si="75"/>
        <v>0.16891426556290079</v>
      </c>
      <c r="Y145" s="147">
        <f t="shared" ca="1" si="67"/>
        <v>8.1307714641182258</v>
      </c>
      <c r="Z145" s="429">
        <f t="shared" ca="1" si="68"/>
        <v>207.69569571588755</v>
      </c>
      <c r="AA145" s="429">
        <f ca="1">Z145*($S145-$U145)*(AllProps_CAM/HHProps_CAM)</f>
        <v>0.94640816326530586</v>
      </c>
      <c r="AB145" s="89">
        <f t="shared" ca="1" si="69"/>
        <v>37.069382180075451</v>
      </c>
      <c r="AC145" s="624">
        <f ca="1">AB145*($S145-$U145)*(AllProps_CAM/HHProps_CAM)</f>
        <v>0.16891426556290079</v>
      </c>
      <c r="AD145" s="90">
        <f t="shared" ca="1" si="76"/>
        <v>3.6356138243754872</v>
      </c>
      <c r="AE145" s="7" t="s">
        <v>127</v>
      </c>
      <c r="AF145" s="271">
        <f t="shared" ca="1" si="70"/>
        <v>797.86013256976582</v>
      </c>
      <c r="AG145" s="622"/>
      <c r="AH145" s="622"/>
      <c r="AI145" s="622"/>
      <c r="AJ145" s="622"/>
    </row>
    <row r="146" spans="1:36" s="7" customFormat="1" x14ac:dyDescent="0.35">
      <c r="A146" s="200" t="s">
        <v>133</v>
      </c>
      <c r="B146" s="200"/>
      <c r="C146" s="7" t="s">
        <v>134</v>
      </c>
      <c r="D146" s="200"/>
      <c r="E146" s="36">
        <f t="shared" ca="1" si="57"/>
        <v>0.33333333333333331</v>
      </c>
      <c r="F146" s="36"/>
      <c r="G146" s="36">
        <f t="shared" ca="1" si="58"/>
        <v>0.2</v>
      </c>
      <c r="H146" s="89">
        <f t="shared" ca="1" si="59"/>
        <v>2.1317184182528393</v>
      </c>
      <c r="I146" s="89">
        <f t="shared" ca="1" si="60"/>
        <v>1.3756516158641041</v>
      </c>
      <c r="J146" s="10">
        <f t="shared" ca="1" si="71"/>
        <v>3.5073700341169434</v>
      </c>
      <c r="K146" s="147">
        <f t="shared" ca="1" si="72"/>
        <v>7.6520267510919124</v>
      </c>
      <c r="L146" s="429">
        <f t="shared" ca="1" si="61"/>
        <v>25.634921578785622</v>
      </c>
      <c r="M146" s="429">
        <f ca="1">L146*(E146-G146)*(AllProps_SSW/HHProps_SSW)</f>
        <v>3.6079999999999997</v>
      </c>
      <c r="N146" s="89">
        <f t="shared" ca="1" si="73"/>
        <v>24.919943395889828</v>
      </c>
      <c r="O146" s="624">
        <f ca="1">N146*(E146-G146)*(AllProps_SSW/HHProps_SSW)</f>
        <v>3.5073700341169429</v>
      </c>
      <c r="P146" s="90">
        <f t="shared" ca="1" si="74"/>
        <v>2.9808768080314003</v>
      </c>
      <c r="Q146" s="7" t="s">
        <v>127</v>
      </c>
      <c r="R146" s="271">
        <f t="shared" ca="1" si="62"/>
        <v>21.179197120262128</v>
      </c>
      <c r="S146" s="36">
        <f t="shared" ca="1" si="63"/>
        <v>0.33333333333333331</v>
      </c>
      <c r="T146" s="36"/>
      <c r="U146" s="36">
        <f t="shared" ca="1" si="64"/>
        <v>0.2</v>
      </c>
      <c r="V146" s="89">
        <f t="shared" ca="1" si="65"/>
        <v>0.4252755260698568</v>
      </c>
      <c r="W146" s="89">
        <f t="shared" ca="1" si="66"/>
        <v>0.21698708612330625</v>
      </c>
      <c r="X146" s="10">
        <f t="shared" ca="1" si="75"/>
        <v>0.64226261219316305</v>
      </c>
      <c r="Y146" s="147">
        <f t="shared" ca="1" si="67"/>
        <v>9.336429178153665</v>
      </c>
      <c r="Z146" s="429">
        <f t="shared" ca="1" si="68"/>
        <v>25.25320611321068</v>
      </c>
      <c r="AA146" s="429">
        <f ca="1">Z146*($S146-$U146)*(AllProps_CAM/HHProps_CAM)</f>
        <v>3.5799999999999992</v>
      </c>
      <c r="AB146" s="89">
        <f t="shared" ca="1" si="69"/>
        <v>4.5305000347829747</v>
      </c>
      <c r="AC146" s="624">
        <f ca="1">AB146*($S146-$U146)*(AllProps_CAM/HHProps_CAM)</f>
        <v>0.64226261219316305</v>
      </c>
      <c r="AD146" s="90">
        <f t="shared" ca="1" si="76"/>
        <v>4.1747146799285044</v>
      </c>
      <c r="AE146" s="7" t="s">
        <v>127</v>
      </c>
      <c r="AF146" s="271">
        <f t="shared" ca="1" si="70"/>
        <v>29.448304546391309</v>
      </c>
      <c r="AG146" s="622"/>
      <c r="AH146" s="622"/>
      <c r="AI146" s="622"/>
      <c r="AJ146" s="622"/>
    </row>
    <row r="147" spans="1:36" s="7" customFormat="1" x14ac:dyDescent="0.35">
      <c r="A147" s="200" t="s">
        <v>135</v>
      </c>
      <c r="B147" s="200"/>
      <c r="C147" s="7" t="s">
        <v>136</v>
      </c>
      <c r="D147" s="200"/>
      <c r="E147" s="37">
        <f t="shared" ca="1" si="57"/>
        <v>0</v>
      </c>
      <c r="F147" s="36"/>
      <c r="G147" s="37">
        <f t="shared" ca="1" si="58"/>
        <v>4000</v>
      </c>
      <c r="H147" s="89">
        <f t="shared" ca="1" si="59"/>
        <v>5.2894480160712298</v>
      </c>
      <c r="I147" s="89">
        <f t="shared" ca="1" si="60"/>
        <v>0.60625599239311434</v>
      </c>
      <c r="J147" s="10">
        <f t="shared" ca="1" si="71"/>
        <v>5.8957040084643442</v>
      </c>
      <c r="K147" s="147">
        <f t="shared" ca="1" si="72"/>
        <v>1.8956613671772529</v>
      </c>
      <c r="L147" s="429">
        <f t="shared" ca="1" si="61"/>
        <v>6.1861063528998557</v>
      </c>
      <c r="M147" s="429">
        <f ca="1">-L147*(E147-G147)/HHProps_SSW</f>
        <v>4.5870834613864868E-2</v>
      </c>
      <c r="N147" s="89">
        <f t="shared" ca="1" si="73"/>
        <v>795.09022080349519</v>
      </c>
      <c r="O147" s="624">
        <f ca="1">-N147*(E147-G147)/HHProps_SSW</f>
        <v>5.8957040084643442</v>
      </c>
      <c r="P147" s="90">
        <f t="shared" ca="1" si="74"/>
        <v>0.73846226484943145</v>
      </c>
      <c r="Q147" s="7" t="s">
        <v>127</v>
      </c>
      <c r="R147" s="722">
        <f ca="1">-(P147*HHProps_SSW)/((E147-G147))</f>
        <v>99.588467190895699</v>
      </c>
      <c r="S147" s="37">
        <f t="shared" ca="1" si="63"/>
        <v>0</v>
      </c>
      <c r="T147" s="37"/>
      <c r="U147" s="37">
        <f t="shared" ca="1" si="64"/>
        <v>1350</v>
      </c>
      <c r="V147" s="89">
        <f t="shared" ca="1" si="65"/>
        <v>2.6407734226292283</v>
      </c>
      <c r="W147" s="89">
        <f t="shared" ca="1" si="66"/>
        <v>0.50756688037153719</v>
      </c>
      <c r="X147" s="10">
        <f t="shared" ca="1" si="75"/>
        <v>3.1483403030007655</v>
      </c>
      <c r="Y147" s="147">
        <f t="shared" ca="1" si="67"/>
        <v>3.4261414881284389</v>
      </c>
      <c r="Z147" s="429">
        <f t="shared" ca="1" si="68"/>
        <v>5.6902010050251253</v>
      </c>
      <c r="AA147" s="429">
        <f ca="1">-Z147*(S147-U147)/HHProps_CAM</f>
        <v>5.653266331658291E-2</v>
      </c>
      <c r="AB147" s="89">
        <f t="shared" ca="1" si="69"/>
        <v>316.89094596470369</v>
      </c>
      <c r="AC147" s="624">
        <f ca="1">-AB147*(S147-U147)/HHProps_CAM</f>
        <v>3.1483403030007655</v>
      </c>
      <c r="AD147" s="90">
        <f t="shared" ca="1" si="76"/>
        <v>1.5319736157234389</v>
      </c>
      <c r="AE147" s="7" t="s">
        <v>127</v>
      </c>
      <c r="AF147" s="271">
        <f ca="1">-(AD147*HHProps_CAM)/((S147-U147))</f>
        <v>154.19825100128321</v>
      </c>
      <c r="AG147" s="623"/>
      <c r="AH147" s="623"/>
      <c r="AI147" s="623"/>
      <c r="AJ147" s="623"/>
    </row>
    <row r="148" spans="1:36" s="7" customFormat="1" x14ac:dyDescent="0.35">
      <c r="A148" s="200" t="s">
        <v>137</v>
      </c>
      <c r="B148" s="200"/>
      <c r="C148" s="7" t="s">
        <v>138</v>
      </c>
      <c r="D148" s="200"/>
      <c r="E148" s="36">
        <f t="shared" ca="1" si="57"/>
        <v>1.4285714285714285E-2</v>
      </c>
      <c r="F148" s="36"/>
      <c r="G148" s="36">
        <f t="shared" ca="1" si="58"/>
        <v>9.5238095238095247E-3</v>
      </c>
      <c r="H148" s="89">
        <f t="shared" ca="1" si="59"/>
        <v>0.39718669024665654</v>
      </c>
      <c r="I148" s="89">
        <f t="shared" ca="1" si="60"/>
        <v>0.53859352958370721</v>
      </c>
      <c r="J148" s="10">
        <f t="shared" ca="1" si="71"/>
        <v>0.93578021983036375</v>
      </c>
      <c r="K148" s="147">
        <f t="shared" ca="1" si="72"/>
        <v>7.7979415900630844</v>
      </c>
      <c r="L148" s="429">
        <f t="shared" ca="1" si="61"/>
        <v>162.10819588181059</v>
      </c>
      <c r="M148" s="429">
        <f ca="1">L148*($E148-$G148)*(AllProps_SSW/HHProps_SSW)</f>
        <v>0.8148571428571425</v>
      </c>
      <c r="N148" s="89">
        <f t="shared" ca="1" si="73"/>
        <v>186.16470937063306</v>
      </c>
      <c r="O148" s="624">
        <f ca="1">N148*($E148-$G148)*(AllProps_SSW/HHProps_SSW)</f>
        <v>0.93578021983036375</v>
      </c>
      <c r="P148" s="90">
        <f t="shared" ca="1" si="74"/>
        <v>3.0377185015572024</v>
      </c>
      <c r="Q148" s="7" t="s">
        <v>127</v>
      </c>
      <c r="R148" s="271">
        <f t="shared" ca="1" si="62"/>
        <v>604.3256418635425</v>
      </c>
      <c r="S148" s="36">
        <f t="shared" ca="1" si="63"/>
        <v>2.5000000000000001E-2</v>
      </c>
      <c r="T148" s="36"/>
      <c r="U148" s="36">
        <f t="shared" ca="1" si="64"/>
        <v>1.6666666666666666E-2</v>
      </c>
      <c r="V148" s="89">
        <f t="shared" ca="1" si="65"/>
        <v>5.3490671066612649E-2</v>
      </c>
      <c r="W148" s="89">
        <f t="shared" ca="1" si="66"/>
        <v>0.33457681646237136</v>
      </c>
      <c r="X148" s="10">
        <f t="shared" ca="1" si="75"/>
        <v>0.38806748752898401</v>
      </c>
      <c r="Y148" s="147">
        <f t="shared" ca="1" si="67"/>
        <v>6.7700319694207094</v>
      </c>
      <c r="Z148" s="429">
        <f t="shared" ca="1" si="68"/>
        <v>28.26566546881222</v>
      </c>
      <c r="AA148" s="429">
        <f ca="1">Z148*($S148-$U148)*(AllProps_CAM/HHProps_CAM)</f>
        <v>0.25044117647058828</v>
      </c>
      <c r="AB148" s="89">
        <f t="shared" ca="1" si="69"/>
        <v>43.79865138952065</v>
      </c>
      <c r="AC148" s="624">
        <f ca="1">AB148*($S148-$U148)*(AllProps_CAM/HHProps_CAM)</f>
        <v>0.3880674875289839</v>
      </c>
      <c r="AD148" s="90">
        <f t="shared" ca="1" si="76"/>
        <v>3.0271693071328034</v>
      </c>
      <c r="AE148" s="7" t="s">
        <v>127</v>
      </c>
      <c r="AF148" s="271">
        <f t="shared" ca="1" si="70"/>
        <v>341.6568958775859</v>
      </c>
      <c r="AG148" s="622"/>
      <c r="AH148" s="622"/>
      <c r="AI148" s="622"/>
      <c r="AJ148" s="622"/>
    </row>
    <row r="149" spans="1:36" s="7" customFormat="1" x14ac:dyDescent="0.35">
      <c r="A149" s="200" t="s">
        <v>143</v>
      </c>
      <c r="B149" s="200"/>
      <c r="C149" s="7" t="s">
        <v>144</v>
      </c>
      <c r="D149" s="200"/>
      <c r="E149" s="36">
        <f t="shared" ca="1" si="57"/>
        <v>2.5000000000000001E-2</v>
      </c>
      <c r="F149" s="36"/>
      <c r="G149" s="36">
        <f t="shared" ca="1" si="58"/>
        <v>1.5384615384615385E-2</v>
      </c>
      <c r="H149" s="89">
        <f t="shared" ca="1" si="59"/>
        <v>0.4084226191643695</v>
      </c>
      <c r="I149" s="89">
        <f t="shared" ca="1" si="60"/>
        <v>0.28250000903457151</v>
      </c>
      <c r="J149" s="10">
        <f t="shared" ca="1" si="71"/>
        <v>0.69092262819894101</v>
      </c>
      <c r="K149" s="147">
        <f t="shared" ca="1" si="72"/>
        <v>1.6227297255644868</v>
      </c>
      <c r="L149" s="429">
        <f t="shared" ca="1" si="61"/>
        <v>245983.27199999994</v>
      </c>
      <c r="M149" s="429">
        <f ca="1">L149*(E149-G149)/HHProps_SSW*100</f>
        <v>0.43846153846153846</v>
      </c>
      <c r="N149" s="89">
        <f t="shared" ca="1" si="73"/>
        <v>387617.59897926223</v>
      </c>
      <c r="O149" s="624">
        <f ca="1">N149*(E149-G149)/HHProps_SSW*100</f>
        <v>0.69092262819894101</v>
      </c>
      <c r="P149" s="90">
        <f t="shared" ca="1" si="74"/>
        <v>0.63214068141464563</v>
      </c>
      <c r="Q149" s="7" t="s">
        <v>145</v>
      </c>
      <c r="R149" s="271">
        <f ca="1">(P149*HHProps_SSW)/((E149-G149)*100)</f>
        <v>354640.07567068306</v>
      </c>
      <c r="S149" s="36">
        <f t="shared" ca="1" si="63"/>
        <v>0.05</v>
      </c>
      <c r="T149" s="36"/>
      <c r="U149" s="36">
        <f t="shared" ca="1" si="64"/>
        <v>3.3333333333333333E-2</v>
      </c>
      <c r="V149" s="89">
        <f t="shared" ca="1" si="65"/>
        <v>0.15591350717379643</v>
      </c>
      <c r="W149" s="89">
        <f t="shared" ca="1" si="66"/>
        <v>5.0130987785217407E-2</v>
      </c>
      <c r="X149" s="10">
        <f t="shared" ca="1" si="75"/>
        <v>0.20604449495901384</v>
      </c>
      <c r="Y149" s="147">
        <f t="shared" ca="1" si="67"/>
        <v>1.7761304539433538</v>
      </c>
      <c r="Z149" s="429">
        <f t="shared" ca="1" si="68"/>
        <v>469608.19199999986</v>
      </c>
      <c r="AA149" s="429">
        <f ca="1">Z149*(S149-U149)/HHProps_CAM*100</f>
        <v>5.76</v>
      </c>
      <c r="AB149" s="89">
        <f t="shared" ca="1" si="69"/>
        <v>16798.64283841243</v>
      </c>
      <c r="AC149" s="624">
        <f ca="1">AB149*(S149-U149)/HHProps_CAM*100</f>
        <v>0.20604449495901386</v>
      </c>
      <c r="AD149" s="90">
        <f t="shared" ca="1" si="76"/>
        <v>0.79418348686191453</v>
      </c>
      <c r="AE149" s="7" t="s">
        <v>145</v>
      </c>
      <c r="AF149" s="271">
        <f ca="1">(AD149*HHProps_CAM)/((S149-U149)*100)</f>
        <v>64749.144337062389</v>
      </c>
      <c r="AG149" s="622"/>
      <c r="AH149" s="622"/>
      <c r="AI149" s="622"/>
      <c r="AJ149" s="622"/>
    </row>
    <row r="150" spans="1:36" s="7" customFormat="1" x14ac:dyDescent="0.35">
      <c r="A150" s="200" t="s">
        <v>146</v>
      </c>
      <c r="B150" s="200"/>
      <c r="C150" s="5" t="s">
        <v>147</v>
      </c>
      <c r="D150" s="200"/>
      <c r="E150" s="36">
        <f ca="1">INDEX(INDIRECT("SSW_WTPCore_DCE_"&amp;$C150&amp;"_Levels"),MATCH("COMBINED-HH",WTPCore_Group,0),MATCH(E$142,WTPCore_AttLevels,0))</f>
        <v>1.2500000000000001E-2</v>
      </c>
      <c r="F150" s="36"/>
      <c r="G150" s="36">
        <v>8.3000000000000001E-3</v>
      </c>
      <c r="H150" s="89">
        <f ca="1">INDEX(INDIRECT("SSW_WTPCore_DCE_"&amp;$C150&amp;"_LevelValues"),MATCH("COMBINED-HH",WTPCore_Group,0),MATCH("S1 MEAN",WTPCore_LevelValues,0))</f>
        <v>7.0000000000000007E-2</v>
      </c>
      <c r="I150" s="89">
        <f t="shared" ref="I150:I159" ca="1" si="77">INDEX(INDIRECT("SSW_WTPCore_DCE_"&amp;$C150&amp;"_LevelValues"),MATCH("COMBINED-HH",WTPCore_Group,0),MATCH("S2 MEAN",WTPCore_LevelValues,0))</f>
        <v>0.56999999999999995</v>
      </c>
      <c r="J150" s="10">
        <f ca="1">H150</f>
        <v>7.0000000000000007E-2</v>
      </c>
      <c r="K150" s="147">
        <f t="shared" ca="1" si="72"/>
        <v>1.9297006560271037</v>
      </c>
      <c r="L150" s="429">
        <f t="shared" ca="1" si="61"/>
        <v>90625.415999999997</v>
      </c>
      <c r="M150" s="89">
        <f ca="1">L150*(E150-G150)/HHProps_SSW*100</f>
        <v>7.0560000000000012E-2</v>
      </c>
      <c r="N150" s="89">
        <f ca="1">L150</f>
        <v>90625.415999999997</v>
      </c>
      <c r="O150" s="625">
        <f ca="1">(N150*(E150-G150)*100)/HHProps_SSW</f>
        <v>7.0560000000000012E-2</v>
      </c>
      <c r="P150" s="90">
        <f t="shared" ca="1" si="74"/>
        <v>0.7517224023260709</v>
      </c>
      <c r="Q150" s="7" t="s">
        <v>145</v>
      </c>
      <c r="R150" s="271">
        <f ca="1">(P150*HHProps_SSW)/((E150-G150)*100)</f>
        <v>965492.56557992543</v>
      </c>
      <c r="S150" s="36">
        <f t="shared" ref="S150" ca="1" si="78">INDEX(INDIRECT("CAM_WTPCore_"&amp;$C150&amp;"_Levels"),MATCH("COMBINED-HH",WTPCore_Group,0),MATCH(S$142,WTPCore_AttLevels,0))</f>
        <v>1.2500000000000001E-2</v>
      </c>
      <c r="T150" s="36"/>
      <c r="U150" s="36">
        <v>8.3000000000000001E-3</v>
      </c>
      <c r="V150" s="89">
        <f ca="1">INDEX(INDIRECT("CAM_WTPCore_"&amp;$C150&amp;"_LevelValues"),MATCH("COMBINED-HH",WTPCore_Group,0),MATCH("S1 MEAN",WTPCore_LevelValues,0))</f>
        <v>1.5029903774694477</v>
      </c>
      <c r="W150" s="89">
        <f t="shared" ref="W150:W159" ca="1" si="79">INDEX(INDIRECT("CAM_WTPCore_"&amp;$C150&amp;"_LevelValues"),MATCH("COMBINED-HH",WTPCore_Group,0),MATCH("S2 MEAN",WTPCore_LevelValues,0))</f>
        <v>0.31632762130063785</v>
      </c>
      <c r="X150" s="10">
        <f ca="1">V150</f>
        <v>1.5029903774694477</v>
      </c>
      <c r="Y150" s="147">
        <f t="shared" ca="1" si="67"/>
        <v>1.7383167242816295</v>
      </c>
      <c r="Z150" s="429">
        <f t="shared" ca="1" si="68"/>
        <v>490150.41233112832</v>
      </c>
      <c r="AA150" s="89">
        <f ca="1">Z150*(S150-U150)/HHProps_CAM*100</f>
        <v>1.5150143004892032</v>
      </c>
      <c r="AB150" s="89">
        <f ca="1">Z150</f>
        <v>490150.41233112832</v>
      </c>
      <c r="AC150" s="625">
        <f ca="1">(AB150*(S150-U150)*100)/HHProps_CAM</f>
        <v>1.5150143004892034</v>
      </c>
      <c r="AD150" s="90">
        <f t="shared" ca="1" si="76"/>
        <v>0.77727535964224592</v>
      </c>
      <c r="AE150" s="7" t="s">
        <v>145</v>
      </c>
      <c r="AF150" s="271">
        <f ca="1">(AD150*HHProps_CAM)/((S150-U150)*100)</f>
        <v>251470.78671168489</v>
      </c>
      <c r="AG150" s="622"/>
      <c r="AH150" s="622"/>
      <c r="AI150" s="622"/>
      <c r="AJ150" s="622"/>
    </row>
    <row r="151" spans="1:36" s="7" customFormat="1" x14ac:dyDescent="0.35">
      <c r="A151" s="200" t="s">
        <v>139</v>
      </c>
      <c r="B151" s="200"/>
      <c r="C151" s="7" t="s">
        <v>140</v>
      </c>
      <c r="D151" s="200"/>
      <c r="E151" s="36">
        <f ca="1">INDEX(INDIRECT("SSW_WTPCore2_"&amp;$C151&amp;"_Levels"),1,MATCH(E$142,WTPCore2_AttLevels,0))</f>
        <v>0.1</v>
      </c>
      <c r="F151" s="36"/>
      <c r="G151" s="36">
        <f ca="1">INDEX(INDIRECT("SSW_WTPCore2_"&amp;$C151&amp;"_Levels"),1,MATCH(G$142,WTPCore2_AttLevels,0))</f>
        <v>6.6666666666666666E-2</v>
      </c>
      <c r="H151" s="89">
        <f ca="1">INDEX(INDIRECT("SSW_WTPCore2_"&amp;$C151&amp;"_LevelValues"),1,MATCH("S1 MEAN",WTPCore2_LevelValues,0))</f>
        <v>0.78010561855806027</v>
      </c>
      <c r="I151" s="89">
        <f ca="1">INDEX(INDIRECT("SSW_WTPCore2_"&amp;$C151&amp;"_LevelValues"),1,MATCH("S2 MEAN",WTPCore2_LevelValues,0))</f>
        <v>0.37050953266002729</v>
      </c>
      <c r="J151" s="10">
        <f t="shared" ca="1" si="71"/>
        <v>1.1506151512180876</v>
      </c>
      <c r="K151" s="147">
        <f t="shared" ca="1" si="72"/>
        <v>1.5676774867699259</v>
      </c>
      <c r="L151" s="429">
        <f t="shared" ca="1" si="61"/>
        <v>41.08733075345431</v>
      </c>
      <c r="M151" s="429">
        <f ca="1">L151*(E151-G151)*(AllProps_SSW/HHProps_SSW)</f>
        <v>1.4457142857142862</v>
      </c>
      <c r="N151" s="89">
        <f t="shared" ca="1" si="73"/>
        <v>32.700586661683175</v>
      </c>
      <c r="O151" s="624">
        <f ca="1">N151*(E151-G151)*(AllProps_SSW/HHProps_SSW)</f>
        <v>1.1506151512180876</v>
      </c>
      <c r="P151" s="90">
        <f t="shared" ca="1" si="74"/>
        <v>0.61069486748966206</v>
      </c>
      <c r="Q151" s="7" t="s">
        <v>127</v>
      </c>
      <c r="R151" s="271">
        <f ca="1">(P151*HHProps_SSW)/((E151-G151)*AllProps_SSW)</f>
        <v>17.356003366590198</v>
      </c>
      <c r="S151" s="36">
        <f ca="1">INDEX(INDIRECT("CAM_WTPCore2_"&amp;$C151&amp;"_Levels"),1,MATCH(S$142,WTPCore2_AttLevels,0))</f>
        <v>9.0909090909090912E-2</v>
      </c>
      <c r="T151" s="36"/>
      <c r="U151" s="36">
        <f ca="1">INDEX(INDIRECT("CAM_WTPCore2_"&amp;$C151&amp;"_Levels"),1,MATCH(U$142,WTPCore2_AttLevels,0))</f>
        <v>6.6666666666666666E-2</v>
      </c>
      <c r="V151" s="89">
        <f ca="1">INDEX(INDIRECT("CAM_WTPCore2_"&amp;$C151&amp;"_LevelValues"),1,MATCH("S1 MEAN",WTPCore2_LevelValues,0))</f>
        <v>2.1416418362159599</v>
      </c>
      <c r="W151" s="89">
        <f ca="1">INDEX(INDIRECT("CAM_WTPCore2_"&amp;$C151&amp;"_LevelValues"),1,MATCH("S2 MEAN",WTPCore2_LevelValues,0))</f>
        <v>0.84070533256091329</v>
      </c>
      <c r="X151" s="10">
        <f t="shared" ca="1" si="75"/>
        <v>2.9823471687768732</v>
      </c>
      <c r="Y151" s="147">
        <f t="shared" ca="1" si="67"/>
        <v>1.5689314706712434</v>
      </c>
      <c r="Z151" s="429">
        <f t="shared" ca="1" si="68"/>
        <v>18.582387891224172</v>
      </c>
      <c r="AA151" s="429">
        <f ca="1">Z151*(S151-U151)*(AllProps_CAM/HHProps_CAM)</f>
        <v>0.47896671634376553</v>
      </c>
      <c r="AB151" s="89">
        <f ca="1">INDEX(INDIRECT("CAM_WTPCore2_"&amp;$C151&amp;"_UnitValues"),1,MATCH("MEAN",LMH,0))</f>
        <v>115.70560129846363</v>
      </c>
      <c r="AC151" s="624">
        <f ca="1">AB151*(S151-U151)*(AllProps_CAM/HHProps_CAM)</f>
        <v>2.9823471687768732</v>
      </c>
      <c r="AD151" s="90">
        <f t="shared" ca="1" si="76"/>
        <v>0.7015360066929065</v>
      </c>
      <c r="AE151" s="7" t="s">
        <v>127</v>
      </c>
      <c r="AF151" s="271">
        <f ca="1">(AD151*HHProps_CAM)/((S151-U151)*AllProps_CAM)</f>
        <v>27.217369706899699</v>
      </c>
      <c r="AG151" s="622"/>
      <c r="AH151" s="622"/>
      <c r="AI151" s="622"/>
      <c r="AJ151" s="622"/>
    </row>
    <row r="152" spans="1:36" s="7" customFormat="1" x14ac:dyDescent="0.35">
      <c r="A152" s="200" t="s">
        <v>141</v>
      </c>
      <c r="B152" s="200"/>
      <c r="C152" s="7" t="s">
        <v>142</v>
      </c>
      <c r="D152" s="200"/>
      <c r="E152" s="36">
        <f ca="1">INDEX(INDIRECT("SSW_WTPCore2_"&amp;$C152&amp;"_Levels"),1,MATCH(E$142,WTPCore2_AttLevels,0))</f>
        <v>1.2500000000000001E-2</v>
      </c>
      <c r="F152" s="36"/>
      <c r="G152" s="36">
        <f ca="1">INDEX(INDIRECT("SSW_WTPCore2_"&amp;$C152&amp;"_Levels"),1,MATCH(G$142,WTPCore2_AttLevels,0))</f>
        <v>8.3333333333333332E-3</v>
      </c>
      <c r="H152" s="89">
        <f ca="1">INDEX(INDIRECT("SSW_WTPCore2_"&amp;$C152&amp;"_LevelValues"),1,MATCH("S1 MEAN",WTPCore2_LevelValues,0))</f>
        <v>1.4255548334023851</v>
      </c>
      <c r="I152" s="89">
        <f ca="1">INDEX(INDIRECT("SSW_WTPCore2_"&amp;$C152&amp;"_LevelValues"),1,MATCH("S2 MEAN",WTPCore2_LevelValues,0))</f>
        <v>0.20311814361894776</v>
      </c>
      <c r="J152" s="10">
        <f t="shared" ca="1" si="71"/>
        <v>1.6286729770213328</v>
      </c>
      <c r="K152" s="147">
        <f t="shared" ca="1" si="72"/>
        <v>5.586500997134884</v>
      </c>
      <c r="L152" s="429">
        <f t="shared" ca="1" si="61"/>
        <v>479.73112666286153</v>
      </c>
      <c r="M152" s="429">
        <f ca="1">L152*(E152-G152)*(AllProps_SSW/HHProps_SSW)</f>
        <v>2.11</v>
      </c>
      <c r="N152" s="89">
        <f t="shared" ca="1" si="73"/>
        <v>370.29626646056914</v>
      </c>
      <c r="O152" s="624">
        <f ca="1">N152*(E152-G152)*(AllProps_SSW/HHProps_SSW)</f>
        <v>1.6286729770213328</v>
      </c>
      <c r="P152" s="90">
        <f t="shared" ca="1" si="74"/>
        <v>2.1762432100786113</v>
      </c>
      <c r="Q152" s="7" t="s">
        <v>127</v>
      </c>
      <c r="R152" s="271">
        <f ca="1">(P152*HHProps_SSW)/((E152-G152)*AllProps_SSW)</f>
        <v>494.79223083574158</v>
      </c>
      <c r="S152" s="36">
        <f ca="1">INDEX(INDIRECT("CAM_WTPCore2_"&amp;$C152&amp;"_Levels"),1,MATCH(S$142,WTPCore2_AttLevels,0))</f>
        <v>1.2500000000000001E-2</v>
      </c>
      <c r="T152" s="36"/>
      <c r="U152" s="36">
        <f ca="1">INDEX(INDIRECT("CAM_WTPCore2_"&amp;$C152&amp;"_Levels"),1,MATCH(U$142,WTPCore2_AttLevels,0))</f>
        <v>8.3333333333333332E-3</v>
      </c>
      <c r="V152" s="89">
        <f ca="1">INDEX(INDIRECT("CAM_WTPCore2_"&amp;$C152&amp;"_LevelValues"),1,MATCH("S1 MEAN",WTPCore2_LevelValues,0))</f>
        <v>1.309191820402853</v>
      </c>
      <c r="W152" s="89">
        <f ca="1">INDEX(INDIRECT("CAM_WTPCore2_"&amp;$C152&amp;"_LevelValues"),1,MATCH("S2 MEAN",WTPCore2_LevelValues,0))</f>
        <v>0.52259303136744828</v>
      </c>
      <c r="X152" s="10">
        <f t="shared" ca="1" si="75"/>
        <v>1.8317848517703013</v>
      </c>
      <c r="Y152" s="147">
        <f t="shared" ca="1" si="67"/>
        <v>4.1874246294843038</v>
      </c>
      <c r="Z152" s="429">
        <f t="shared" ca="1" si="68"/>
        <v>620.7492005481954</v>
      </c>
      <c r="AA152" s="429">
        <f ca="1">Z152*(S152-U152)*(AllProps_CAM/HHProps_CAM)</f>
        <v>2.75</v>
      </c>
      <c r="AB152" s="89">
        <f ca="1">INDEX(INDIRECT("CAM_WTPCore2_"&amp;$C152&amp;"_UnitValues"),1,MATCH("MEAN",LMH,0))</f>
        <v>413.48326629553054</v>
      </c>
      <c r="AC152" s="624">
        <f ca="1">AB152*(S152-U152)*(AllProps_CAM/HHProps_CAM)</f>
        <v>1.831784851770301</v>
      </c>
      <c r="AD152" s="90">
        <f t="shared" ca="1" si="76"/>
        <v>1.8723756950576831</v>
      </c>
      <c r="AE152" s="7" t="s">
        <v>127</v>
      </c>
      <c r="AF152" s="271">
        <f ca="1">(AD152*HHProps_CAM)/((S152-U152)*AllProps_CAM)</f>
        <v>422.6457148483376</v>
      </c>
      <c r="AG152" s="622"/>
      <c r="AH152" s="622"/>
      <c r="AI152" s="622"/>
      <c r="AJ152" s="622"/>
    </row>
    <row r="153" spans="1:36" s="7" customFormat="1" x14ac:dyDescent="0.35">
      <c r="A153" s="200" t="s">
        <v>544</v>
      </c>
      <c r="B153" s="200"/>
      <c r="C153" s="7" t="s">
        <v>40</v>
      </c>
      <c r="D153" s="200"/>
      <c r="E153" s="147">
        <f ca="1">INDEX(INDIRECT("SSW_WTPCore2_"&amp;$C153&amp;"_Levels"),1,MATCH(E$142,WTPCore2_AttLevels,0))</f>
        <v>70.5</v>
      </c>
      <c r="F153" s="190"/>
      <c r="G153" s="147">
        <f ca="1">INDEX(INDIRECT("SSW_WTPCore2_"&amp;$C153&amp;"_Levels"),1,MATCH(G$142,WTPCore2_AttLevels,0))</f>
        <v>35.25</v>
      </c>
      <c r="H153" s="89">
        <f ca="1">INDEX(INDIRECT("SSW_WTPCore2_"&amp;$C153&amp;"_LevelValues"),1,MATCH("S1 MEAN",WTPCore2_LevelValues,0))</f>
        <v>1.2301339708448666</v>
      </c>
      <c r="I153" s="89">
        <f ca="1">INDEX(INDIRECT("SSW_WTPCore2_"&amp;$C153&amp;"_LevelValues"),1,MATCH("S2 MEAN",WTPCore2_LevelValues,0))</f>
        <v>0.44133293088857806</v>
      </c>
      <c r="J153" s="10">
        <f t="shared" ca="1" si="71"/>
        <v>1.6714669017334447</v>
      </c>
      <c r="K153" s="147">
        <f t="shared" ca="1" si="72"/>
        <v>4.9557034454909141</v>
      </c>
      <c r="L153" s="429">
        <f t="shared" ca="1" si="61"/>
        <v>30606.35460992908</v>
      </c>
      <c r="M153" s="429">
        <f ca="1">L153*(E153-$G153)/HHProps_SSW</f>
        <v>2</v>
      </c>
      <c r="N153" s="89">
        <f t="shared" ca="1" si="73"/>
        <v>25578.754356606645</v>
      </c>
      <c r="O153" s="624">
        <f ca="1">N153*(E153-$G153)/HHProps_SSW</f>
        <v>1.6714669017334447</v>
      </c>
      <c r="P153" s="90">
        <f t="shared" ca="1" si="74"/>
        <v>1.9305135683219112</v>
      </c>
      <c r="Q153" s="7" t="s">
        <v>148</v>
      </c>
      <c r="R153" s="271">
        <f ca="1">(P153*HHProps_SSW)/((E153-G153))</f>
        <v>29542.991425669981</v>
      </c>
      <c r="S153" s="147">
        <f ca="1">INDEX(INDIRECT("CAM_WTPCore2_"&amp;$C153&amp;"_Levels"),1,MATCH(S$142,WTPCore2_AttLevels,0))</f>
        <v>13.5</v>
      </c>
      <c r="T153" s="147"/>
      <c r="U153" s="147">
        <f ca="1">INDEX(INDIRECT("CAM_WTPCore2_"&amp;$C153&amp;"_Levels"),1,MATCH(U$142,WTPCore2_AttLevels,0))</f>
        <v>6.75</v>
      </c>
      <c r="V153" s="89">
        <f ca="1">INDEX(INDIRECT("CAM_WTPCore2_"&amp;$C153&amp;"_LevelValues"),1,MATCH("S1 MEAN",WTPCore2_LevelValues,0))</f>
        <v>3.1349723048319831</v>
      </c>
      <c r="W153" s="89">
        <f ca="1">INDEX(INDIRECT("CAM_WTPCore2_"&amp;$C153&amp;"_LevelValues"),1,MATCH("S2 MEAN",WTPCore2_LevelValues,0))</f>
        <v>5.1405797633106154E-3</v>
      </c>
      <c r="X153" s="10">
        <f t="shared" ca="1" si="75"/>
        <v>3.1401128845952937</v>
      </c>
      <c r="Y153" s="147">
        <f t="shared" ca="1" si="67"/>
        <v>4.7602601012312515</v>
      </c>
      <c r="Z153" s="429">
        <f t="shared" ca="1" si="68"/>
        <v>145343.41333333333</v>
      </c>
      <c r="AA153" s="429">
        <f ca="1">Z153*(S153-$U153)/HHProps_CAM</f>
        <v>7.2200000000000006</v>
      </c>
      <c r="AB153" s="89">
        <f ca="1">INDEX(INDIRECT("CAM_WTPCore2_"&amp;$C153&amp;"_UnitValues"),1,MATCH("MEAN",LMH,0))</f>
        <v>63212.565775492993</v>
      </c>
      <c r="AC153" s="624">
        <f ca="1">AB153*(S153-$U153)/HHProps_CAM</f>
        <v>3.1401128845952937</v>
      </c>
      <c r="AD153" s="90">
        <f t="shared" ca="1" si="76"/>
        <v>2.1285148042881641</v>
      </c>
      <c r="AE153" s="7" t="s">
        <v>148</v>
      </c>
      <c r="AF153" s="271">
        <f ca="1">(AD153*HHProps_CAM)/((S153-U153))</f>
        <v>42848.422020190264</v>
      </c>
      <c r="AG153" s="622"/>
      <c r="AH153" s="622"/>
      <c r="AI153" s="622"/>
      <c r="AJ153" s="622"/>
    </row>
    <row r="154" spans="1:36" s="7" customFormat="1" x14ac:dyDescent="0.35">
      <c r="A154" s="200" t="s">
        <v>455</v>
      </c>
      <c r="B154" s="200"/>
      <c r="C154" s="23" t="s">
        <v>149</v>
      </c>
      <c r="D154" s="200"/>
      <c r="E154" s="91">
        <f ca="1">INDEX(INDIRECT("SSW_WTPCore2_"&amp;$C154&amp;"_Levels"),1,MATCH(E$142,WTPCore2_AttLevels,0))</f>
        <v>0.33</v>
      </c>
      <c r="F154" s="36"/>
      <c r="G154" s="91">
        <f ca="1">INDEX(INDIRECT("SSW_WTPCore2_"&amp;$C154&amp;"_Levels"),1,MATCH(G$142,WTPCore2_AttLevels,0))</f>
        <v>0.5</v>
      </c>
      <c r="H154" s="89">
        <f ca="1">INDEX(INDIRECT("SSW_WTPCore2_"&amp;$C154&amp;"_LevelValues"),1,MATCH("S1 MEAN",WTPCore2_LevelValues,0))</f>
        <v>3.9796847923577343</v>
      </c>
      <c r="I154" s="89">
        <f ca="1">INDEX(INDIRECT("SSW_WTPCore2_"&amp;$C154&amp;"_LevelValues"),1,MATCH("S2 MEAN",WTPCore2_LevelValues,0))</f>
        <v>0.52424962900217631</v>
      </c>
      <c r="J154" s="10">
        <f t="shared" ca="1" si="71"/>
        <v>4.5039344213599106</v>
      </c>
      <c r="K154" s="147">
        <f t="shared" ca="1" si="72"/>
        <v>1.3263060759342595</v>
      </c>
      <c r="L154" s="429">
        <f t="shared" ca="1" si="61"/>
        <v>1.7719298245614032</v>
      </c>
      <c r="M154" s="89">
        <f ca="1">-L154*($E154-$G154)</f>
        <v>0.30122807017543851</v>
      </c>
      <c r="N154" s="89">
        <f t="shared" ca="1" si="73"/>
        <v>26.493731890352418</v>
      </c>
      <c r="O154" s="625">
        <f ca="1">-N154*($E154-$G154)</f>
        <v>4.5039344213599106</v>
      </c>
      <c r="P154" s="90">
        <f t="shared" ca="1" si="74"/>
        <v>0.51666769480901409</v>
      </c>
      <c r="Q154" s="7" t="s">
        <v>150</v>
      </c>
      <c r="R154" s="272">
        <f ca="1">-P154/(E154-G154)</f>
        <v>3.0392217341706713</v>
      </c>
      <c r="S154" s="91">
        <f ca="1">INDEX(INDIRECT("CAM_WTPCore2_"&amp;$C154&amp;"_Levels"),1,MATCH(S$142,WTPCore2_AttLevels,0))</f>
        <v>0.7</v>
      </c>
      <c r="T154" s="91"/>
      <c r="U154" s="91">
        <f ca="1">INDEX(INDIRECT("CAM_WTPCore2_"&amp;$C154&amp;"_Levels"),1,MATCH(U$142,WTPCore2_AttLevels,0))</f>
        <v>0.95</v>
      </c>
      <c r="V154" s="89">
        <f ca="1">INDEX(INDIRECT("CAM_WTPCore2_"&amp;$C154&amp;"_LevelValues"),1,MATCH("S1 MEAN",WTPCore2_LevelValues,0))</f>
        <v>1.4360208416640492</v>
      </c>
      <c r="W154" s="89">
        <f ca="1">INDEX(INDIRECT("CAM_WTPCore2_"&amp;$C154&amp;"_LevelValues"),1,MATCH("S2 MEAN",WTPCore2_LevelValues,0))</f>
        <v>0.918140410423955</v>
      </c>
      <c r="X154" s="10">
        <f t="shared" ca="1" si="75"/>
        <v>2.3541612520880042</v>
      </c>
      <c r="Y154" s="147">
        <f t="shared" ca="1" si="67"/>
        <v>1.2129911841352059</v>
      </c>
      <c r="Z154" s="429">
        <f t="shared" ca="1" si="68"/>
        <v>8.64</v>
      </c>
      <c r="AA154" s="89">
        <f ca="1">-Z154*($S154-$U154)</f>
        <v>2.16</v>
      </c>
      <c r="AB154" s="89">
        <f ca="1">INDEX(INDIRECT("CAM_WTPCore2_"&amp;$C154&amp;"_UnitValues"),1,MATCH("MEAN",LMH,0))</f>
        <v>9.4166450083520168</v>
      </c>
      <c r="AC154" s="625">
        <f ca="1">-AB154*($S154-$U154)</f>
        <v>2.3541612520880042</v>
      </c>
      <c r="AD154" s="90">
        <f t="shared" ca="1" si="76"/>
        <v>0.542379962018254</v>
      </c>
      <c r="AE154" s="7" t="s">
        <v>150</v>
      </c>
      <c r="AF154" s="272">
        <f ca="1">-AD154/(S154-U154)</f>
        <v>2.169519848073016</v>
      </c>
      <c r="AG154" s="623"/>
      <c r="AH154" s="623"/>
      <c r="AI154" s="623"/>
      <c r="AJ154" s="623"/>
    </row>
    <row r="155" spans="1:36" s="7" customFormat="1" x14ac:dyDescent="0.35">
      <c r="A155" s="200" t="s">
        <v>151</v>
      </c>
      <c r="B155" s="200"/>
      <c r="C155" s="5" t="s">
        <v>152</v>
      </c>
      <c r="D155" s="200"/>
      <c r="E155" s="36">
        <f ca="1">INDEX(INDIRECT("SSW_WTPCore_DCE_"&amp;$C155&amp;"_Levels"),MATCH("COMBINED-HH",WTPCore_Group,0),MATCH(E$142,WTPCore_AttLevels,0))</f>
        <v>0</v>
      </c>
      <c r="F155" s="36"/>
      <c r="G155" s="36">
        <f ca="1">INDEX(INDIRECT("SSW_WTPCore_DCE_"&amp;$C155&amp;"_Levels"),MATCH("COMBINED-HH",WTPCore_Group,0),MATCH(G$142,WTPCore_AttLevels,0))</f>
        <v>1</v>
      </c>
      <c r="H155" s="89">
        <f t="shared" ref="H155:H159" ca="1" si="80">INDEX(INDIRECT("SSW_WTPCore_DCE_"&amp;$C155&amp;"_LevelValues"),MATCH("COMBINED-HH",WTPCore_Group,0),MATCH("S1 MEAN",WTPCore_LevelValues,0))</f>
        <v>8.5999999999999993E-2</v>
      </c>
      <c r="I155" s="89">
        <f t="shared" ca="1" si="77"/>
        <v>0.35599999999999998</v>
      </c>
      <c r="J155" s="10">
        <f t="shared" ca="1" si="71"/>
        <v>0.44199999999999995</v>
      </c>
      <c r="K155" s="147">
        <f t="shared" ca="1" si="72"/>
        <v>0.61583711660624219</v>
      </c>
      <c r="L155" s="429">
        <f t="shared" ca="1" si="61"/>
        <v>0.44199999999999995</v>
      </c>
      <c r="M155" s="89">
        <f ca="1">-L155*($E155-$G155)</f>
        <v>0.44199999999999995</v>
      </c>
      <c r="N155" s="89">
        <f ca="1">L155</f>
        <v>0.44199999999999995</v>
      </c>
      <c r="O155" s="625">
        <f ca="1">-N155*($E155-$G155)</f>
        <v>0.44199999999999995</v>
      </c>
      <c r="P155" s="90">
        <f t="shared" ca="1" si="74"/>
        <v>0.23990174605107395</v>
      </c>
      <c r="Q155" s="7" t="s">
        <v>150</v>
      </c>
      <c r="R155" s="272">
        <f ca="1">-P155/(E155-G155)</f>
        <v>0.23990174605107395</v>
      </c>
      <c r="S155" s="36">
        <f ca="1">INDEX(INDIRECT("CAM_WTPCore_"&amp;$C155&amp;"_Levels"),MATCH("COMBINED-HH",WTPCore_Group,0),MATCH(S$142,WTPCore_AttLevels,0))</f>
        <v>0</v>
      </c>
      <c r="T155" s="36"/>
      <c r="U155" s="36">
        <f ca="1">INDEX(INDIRECT("CAM_WTPCore_"&amp;$C155&amp;"_Levels"),MATCH("COMBINED-HH",WTPCore_Group,0),MATCH(U$142,WTPCore_AttLevels,0))</f>
        <v>1</v>
      </c>
      <c r="V155" s="89">
        <f t="shared" ref="V155:V159" ca="1" si="81">INDEX(INDIRECT("CAM_WTPCore_"&amp;$C155&amp;"_LevelValues"),MATCH("COMBINED-HH",WTPCore_Group,0),MATCH("S1 MEAN",WTPCore_LevelValues,0))</f>
        <v>1.133</v>
      </c>
      <c r="W155" s="89">
        <f t="shared" ca="1" si="79"/>
        <v>1.7649999999999999</v>
      </c>
      <c r="X155" s="10">
        <f t="shared" ca="1" si="75"/>
        <v>2.8979999999999997</v>
      </c>
      <c r="Y155" s="147">
        <f t="shared" ca="1" si="67"/>
        <v>0.749997674503185</v>
      </c>
      <c r="Z155" s="429">
        <f t="shared" ca="1" si="68"/>
        <v>2.8979999999999997</v>
      </c>
      <c r="AA155" s="89">
        <f ca="1">-Z155*($S155-$U155)</f>
        <v>2.8979999999999997</v>
      </c>
      <c r="AB155" s="89">
        <f ca="1">Z155</f>
        <v>2.8979999999999997</v>
      </c>
      <c r="AC155" s="625">
        <f ca="1">-AB155*($S155-$U155)</f>
        <v>2.8979999999999997</v>
      </c>
      <c r="AD155" s="90">
        <f t="shared" ca="1" si="76"/>
        <v>0.33535586699323794</v>
      </c>
      <c r="AE155" s="7" t="s">
        <v>150</v>
      </c>
      <c r="AF155" s="272">
        <f ca="1">-AD155/(S155-U155)</f>
        <v>0.33535586699323794</v>
      </c>
      <c r="AG155" s="623"/>
      <c r="AH155" s="623"/>
      <c r="AI155" s="623"/>
      <c r="AJ155" s="623"/>
    </row>
    <row r="156" spans="1:36" s="7" customFormat="1" x14ac:dyDescent="0.35">
      <c r="A156" s="200" t="s">
        <v>461</v>
      </c>
      <c r="B156" s="200"/>
      <c r="C156" s="7" t="s">
        <v>545</v>
      </c>
      <c r="D156" s="200"/>
      <c r="E156" s="36">
        <f ca="1">INDEX(INDIRECT("SSW_WTPCore2_"&amp;$C156&amp;"_Levels"),1,MATCH(E$142,WTPCore2_AttLevels,0))</f>
        <v>0.11</v>
      </c>
      <c r="F156" s="36"/>
      <c r="G156" s="36">
        <f ca="1">INDEX(INDIRECT("SSW_WTPCore2_"&amp;$C156&amp;"_Levels"),1,MATCH(G$142,WTPCore2_AttLevels,0))</f>
        <v>0.18</v>
      </c>
      <c r="H156" s="89">
        <f ca="1">INDEX(INDIRECT("SSW_WTPCore2_"&amp;$C156&amp;"_LevelValues"),1,MATCH("S1 MEAN",WTPCore2_LevelValues,0))</f>
        <v>0.81357078115486769</v>
      </c>
      <c r="I156" s="89">
        <f ca="1">INDEX(INDIRECT("SSW_WTPCore2_"&amp;$C156&amp;"_LevelValues"),1,MATCH("S2 MEAN",WTPCore2_LevelValues,0))</f>
        <v>0.84359983447308762</v>
      </c>
      <c r="J156" s="10">
        <f ca="1">H156+I156</f>
        <v>1.6571706156279553</v>
      </c>
      <c r="K156" s="147">
        <f t="shared" ca="1" si="72"/>
        <v>4.2533545058794235</v>
      </c>
      <c r="L156" s="429">
        <f t="shared" ca="1" si="61"/>
        <v>40250.299230769233</v>
      </c>
      <c r="M156" s="89">
        <f ca="1">-L156*($E156-$G156)/100</f>
        <v>28.175209461538461</v>
      </c>
      <c r="N156" s="245">
        <f ca="1">INDEX(INDIRECT("SSW_WTPCore2_"&amp;$C156&amp;"_UnitValues"),1,MATCH("MEAN",LMH,0))</f>
        <v>127705.59219749963</v>
      </c>
      <c r="O156" s="625">
        <f ca="1">-N156*($E156-$G156)*100/(HHProps_SSW)</f>
        <v>1.6571706156279553</v>
      </c>
      <c r="P156" s="90">
        <f t="shared" ca="1" si="74"/>
        <v>1.65691080485345</v>
      </c>
      <c r="Q156" s="7" t="s">
        <v>546</v>
      </c>
      <c r="R156" s="271">
        <f ca="1">-(P156*HHProps_SSW)/((E156-G156)*100)</f>
        <v>127685.57054824723</v>
      </c>
      <c r="S156" s="36">
        <f ca="1">INDEX(INDIRECT("CAM_WTPCore2_"&amp;$C156&amp;"_Levels"),1,MATCH(S$142,WTPCore2_AttLevels,0))</f>
        <v>0.11</v>
      </c>
      <c r="T156" s="36"/>
      <c r="U156" s="36">
        <f ca="1">INDEX(INDIRECT("CAM_WTPCore2_"&amp;$C156&amp;"_Levels"),1,MATCH(U$142,WTPCore2_AttLevels,0))</f>
        <v>0.18</v>
      </c>
      <c r="V156" s="89">
        <f ca="1">INDEX(INDIRECT("CAM_WTPCore2_"&amp;$C156&amp;"_LevelValues"),1,MATCH("S1 MEAN",WTPCore2_LevelValues,0))</f>
        <v>9.7726891758161544E-3</v>
      </c>
      <c r="W156" s="89">
        <f ca="1">INDEX(INDIRECT("CAM_WTPCore2_"&amp;$C156&amp;"_LevelValues"),1,MATCH("S2 MEAN",WTPCore2_LevelValues,0))</f>
        <v>0.12232845270381847</v>
      </c>
      <c r="X156" s="10">
        <f t="shared" ca="1" si="75"/>
        <v>0.13210114187963462</v>
      </c>
      <c r="Y156" s="147">
        <f t="shared" ca="1" si="67"/>
        <v>4.4146581702593348</v>
      </c>
      <c r="Z156" s="429">
        <f t="shared" ca="1" si="68"/>
        <v>36548.773846153847</v>
      </c>
      <c r="AA156" s="89">
        <f ca="1">-Z156*($S156-$U156)/100</f>
        <v>25.584141692307689</v>
      </c>
      <c r="AB156" s="89">
        <f ca="1">INDEX(INDIRECT("CAM_WTPCore2_"&amp;$C156&amp;"_UnitValues"),1,MATCH("MEAN",LMH,0))</f>
        <v>2564.309622984073</v>
      </c>
      <c r="AC156" s="625">
        <f ca="1">-AB156*($S156-$U156)*100/(HHProps_CAM)</f>
        <v>0.13210114187963462</v>
      </c>
      <c r="AD156" s="90">
        <f t="shared" ca="1" si="76"/>
        <v>1.9739814782049883</v>
      </c>
      <c r="AE156" s="7" t="s">
        <v>546</v>
      </c>
      <c r="AF156" s="271">
        <f ca="1">-(AD156*HHProps_CAM)/((S156-U156)*100)</f>
        <v>38318.36446020718</v>
      </c>
      <c r="AG156" s="622"/>
      <c r="AH156" s="622"/>
      <c r="AI156" s="622"/>
      <c r="AJ156" s="622"/>
    </row>
    <row r="157" spans="1:36" s="7" customFormat="1" x14ac:dyDescent="0.35">
      <c r="A157" s="200" t="s">
        <v>153</v>
      </c>
      <c r="B157" s="200"/>
      <c r="C157" s="7" t="s">
        <v>154</v>
      </c>
      <c r="D157" s="200"/>
      <c r="E157" s="37">
        <f ca="1">INDEX(INDIRECT("SSW_WTPCore2_"&amp;$C157&amp;"_Levels"),1,MATCH(E$142,WTPCore2_AttLevels,0))</f>
        <v>0</v>
      </c>
      <c r="F157" s="190"/>
      <c r="G157" s="37">
        <f ca="1">INDEX(INDIRECT("SSW_WTPCore2_"&amp;$C157&amp;"_Levels"),1,MATCH(G$142,WTPCore2_AttLevels,0))</f>
        <v>50</v>
      </c>
      <c r="H157" s="89">
        <f ca="1">INDEX(INDIRECT("SSW_WTPCore2_"&amp;$C157&amp;"_LevelValues"),1,MATCH("S1 MEAN",WTPCore2_LevelValues,0))</f>
        <v>0.31132700138064179</v>
      </c>
      <c r="I157" s="89">
        <f ca="1">INDEX(INDIRECT("SSW_WTPCore2_"&amp;$C157&amp;"_LevelValues"),1,MATCH("S2 MEAN",WTPCore2_LevelValues,0))</f>
        <v>0.13284027031511708</v>
      </c>
      <c r="J157" s="10">
        <f t="shared" ca="1" si="71"/>
        <v>0.44416727169575887</v>
      </c>
      <c r="K157" s="147">
        <f t="shared" ca="1" si="72"/>
        <v>5.4911743147729766</v>
      </c>
      <c r="L157" s="429">
        <f t="shared" ca="1" si="61"/>
        <v>10249.302999999998</v>
      </c>
      <c r="M157" s="429">
        <f ca="1">-L157*(E157-G157)/HHProps_SSW</f>
        <v>0.94999999999999984</v>
      </c>
      <c r="N157" s="89">
        <f t="shared" ca="1" si="73"/>
        <v>4792.0052108349018</v>
      </c>
      <c r="O157" s="624">
        <f ca="1">-N157*(E157-G157)/HHProps_SSW</f>
        <v>0.44416727169575887</v>
      </c>
      <c r="P157" s="90">
        <f t="shared" ca="1" si="74"/>
        <v>2.1391083298851203</v>
      </c>
      <c r="Q157" s="7" t="s">
        <v>155</v>
      </c>
      <c r="R157" s="271">
        <f ca="1">-(P157*HHProps_SSW)/((E157-G157))</f>
        <v>23078.283602964795</v>
      </c>
      <c r="S157" s="37">
        <f ca="1">INDEX(INDIRECT("CAM_WTPCore2_"&amp;$C157&amp;"_Levels"),1,MATCH(S$142,WTPCore2_AttLevels,0))</f>
        <v>0</v>
      </c>
      <c r="T157" s="37"/>
      <c r="U157" s="37">
        <f ca="1">INDEX(INDIRECT("CAM_WTPCore2_"&amp;$C157&amp;"_Levels"),1,MATCH(U$142,WTPCore2_AttLevels,0))</f>
        <v>9</v>
      </c>
      <c r="V157" s="89">
        <f ca="1">INDEX(INDIRECT("CAM_WTPCore2_"&amp;$C157&amp;"_LevelValues"),1,MATCH("S1 MEAN",WTPCore2_LevelValues,0))</f>
        <v>0.16524275196632074</v>
      </c>
      <c r="W157" s="89">
        <f ca="1">INDEX(INDIRECT("CAM_WTPCore2_"&amp;$C157&amp;"_LevelValues"),1,MATCH("S2 MEAN",WTPCore2_LevelValues,0))</f>
        <v>2.2165878650139109E-2</v>
      </c>
      <c r="X157" s="10">
        <f t="shared" ca="1" si="75"/>
        <v>0.18740863061645985</v>
      </c>
      <c r="Y157" s="147">
        <f t="shared" ca="1" si="67"/>
        <v>5.4694065681840716</v>
      </c>
      <c r="Z157" s="429">
        <f t="shared" ca="1" si="68"/>
        <v>15354.666000000001</v>
      </c>
      <c r="AA157" s="429">
        <f ca="1">-Z157*(S157-U157)/HHProps_CAM</f>
        <v>1.0170000000000001</v>
      </c>
      <c r="AB157" s="89">
        <f ca="1">INDEX(INDIRECT("CAM_WTPCore2_"&amp;$C157&amp;"_UnitValues"),1,MATCH("MEAN",LMH,0))</f>
        <v>2829.4955050473109</v>
      </c>
      <c r="AC157" s="624">
        <f ca="1">-AB157*(S157-U157)/HHProps_CAM</f>
        <v>0.18740863061645985</v>
      </c>
      <c r="AD157" s="90">
        <f t="shared" ca="1" si="76"/>
        <v>2.4456043584760345</v>
      </c>
      <c r="AE157" s="7" t="s">
        <v>155</v>
      </c>
      <c r="AF157" s="271">
        <f ca="1">-(AD157*HHProps_CAM)/((S157-U157))</f>
        <v>36923.734604271165</v>
      </c>
      <c r="AG157" s="622"/>
      <c r="AH157" s="622"/>
      <c r="AI157" s="622"/>
      <c r="AJ157" s="622"/>
    </row>
    <row r="158" spans="1:36" s="7" customFormat="1" x14ac:dyDescent="0.35">
      <c r="A158" s="200" t="s">
        <v>156</v>
      </c>
      <c r="B158" s="200"/>
      <c r="C158" s="7" t="s">
        <v>157</v>
      </c>
      <c r="D158" s="200"/>
      <c r="E158" s="37">
        <f ca="1">INDEX(INDIRECT("SSW_WTPCore2_"&amp;$C158&amp;"_Levels"),1,MATCH(E$142,WTPCore2_AttLevels,0))</f>
        <v>0</v>
      </c>
      <c r="F158" s="190"/>
      <c r="G158" s="37">
        <f ca="1">INDEX(INDIRECT("SSW_WTPCore2_"&amp;$C158&amp;"_Levels"),1,MATCH(G$142,WTPCore2_AttLevels,0))</f>
        <v>200</v>
      </c>
      <c r="H158" s="89">
        <f ca="1">INDEX(INDIRECT("SSW_WTPCore2_"&amp;$C158&amp;"_LevelValues"),1,MATCH("S1 MEAN",WTPCore2_LevelValues,0))</f>
        <v>1.6031866034099231</v>
      </c>
      <c r="I158" s="89">
        <f ca="1">INDEX(INDIRECT("SSW_WTPCore2_"&amp;$C158&amp;"_LevelValues"),1,MATCH("S2 MEAN",WTPCore2_LevelValues,0))</f>
        <v>1.0142326286036367</v>
      </c>
      <c r="J158" s="10">
        <f t="shared" ca="1" si="71"/>
        <v>2.6174192320135599</v>
      </c>
      <c r="K158" s="147">
        <f t="shared" ca="1" si="72"/>
        <v>5.5852849434092615</v>
      </c>
      <c r="L158" s="429">
        <f t="shared" ca="1" si="61"/>
        <v>1402.5362</v>
      </c>
      <c r="M158" s="429">
        <f ca="1">-L158*(E158-G158)/HHProps_SSW</f>
        <v>0.52</v>
      </c>
      <c r="N158" s="89">
        <f t="shared" ca="1" si="73"/>
        <v>7059.6638912984936</v>
      </c>
      <c r="O158" s="624">
        <f ca="1">-N158*(E158-G158)/HHProps_SSW</f>
        <v>2.6174192320135599</v>
      </c>
      <c r="P158" s="90">
        <f t="shared" ca="1" si="74"/>
        <v>2.1757694916160468</v>
      </c>
      <c r="Q158" s="7" t="s">
        <v>155</v>
      </c>
      <c r="R158" s="271">
        <f ca="1">-(P158*HHProps_SSW)/((E158-G158))</f>
        <v>5868.452836244428</v>
      </c>
      <c r="S158" s="37">
        <f ca="1">INDEX(INDIRECT("CAM_WTPCore2_"&amp;$C158&amp;"_Levels"),1,MATCH(S$142,WTPCore2_AttLevels,0))</f>
        <v>0</v>
      </c>
      <c r="T158" s="37"/>
      <c r="U158" s="37">
        <f ca="1">INDEX(INDIRECT("CAM_WTPCore2_"&amp;$C158&amp;"_Levels"),1,MATCH(U$142,WTPCore2_AttLevels,0))</f>
        <v>100</v>
      </c>
      <c r="V158" s="89">
        <f ca="1">INDEX(INDIRECT("CAM_WTPCore2_"&amp;$C158&amp;"_LevelValues"),1,MATCH("S1 MEAN",WTPCore2_LevelValues,0))</f>
        <v>0.89295998455831449</v>
      </c>
      <c r="W158" s="89">
        <f ca="1">INDEX(INDIRECT("CAM_WTPCore2_"&amp;$C158&amp;"_LevelValues"),1,MATCH("S2 MEAN",WTPCore2_LevelValues,0))</f>
        <v>0.44225505143140054</v>
      </c>
      <c r="X158" s="10">
        <f t="shared" ca="1" si="75"/>
        <v>1.335215035989715</v>
      </c>
      <c r="Y158" s="147">
        <f t="shared" ca="1" si="67"/>
        <v>5.7489772375446293</v>
      </c>
      <c r="Z158" s="429">
        <f t="shared" ca="1" si="68"/>
        <v>1983.8771999999999</v>
      </c>
      <c r="AA158" s="429">
        <f ca="1">-Z158*(S158-U158)/HHProps_CAM</f>
        <v>1.46</v>
      </c>
      <c r="AB158" s="89">
        <f ca="1">INDEX(INDIRECT("CAM_WTPCore2_"&amp;$C158&amp;"_UnitValues"),1,MATCH("MEAN",LMH,0))</f>
        <v>1814.3168952035446</v>
      </c>
      <c r="AC158" s="624">
        <f ca="1">-AB158*(S158-U158)/HHProps_CAM</f>
        <v>1.335215035989715</v>
      </c>
      <c r="AD158" s="90">
        <f t="shared" ca="1" si="76"/>
        <v>2.570612298362509</v>
      </c>
      <c r="AE158" s="7" t="s">
        <v>155</v>
      </c>
      <c r="AF158" s="271">
        <f ca="1">-(AD158*HHProps_CAM)/((S158-U158))</f>
        <v>3492.9994032609447</v>
      </c>
      <c r="AG158" s="622"/>
      <c r="AH158" s="622"/>
      <c r="AI158" s="622"/>
      <c r="AJ158" s="622"/>
    </row>
    <row r="159" spans="1:36" s="7" customFormat="1" ht="15" thickBot="1" x14ac:dyDescent="0.4">
      <c r="A159" s="200" t="s">
        <v>158</v>
      </c>
      <c r="B159" s="200"/>
      <c r="C159" s="5" t="s">
        <v>159</v>
      </c>
      <c r="D159" s="200"/>
      <c r="E159" s="37">
        <f ca="1">INDEX(INDIRECT("SSW_WTPCore_DCE_"&amp;$C159&amp;"_Levels"),MATCH("COMBINED-HH",WTPCore_Group,0),MATCH(E$142,WTPCore_AttLevels,0))</f>
        <v>608.33333333333337</v>
      </c>
      <c r="F159" s="37"/>
      <c r="G159" s="37">
        <f ca="1">INDEX(INDIRECT("SSW_WTPCore_DCE_"&amp;$C159&amp;"_Levels"),MATCH("COMBINED-HH",WTPCore_Group,0),MATCH(G$142,WTPCore_AttLevels,0))</f>
        <v>243.33333333333334</v>
      </c>
      <c r="H159" s="89">
        <f t="shared" ca="1" si="80"/>
        <v>0.06</v>
      </c>
      <c r="I159" s="89">
        <f t="shared" ca="1" si="77"/>
        <v>0.46</v>
      </c>
      <c r="J159" s="10">
        <f t="shared" ca="1" si="71"/>
        <v>0.52</v>
      </c>
      <c r="K159" s="147">
        <f t="shared" ca="1" si="72"/>
        <v>1.0742406646616594</v>
      </c>
      <c r="L159" s="429">
        <f t="shared" ca="1" si="61"/>
        <v>768.51298630136989</v>
      </c>
      <c r="M159" s="429">
        <f ca="1">L159*(E159-G159)/HHProps_SSW</f>
        <v>0.52</v>
      </c>
      <c r="N159" s="89">
        <f ca="1">L159</f>
        <v>768.51298630136989</v>
      </c>
      <c r="O159" s="624">
        <f ca="1">N159*(E159-G159)/HHProps_SSW</f>
        <v>0.52</v>
      </c>
      <c r="P159" s="90">
        <f t="shared" ca="1" si="74"/>
        <v>0.41847463262948464</v>
      </c>
      <c r="Q159" s="7" t="s">
        <v>160</v>
      </c>
      <c r="R159" s="273">
        <f ca="1">(P159*HHProps_SSW)/((E159-G159))</f>
        <v>618.46767233356525</v>
      </c>
      <c r="S159" s="37">
        <f ca="1">INDEX(INDIRECT("CAM_WTPCore_"&amp;$C159&amp;"_Levels"),MATCH("COMBINED-HH",WTPCore_Group,0),MATCH(S$142,WTPCore_AttLevels,0))</f>
        <v>365</v>
      </c>
      <c r="T159" s="37"/>
      <c r="U159" s="37">
        <f ca="1">INDEX(INDIRECT("CAM_WTPCore_"&amp;$C159&amp;"_Levels"),MATCH("COMBINED-HH",WTPCore_Group,0),MATCH(U$142,WTPCore_AttLevels,0))</f>
        <v>121.66666666666667</v>
      </c>
      <c r="V159" s="89">
        <f t="shared" ca="1" si="81"/>
        <v>0.21</v>
      </c>
      <c r="W159" s="89">
        <f t="shared" ca="1" si="79"/>
        <v>0.51</v>
      </c>
      <c r="X159" s="10">
        <f t="shared" ca="1" si="75"/>
        <v>0.72</v>
      </c>
      <c r="Y159" s="147">
        <f t="shared" ca="1" si="67"/>
        <v>1.0952403258618539</v>
      </c>
      <c r="Z159" s="429">
        <f t="shared" ca="1" si="68"/>
        <v>402.06180821917809</v>
      </c>
      <c r="AA159" s="429">
        <f ca="1">Z159*(S159-U159)/HHProps_CAM</f>
        <v>0.72</v>
      </c>
      <c r="AB159" s="89">
        <f ca="1">Z159</f>
        <v>402.06180821917809</v>
      </c>
      <c r="AC159" s="624">
        <f ca="1">AB159*(S159-U159)/HHProps_CAM</f>
        <v>0.72</v>
      </c>
      <c r="AD159" s="90">
        <f t="shared" ca="1" si="76"/>
        <v>0.48972854387670334</v>
      </c>
      <c r="AE159" s="7" t="s">
        <v>160</v>
      </c>
      <c r="AF159" s="273">
        <f ca="1">(AD159*HHProps_CAM)/((S159-U159))</f>
        <v>273.47381095501731</v>
      </c>
      <c r="AG159" s="622"/>
      <c r="AH159" s="622"/>
      <c r="AI159" s="622"/>
      <c r="AJ159" s="622"/>
    </row>
    <row r="160" spans="1:36" s="7" customFormat="1" x14ac:dyDescent="0.35">
      <c r="A160" s="200"/>
      <c r="E160" s="203"/>
      <c r="F160" s="204"/>
      <c r="H160" s="194"/>
      <c r="I160" s="194"/>
      <c r="J160" s="626">
        <f ca="1">SUM(J143:J159)</f>
        <v>31.317551391386161</v>
      </c>
      <c r="K160" s="264">
        <f ca="1">SUM(K143:K159)</f>
        <v>100</v>
      </c>
      <c r="L160" s="264"/>
      <c r="M160" s="264">
        <f ca="1">SUM(M143:M159)</f>
        <v>46.592667151201702</v>
      </c>
      <c r="N160" s="264"/>
      <c r="O160" s="29">
        <f ca="1">SUM(O143:O159)</f>
        <v>31.318111391386161</v>
      </c>
      <c r="P160" s="194">
        <f ca="1">SUM(P143:P159)</f>
        <v>38.955389271293924</v>
      </c>
      <c r="S160" s="203"/>
      <c r="T160" s="204"/>
      <c r="V160" s="194"/>
      <c r="W160" s="194"/>
      <c r="X160" s="194">
        <f ca="1">SUM(X143:X159)</f>
        <v>28.554265564885121</v>
      </c>
      <c r="Y160" s="3">
        <f ca="1">SUM(Y143:Y159)</f>
        <v>99.999999999999972</v>
      </c>
      <c r="Z160" s="3"/>
      <c r="AA160" s="194">
        <f ca="1">SUM(AA143:AA159)</f>
        <v>60.862218997907426</v>
      </c>
      <c r="AB160" s="3"/>
      <c r="AC160" s="194">
        <f ca="1">SUM(AC143:AC159)</f>
        <v>28.566289487904879</v>
      </c>
      <c r="AD160" s="194">
        <f ca="1">SUM(AD143:AD159)</f>
        <v>44.714254242906165</v>
      </c>
    </row>
    <row r="161" spans="1:14" s="7" customFormat="1" x14ac:dyDescent="0.35">
      <c r="A161" s="123"/>
      <c r="M161" s="3" t="s">
        <v>547</v>
      </c>
      <c r="N161" s="264">
        <f ca="1">AVERAGE(M160,O160)</f>
        <v>38.955389271293932</v>
      </c>
    </row>
    <row r="162" spans="1:14" hidden="1" x14ac:dyDescent="0.35">
      <c r="A162" s="9" t="s">
        <v>544</v>
      </c>
    </row>
    <row r="163" spans="1:14" hidden="1" x14ac:dyDescent="0.35">
      <c r="A163" s="9"/>
    </row>
    <row r="164" spans="1:14" hidden="1" x14ac:dyDescent="0.35">
      <c r="A164" s="9" t="s">
        <v>455</v>
      </c>
    </row>
    <row r="165" spans="1:14" hidden="1" x14ac:dyDescent="0.35">
      <c r="A165" s="9"/>
    </row>
    <row r="166" spans="1:14" hidden="1" x14ac:dyDescent="0.35">
      <c r="A166" s="9" t="s">
        <v>153</v>
      </c>
    </row>
    <row r="167" spans="1:14" hidden="1" x14ac:dyDescent="0.35">
      <c r="A167" s="9"/>
    </row>
    <row r="168" spans="1:14" hidden="1" x14ac:dyDescent="0.35">
      <c r="A168" s="9" t="s">
        <v>156</v>
      </c>
    </row>
    <row r="211" spans="1:36" x14ac:dyDescent="0.35">
      <c r="AA211" s="3" t="s">
        <v>361</v>
      </c>
      <c r="AB211" s="194">
        <f ca="1">AVERAGE(AA160,AC160)</f>
        <v>44.714254242906151</v>
      </c>
    </row>
    <row r="213" spans="1:36" s="7" customFormat="1" x14ac:dyDescent="0.35">
      <c r="A213" s="50"/>
      <c r="B213" s="50"/>
      <c r="C213" s="50"/>
      <c r="D213" s="54"/>
      <c r="E213" s="52"/>
      <c r="F213" s="52"/>
      <c r="G213" s="52"/>
      <c r="H213" s="52"/>
      <c r="I213" s="52"/>
      <c r="J213" s="52"/>
      <c r="K213" s="84"/>
      <c r="L213" s="84"/>
      <c r="M213" s="84"/>
      <c r="N213" s="84"/>
      <c r="O213" s="84"/>
      <c r="P213" s="52"/>
      <c r="Q213" s="52"/>
      <c r="R213" s="52"/>
      <c r="S213" s="84"/>
      <c r="T213" s="52"/>
      <c r="U213" s="52"/>
      <c r="V213" s="52"/>
      <c r="W213" s="52"/>
      <c r="X213" s="52"/>
      <c r="Y213" s="52"/>
      <c r="Z213" s="52"/>
      <c r="AA213" s="52"/>
      <c r="AB213" s="52"/>
      <c r="AC213" s="52"/>
      <c r="AD213" s="52"/>
      <c r="AE213" s="52"/>
      <c r="AF213" s="52"/>
      <c r="AG213" s="52"/>
      <c r="AH213" s="52"/>
      <c r="AI213" s="52"/>
      <c r="AJ213" s="52"/>
    </row>
    <row r="214" spans="1:36" s="7" customFormat="1" ht="19.5" x14ac:dyDescent="0.45">
      <c r="A214" s="85" t="s">
        <v>548</v>
      </c>
      <c r="B214" s="50"/>
      <c r="C214" s="50"/>
      <c r="D214" s="54"/>
      <c r="E214" s="185"/>
      <c r="F214" s="98"/>
      <c r="G214" s="98"/>
      <c r="H214" s="98"/>
      <c r="I214" s="98"/>
      <c r="J214" s="98"/>
      <c r="K214" s="186"/>
      <c r="L214" s="186"/>
      <c r="M214" s="186"/>
      <c r="N214" s="186"/>
      <c r="O214" s="186"/>
      <c r="P214" s="52"/>
      <c r="Q214" s="52"/>
      <c r="R214" s="52"/>
      <c r="S214" s="84"/>
      <c r="T214" s="52"/>
      <c r="U214" s="52"/>
      <c r="V214" s="52"/>
      <c r="W214" s="52"/>
      <c r="X214" s="52"/>
      <c r="Y214" s="52"/>
      <c r="Z214" s="52"/>
      <c r="AA214" s="52"/>
      <c r="AB214" s="52"/>
      <c r="AC214" s="52"/>
      <c r="AD214" s="52"/>
      <c r="AE214" s="52"/>
      <c r="AF214" s="52"/>
      <c r="AG214" s="52"/>
      <c r="AH214" s="52"/>
      <c r="AI214" s="52"/>
      <c r="AJ214" s="52"/>
    </row>
    <row r="215" spans="1:36" s="7" customFormat="1" ht="15" customHeight="1" thickBot="1" x14ac:dyDescent="0.4">
      <c r="A215" s="50"/>
      <c r="B215" s="52"/>
      <c r="C215" s="188"/>
      <c r="D215" s="54"/>
      <c r="E215" s="98" t="s">
        <v>342</v>
      </c>
      <c r="F215" s="148"/>
      <c r="G215" s="148"/>
      <c r="H215" s="98" t="s">
        <v>343</v>
      </c>
      <c r="I215" s="98"/>
      <c r="J215" s="99"/>
      <c r="K215" s="1007" t="s">
        <v>344</v>
      </c>
      <c r="L215" s="251"/>
      <c r="M215" s="251"/>
      <c r="N215" s="251"/>
      <c r="O215" s="251"/>
      <c r="P215" s="1006" t="s">
        <v>346</v>
      </c>
      <c r="Q215" s="50"/>
      <c r="R215" s="50"/>
      <c r="S215" s="98" t="s">
        <v>342</v>
      </c>
      <c r="T215" s="148"/>
      <c r="U215" s="148"/>
      <c r="V215" s="98" t="s">
        <v>343</v>
      </c>
      <c r="W215" s="98"/>
      <c r="X215" s="99"/>
      <c r="Y215" s="1007" t="s">
        <v>344</v>
      </c>
      <c r="Z215" s="251"/>
      <c r="AA215" s="251"/>
      <c r="AB215" s="251"/>
      <c r="AC215" s="251"/>
      <c r="AD215" s="1006" t="s">
        <v>346</v>
      </c>
      <c r="AE215" s="50"/>
      <c r="AF215" s="50"/>
      <c r="AG215" s="50"/>
      <c r="AH215" s="50"/>
      <c r="AI215" s="50"/>
      <c r="AJ215" s="50"/>
    </row>
    <row r="216" spans="1:36" s="53" customFormat="1" ht="43.5" x14ac:dyDescent="0.35">
      <c r="A216" s="54" t="s">
        <v>542</v>
      </c>
      <c r="B216" s="54"/>
      <c r="C216" s="189" t="s">
        <v>349</v>
      </c>
      <c r="D216" s="54"/>
      <c r="E216" s="88" t="s">
        <v>350</v>
      </c>
      <c r="F216" s="88" t="s">
        <v>351</v>
      </c>
      <c r="G216" s="88" t="s">
        <v>352</v>
      </c>
      <c r="H216" s="88" t="s">
        <v>353</v>
      </c>
      <c r="I216" s="88" t="s">
        <v>354</v>
      </c>
      <c r="J216" s="88" t="s">
        <v>355</v>
      </c>
      <c r="K216" s="1007"/>
      <c r="L216" s="251" t="s">
        <v>356</v>
      </c>
      <c r="M216" s="251" t="s">
        <v>357</v>
      </c>
      <c r="N216" s="251" t="s">
        <v>358</v>
      </c>
      <c r="O216" s="598" t="s">
        <v>359</v>
      </c>
      <c r="P216" s="1006"/>
      <c r="Q216" s="88" t="s">
        <v>124</v>
      </c>
      <c r="R216" s="268" t="s">
        <v>360</v>
      </c>
      <c r="S216" s="88" t="s">
        <v>350</v>
      </c>
      <c r="T216" s="88" t="s">
        <v>351</v>
      </c>
      <c r="U216" s="88" t="s">
        <v>352</v>
      </c>
      <c r="V216" s="88" t="s">
        <v>353</v>
      </c>
      <c r="W216" s="88" t="s">
        <v>354</v>
      </c>
      <c r="X216" s="88" t="s">
        <v>355</v>
      </c>
      <c r="Y216" s="1007"/>
      <c r="Z216" s="251" t="s">
        <v>356</v>
      </c>
      <c r="AA216" s="251" t="s">
        <v>357</v>
      </c>
      <c r="AB216" s="251" t="s">
        <v>358</v>
      </c>
      <c r="AC216" s="598" t="s">
        <v>359</v>
      </c>
      <c r="AD216" s="1006"/>
      <c r="AE216" s="88" t="s">
        <v>124</v>
      </c>
      <c r="AF216" s="268" t="s">
        <v>360</v>
      </c>
      <c r="AG216" s="88"/>
      <c r="AH216" s="88"/>
      <c r="AI216" s="88"/>
      <c r="AJ216" s="88"/>
    </row>
    <row r="217" spans="1:36" s="7" customFormat="1" x14ac:dyDescent="0.35">
      <c r="A217" s="7" t="s">
        <v>125</v>
      </c>
      <c r="B217" s="51"/>
      <c r="C217" s="7" t="s">
        <v>126</v>
      </c>
      <c r="D217" s="51"/>
      <c r="E217" s="36">
        <f t="shared" ref="E217:E223" ca="1" si="82">INDEX(INDIRECT("SSW_WTPCore2_"&amp;$C217&amp;"_Levels"),2,MATCH(E$142,WTPCore2_AttLevels,0))</f>
        <v>1.2500000000000001E-2</v>
      </c>
      <c r="F217" s="36"/>
      <c r="G217" s="36">
        <f t="shared" ref="G217:G223" ca="1" si="83">INDEX(INDIRECT("SSW_WTPCore2_"&amp;$C217&amp;"_Levels"),2,MATCH(G$142,WTPCore2_AttLevels,0))</f>
        <v>8.3333333333333332E-3</v>
      </c>
      <c r="H217" s="423">
        <f t="shared" ref="H217:H223" ca="1" si="84">INDEX(INDIRECT("SSW_WTPCore2_"&amp;$C217&amp;"_LevelValues"),2,MATCH("S1 MEAN",WTPCore2_LevelValues,0))</f>
        <v>1.5617999911371258E-4</v>
      </c>
      <c r="I217" s="423">
        <f t="shared" ref="I217:I223" ca="1" si="85">INDEX(INDIRECT("SSW_WTPCore2_"&amp;$C217&amp;"_LevelValues"),2,MATCH("S2 MEAN",WTPCore2_LevelValues,0))</f>
        <v>6.9518632551394011E-4</v>
      </c>
      <c r="J217" s="630">
        <f ca="1">H217+I217</f>
        <v>8.5136632462765266E-4</v>
      </c>
      <c r="K217" s="147">
        <f t="shared" ref="K217:K227" ca="1" si="86">INDEX(INDIRECT("SSW_WTPCore_DCE_"&amp;$C217&amp;"_MaxDiffUIndex"),MATCH("COMBINED-NHH",WTPCore_Group,0),MATCH("MEAN",LMH,0))</f>
        <v>9.1999999999999993</v>
      </c>
      <c r="L217" s="429">
        <f t="shared" ref="L217:L227" ca="1" si="87">INDEX(INDIRECT("SSW_WTPCore_DCE_"&amp;$C217&amp;"_UnitValues"),MATCH("COMBINED-nHH",WTPCore_Group,0),MATCH("MEAN",LMH,0))</f>
        <v>670.99390887298591</v>
      </c>
      <c r="M217" s="429">
        <f ca="1">L217*($E217-$G217)*(AllProps_SSW/NHHProps_SSW)</f>
        <v>53.088000000000008</v>
      </c>
      <c r="N217" s="89">
        <f t="shared" ref="N217:N223" ca="1" si="88">INDEX(INDIRECT("SSW_WTPCore2_"&amp;$C217&amp;"_UnitValues"),2,MATCH("MEAN",LMH,0))</f>
        <v>47.605134837061335</v>
      </c>
      <c r="O217" s="624">
        <f ca="1">N217*($E217-$G217)*(AllProps_SSW/NHHProps_SSW)</f>
        <v>3.7664446201527353</v>
      </c>
      <c r="P217" s="90">
        <f ca="1">(K217*N$235)/K$234</f>
        <v>34.64310574259455</v>
      </c>
      <c r="Q217" s="7" t="s">
        <v>127</v>
      </c>
      <c r="R217" s="271">
        <f t="shared" ref="R217:R222" ca="1" si="89">(P217*NHHProps_SSW)/((E217-G217)*AllProps_SSW)</f>
        <v>437.86379102101603</v>
      </c>
      <c r="S217" s="36">
        <f t="shared" ref="S217:S223" ca="1" si="90">INDEX(INDIRECT("CAM_WTPCore2_"&amp;$C217&amp;"_Levels"),2,MATCH(S$142,WTPCore2_AttLevels,0))</f>
        <v>1.2500000000000001E-2</v>
      </c>
      <c r="T217" s="36"/>
      <c r="U217" s="36">
        <f t="shared" ref="U217:U223" ca="1" si="91">INDEX(INDIRECT("CAM_WTPCore2_"&amp;$C217&amp;"_Levels"),2,MATCH(U$142,WTPCore2_AttLevels,0))</f>
        <v>8.3333333333333332E-3</v>
      </c>
      <c r="V217" s="423">
        <f t="shared" ref="V217:V223" ca="1" si="92">INDEX(INDIRECT("CAM_WTPCore2_"&amp;$C217&amp;"_LevelValues"),2,MATCH("S1 MEAN",WTPCore2_LevelValues,0))</f>
        <v>1.0438910529886973E-3</v>
      </c>
      <c r="W217" s="423">
        <f t="shared" ref="W217:W223" ca="1" si="93">INDEX(INDIRECT("CAM_WTPCore2_"&amp;$C217&amp;"_LevelValues"),2,MATCH("S2 MEAN",WTPCore2_LevelValues,0))</f>
        <v>6.3529836977335285E-4</v>
      </c>
      <c r="X217" s="437">
        <f ca="1">V217+W217</f>
        <v>1.6791894227620502E-3</v>
      </c>
      <c r="Y217" s="147">
        <f t="shared" ref="Y217:Y227" ca="1" si="94">INDEX(INDIRECT("CAM_WTPCore_"&amp;$C217&amp;"_MaxDiffUIndex"),MATCH("COMBINED-NHH",WTPCore_Group,0),MATCH("MEAN",LMH,0))</f>
        <v>11.666813298039941</v>
      </c>
      <c r="Z217" s="429">
        <f t="shared" ref="Z217:Z227" ca="1" si="95">INDEX(INDIRECT("CAM_WTPCore_"&amp;$C217&amp;"_UnitValues"),MATCH("COMBINED-NHH",WTPCore_Group,0),MATCH("MEAN",LMH,0))</f>
        <v>657.70066863241811</v>
      </c>
      <c r="AA217" s="429">
        <f ca="1">Z217*($S217-$U217)*(AllProps_CAM/NHHProps_CAM)</f>
        <v>46.08</v>
      </c>
      <c r="AB217" s="89">
        <f t="shared" ref="AB217:AB223" ca="1" si="96">INDEX(INDIRECT("CAM_WTPCore2_"&amp;$C217&amp;"_UnitValues"),2,MATCH("MEAN",LMH,0))</f>
        <v>122.71155623456495</v>
      </c>
      <c r="AC217" s="624">
        <f ca="1">AB217*($S217-$U217)*(AllProps_CAM/NHHProps_CAM)</f>
        <v>8.597449844541698</v>
      </c>
      <c r="AD217" s="90">
        <f ca="1">(Y217*AB$235)/Y$234</f>
        <v>170.73368712033383</v>
      </c>
      <c r="AE217" s="7" t="s">
        <v>127</v>
      </c>
      <c r="AF217" s="271">
        <f t="shared" ref="AF217:AF222" ca="1" si="97">(AD217*NHHProps_CAM)/((S217-U217)*AllProps_CAM)</f>
        <v>2436.8849864826743</v>
      </c>
      <c r="AG217" s="622"/>
      <c r="AH217" s="622"/>
      <c r="AI217" s="622"/>
      <c r="AJ217" s="622"/>
    </row>
    <row r="218" spans="1:36" s="7" customFormat="1" x14ac:dyDescent="0.35">
      <c r="A218" s="200" t="s">
        <v>129</v>
      </c>
      <c r="B218" s="200"/>
      <c r="C218" s="7" t="s">
        <v>130</v>
      </c>
      <c r="D218" s="200"/>
      <c r="E218" s="36">
        <f t="shared" ca="1" si="82"/>
        <v>6.6666666666666666E-2</v>
      </c>
      <c r="F218" s="36"/>
      <c r="G218" s="36">
        <f t="shared" ca="1" si="83"/>
        <v>0.04</v>
      </c>
      <c r="H218" s="423">
        <f t="shared" ca="1" si="84"/>
        <v>1.9376915692789636E-2</v>
      </c>
      <c r="I218" s="423">
        <f t="shared" ca="1" si="85"/>
        <v>4.9841954334050795E-4</v>
      </c>
      <c r="J218" s="631">
        <f t="shared" ref="J218:J233" ca="1" si="98">H218+I218</f>
        <v>1.9875335236130144E-2</v>
      </c>
      <c r="K218" s="147">
        <f t="shared" ca="1" si="86"/>
        <v>7.8</v>
      </c>
      <c r="L218" s="429">
        <f t="shared" ca="1" si="87"/>
        <v>37.156930418313699</v>
      </c>
      <c r="M218" s="429">
        <f ca="1">L218*($E218-$G218)*(AllProps_SSW/NHHProps_SSW)</f>
        <v>18.814712643678163</v>
      </c>
      <c r="N218" s="89">
        <f t="shared" ca="1" si="88"/>
        <v>173.64881354494736</v>
      </c>
      <c r="O218" s="624">
        <f ca="1">N218*($E218-$G218)*(AllProps_SSW/NHHProps_SSW)</f>
        <v>87.928483084639765</v>
      </c>
      <c r="P218" s="90">
        <f t="shared" ref="P218:P227" ca="1" si="99">(K218*N$235)/K$234</f>
        <v>29.371328781764944</v>
      </c>
      <c r="Q218" s="7" t="s">
        <v>127</v>
      </c>
      <c r="R218" s="271">
        <f t="shared" ca="1" si="89"/>
        <v>58.005053837702548</v>
      </c>
      <c r="S218" s="36">
        <f t="shared" ca="1" si="90"/>
        <v>2.2222222222222223E-2</v>
      </c>
      <c r="T218" s="36"/>
      <c r="U218" s="36">
        <f t="shared" ca="1" si="91"/>
        <v>1.5384615384615385E-2</v>
      </c>
      <c r="V218" s="423">
        <f t="shared" ca="1" si="92"/>
        <v>5.6414013673365619E-2</v>
      </c>
      <c r="W218" s="423">
        <f t="shared" ca="1" si="93"/>
        <v>1.4754621463399648E-4</v>
      </c>
      <c r="X218" s="437">
        <f t="shared" ref="X218:X233" ca="1" si="100">V218+W218</f>
        <v>5.6561559887999616E-2</v>
      </c>
      <c r="Y218" s="147">
        <f t="shared" ca="1" si="94"/>
        <v>10.306529527109202</v>
      </c>
      <c r="Z218" s="429">
        <f t="shared" ca="1" si="95"/>
        <v>243.59284023422896</v>
      </c>
      <c r="AA218" s="429">
        <f ca="1">Z218*($S218-$U218)*(AllProps_CAM/NHHProps_CAM)</f>
        <v>28.006837606837603</v>
      </c>
      <c r="AB218" s="89">
        <f t="shared" ca="1" si="96"/>
        <v>2518.7889835624424</v>
      </c>
      <c r="AC218" s="624">
        <f ca="1">AB218*($S218-$U218)*(AllProps_CAM/NHHProps_CAM)</f>
        <v>289.59518662655807</v>
      </c>
      <c r="AD218" s="90">
        <f t="shared" ref="AD218:AD233" ca="1" si="101">(Y218*AB$235)/Y$234</f>
        <v>150.82711470779898</v>
      </c>
      <c r="AE218" s="7" t="s">
        <v>127</v>
      </c>
      <c r="AF218" s="271">
        <f t="shared" ca="1" si="97"/>
        <v>1311.8369796608804</v>
      </c>
      <c r="AG218" s="622"/>
      <c r="AH218" s="622"/>
      <c r="AI218" s="622"/>
      <c r="AJ218" s="622"/>
    </row>
    <row r="219" spans="1:36" s="7" customFormat="1" x14ac:dyDescent="0.35">
      <c r="A219" s="200" t="s">
        <v>543</v>
      </c>
      <c r="B219" s="200"/>
      <c r="C219" s="7" t="s">
        <v>132</v>
      </c>
      <c r="D219" s="200"/>
      <c r="E219" s="36">
        <f t="shared" ca="1" si="82"/>
        <v>1.6666666666666666E-2</v>
      </c>
      <c r="F219" s="36"/>
      <c r="G219" s="36">
        <f t="shared" ca="1" si="83"/>
        <v>1.1111111111111112E-2</v>
      </c>
      <c r="H219" s="423">
        <f t="shared" ca="1" si="84"/>
        <v>3.6865032727528453E-3</v>
      </c>
      <c r="I219" s="423">
        <f t="shared" ca="1" si="85"/>
        <v>5.1592292451456759E-6</v>
      </c>
      <c r="J219" s="631">
        <f t="shared" ca="1" si="98"/>
        <v>3.691662501997991E-3</v>
      </c>
      <c r="K219" s="147">
        <f t="shared" ca="1" si="86"/>
        <v>9.6999999999999993</v>
      </c>
      <c r="L219" s="429">
        <f t="shared" ca="1" si="87"/>
        <v>59.451088669301917</v>
      </c>
      <c r="M219" s="429">
        <f ca="1">L219*(E219-G219)*(AllProps_SSW/NHHProps_SSW)</f>
        <v>6.2715708812260536</v>
      </c>
      <c r="N219" s="89">
        <f t="shared" ca="1" si="88"/>
        <v>154.81769077846621</v>
      </c>
      <c r="O219" s="624">
        <f ca="1">N219*(E219-G219)*(AllProps_SSW/NHHProps_SSW)</f>
        <v>16.331914908839114</v>
      </c>
      <c r="P219" s="90">
        <f t="shared" ca="1" si="99"/>
        <v>36.525883228605124</v>
      </c>
      <c r="Q219" s="7" t="s">
        <v>127</v>
      </c>
      <c r="R219" s="271">
        <f t="shared" ca="1" si="89"/>
        <v>346.24555213890142</v>
      </c>
      <c r="S219" s="36">
        <f t="shared" ca="1" si="90"/>
        <v>1.4285714285714285E-2</v>
      </c>
      <c r="T219" s="36"/>
      <c r="U219" s="36">
        <f t="shared" ca="1" si="91"/>
        <v>0.01</v>
      </c>
      <c r="V219" s="423">
        <f t="shared" ca="1" si="92"/>
        <v>4.257264223936371E-2</v>
      </c>
      <c r="W219" s="423">
        <f t="shared" ca="1" si="93"/>
        <v>1.0971349631991048E-2</v>
      </c>
      <c r="X219" s="437">
        <f t="shared" ca="1" si="100"/>
        <v>5.3543991871354758E-2</v>
      </c>
      <c r="Y219" s="147">
        <f t="shared" ca="1" si="94"/>
        <v>11.372144609050341</v>
      </c>
      <c r="Z219" s="429">
        <f t="shared" ca="1" si="95"/>
        <v>152.24552514639311</v>
      </c>
      <c r="AA219" s="429">
        <f ca="1">Z219*($S219-$U219)*(AllProps_CAM/NHHProps_CAM)</f>
        <v>10.97142857142857</v>
      </c>
      <c r="AB219" s="89">
        <f t="shared" ca="1" si="96"/>
        <v>3804.1888084146854</v>
      </c>
      <c r="AC219" s="624">
        <f ca="1">AB219*($S219-$U219)*(AllProps_CAM/NHHProps_CAM)</f>
        <v>274.14523838133641</v>
      </c>
      <c r="AD219" s="90">
        <f t="shared" ca="1" si="101"/>
        <v>166.42146659662308</v>
      </c>
      <c r="AE219" s="7" t="s">
        <v>127</v>
      </c>
      <c r="AF219" s="271">
        <f t="shared" ca="1" si="97"/>
        <v>2309.3550135865971</v>
      </c>
      <c r="AG219" s="622"/>
      <c r="AH219" s="622"/>
      <c r="AI219" s="622"/>
      <c r="AJ219" s="622"/>
    </row>
    <row r="220" spans="1:36" s="7" customFormat="1" x14ac:dyDescent="0.35">
      <c r="A220" s="200" t="s">
        <v>133</v>
      </c>
      <c r="B220" s="200"/>
      <c r="C220" s="7" t="s">
        <v>134</v>
      </c>
      <c r="D220" s="200"/>
      <c r="E220" s="36">
        <f t="shared" ca="1" si="82"/>
        <v>0.33333333333333331</v>
      </c>
      <c r="F220" s="36"/>
      <c r="G220" s="36">
        <f t="shared" ca="1" si="83"/>
        <v>0.2</v>
      </c>
      <c r="H220" s="423">
        <f t="shared" ca="1" si="84"/>
        <v>4.1232652328514917E-3</v>
      </c>
      <c r="I220" s="423">
        <f t="shared" ca="1" si="85"/>
        <v>3.2944798024680151E-3</v>
      </c>
      <c r="J220" s="631">
        <f t="shared" ca="1" si="98"/>
        <v>7.4177450353195068E-3</v>
      </c>
      <c r="K220" s="147">
        <f t="shared" ca="1" si="86"/>
        <v>8.1</v>
      </c>
      <c r="L220" s="429">
        <f t="shared" ca="1" si="87"/>
        <v>25.861223571146333</v>
      </c>
      <c r="M220" s="429">
        <f ca="1">L220*(E220-G220)*(AllProps_SSW/NHHProps_SSW)</f>
        <v>65.475199999999987</v>
      </c>
      <c r="N220" s="89">
        <f t="shared" ca="1" si="88"/>
        <v>12.961619104875577</v>
      </c>
      <c r="O220" s="624">
        <f ca="1">N220*(E220-G220)*(AllProps_SSW/NHHProps_SSW)</f>
        <v>32.816104036253499</v>
      </c>
      <c r="P220" s="90">
        <f t="shared" ca="1" si="99"/>
        <v>30.500995273371288</v>
      </c>
      <c r="Q220" s="7" t="s">
        <v>127</v>
      </c>
      <c r="R220" s="271">
        <f t="shared" ca="1" si="89"/>
        <v>12.047203489368993</v>
      </c>
      <c r="S220" s="36">
        <f t="shared" ca="1" si="90"/>
        <v>0.33333333333333331</v>
      </c>
      <c r="T220" s="36"/>
      <c r="U220" s="36">
        <f t="shared" ca="1" si="91"/>
        <v>0.2</v>
      </c>
      <c r="V220" s="423">
        <f t="shared" ca="1" si="92"/>
        <v>5.0233968528763127E-2</v>
      </c>
      <c r="W220" s="423">
        <f t="shared" ca="1" si="93"/>
        <v>3.7020561693646287E-3</v>
      </c>
      <c r="X220" s="437">
        <f t="shared" ca="1" si="100"/>
        <v>5.3936024698127756E-2</v>
      </c>
      <c r="Y220" s="147">
        <f t="shared" ca="1" si="94"/>
        <v>7.922153761644501</v>
      </c>
      <c r="Z220" s="429">
        <f t="shared" ca="1" si="95"/>
        <v>19.182936168445536</v>
      </c>
      <c r="AA220" s="429">
        <f ca="1">Z220*($S220-$U220)*(AllProps_CAM/NHHProps_CAM)</f>
        <v>43.008000000000003</v>
      </c>
      <c r="AB220" s="89">
        <f t="shared" ca="1" si="96"/>
        <v>123.17277606712938</v>
      </c>
      <c r="AC220" s="624">
        <f ca="1">AB220*($S220-$U220)*(AllProps_CAM/NHHProps_CAM)</f>
        <v>276.15244645441413</v>
      </c>
      <c r="AD220" s="90">
        <f t="shared" ca="1" si="101"/>
        <v>115.93384475322196</v>
      </c>
      <c r="AE220" s="7" t="s">
        <v>127</v>
      </c>
      <c r="AF220" s="271">
        <f t="shared" ca="1" si="97"/>
        <v>51.710182841878989</v>
      </c>
      <c r="AG220" s="622"/>
      <c r="AH220" s="622"/>
      <c r="AI220" s="622"/>
      <c r="AJ220" s="622"/>
    </row>
    <row r="221" spans="1:36" s="7" customFormat="1" x14ac:dyDescent="0.35">
      <c r="A221" s="200" t="s">
        <v>135</v>
      </c>
      <c r="B221" s="200"/>
      <c r="C221" s="7" t="s">
        <v>136</v>
      </c>
      <c r="D221" s="200"/>
      <c r="E221" s="37">
        <f t="shared" ca="1" si="82"/>
        <v>0</v>
      </c>
      <c r="F221" s="36"/>
      <c r="G221" s="37">
        <f t="shared" ca="1" si="83"/>
        <v>4000</v>
      </c>
      <c r="H221" s="423">
        <f t="shared" ca="1" si="84"/>
        <v>4.1590321254674992E-3</v>
      </c>
      <c r="I221" s="423">
        <f t="shared" ca="1" si="85"/>
        <v>5.1578958405461544E-4</v>
      </c>
      <c r="J221" s="631">
        <f t="shared" ca="1" si="98"/>
        <v>4.6748217095221147E-3</v>
      </c>
      <c r="K221" s="147">
        <f t="shared" ca="1" si="86"/>
        <v>6.1</v>
      </c>
      <c r="L221" s="429">
        <f t="shared" ca="1" si="87"/>
        <v>8.1544398647758722</v>
      </c>
      <c r="M221" s="429">
        <f ca="1">-L221*(E221-G221)/NHHProps_SSW</f>
        <v>1.0876937261272339</v>
      </c>
      <c r="N221" s="89">
        <f t="shared" ca="1" si="88"/>
        <v>155.04854008821499</v>
      </c>
      <c r="O221" s="624">
        <f ca="1">-N221*(E221-G221)/NHHProps_SSW</f>
        <v>20.681411242925837</v>
      </c>
      <c r="P221" s="90">
        <f t="shared" ca="1" si="99"/>
        <v>22.969885329328996</v>
      </c>
      <c r="Q221" s="7" t="s">
        <v>127</v>
      </c>
      <c r="R221" s="722">
        <f ca="1">-(P221*NHHProps_SSW)/((E221-G221))</f>
        <v>172.20523031397946</v>
      </c>
      <c r="S221" s="147">
        <f t="shared" ca="1" si="90"/>
        <v>0</v>
      </c>
      <c r="T221" s="147"/>
      <c r="U221" s="147">
        <f t="shared" ca="1" si="91"/>
        <v>1350</v>
      </c>
      <c r="V221" s="423">
        <f t="shared" ca="1" si="92"/>
        <v>5.8970314160098417E-2</v>
      </c>
      <c r="W221" s="423">
        <f t="shared" ca="1" si="93"/>
        <v>4.2450333610873081E-4</v>
      </c>
      <c r="X221" s="437">
        <f t="shared" ca="1" si="100"/>
        <v>5.9394817496207147E-2</v>
      </c>
      <c r="Y221" s="147">
        <f t="shared" ca="1" si="94"/>
        <v>8.4578082745028453</v>
      </c>
      <c r="Z221" s="429">
        <f t="shared" ca="1" si="95"/>
        <v>4.8718568046845796</v>
      </c>
      <c r="AA221" s="429">
        <f ca="1">-Z221*(S221-U221)/NHHProps_CAM</f>
        <v>0.76548029403214413</v>
      </c>
      <c r="AB221" s="89">
        <f t="shared" ca="1" si="96"/>
        <v>1935.4368831617396</v>
      </c>
      <c r="AC221" s="624">
        <f ca="1">-AB221*(S221-U221)/NHHProps_CAM</f>
        <v>304.10146558058057</v>
      </c>
      <c r="AD221" s="90">
        <f t="shared" ca="1" si="101"/>
        <v>123.77268366035662</v>
      </c>
      <c r="AE221" s="7" t="s">
        <v>127</v>
      </c>
      <c r="AF221" s="271">
        <f ca="1">-(AD221*NHHProps_CAM)/((S221-U221))</f>
        <v>787.74436889613628</v>
      </c>
      <c r="AG221" s="623"/>
      <c r="AH221" s="623"/>
      <c r="AI221" s="623"/>
      <c r="AJ221" s="623"/>
    </row>
    <row r="222" spans="1:36" s="7" customFormat="1" x14ac:dyDescent="0.35">
      <c r="A222" s="200" t="s">
        <v>137</v>
      </c>
      <c r="B222" s="200"/>
      <c r="C222" s="7" t="s">
        <v>138</v>
      </c>
      <c r="D222" s="200"/>
      <c r="E222" s="36">
        <f t="shared" ca="1" si="82"/>
        <v>1.2500000000000001E-2</v>
      </c>
      <c r="F222" s="36"/>
      <c r="G222" s="36">
        <f t="shared" ca="1" si="83"/>
        <v>8.3333333333333332E-3</v>
      </c>
      <c r="H222" s="423">
        <f t="shared" ca="1" si="84"/>
        <v>2.3562800507588295E-4</v>
      </c>
      <c r="I222" s="423">
        <f t="shared" ca="1" si="85"/>
        <v>4.1117889914467278E-4</v>
      </c>
      <c r="J222" s="631">
        <f t="shared" ca="1" si="98"/>
        <v>6.4680690422055573E-4</v>
      </c>
      <c r="K222" s="147">
        <f t="shared" ca="1" si="86"/>
        <v>8.1999999999999993</v>
      </c>
      <c r="L222" s="429">
        <f t="shared" ca="1" si="87"/>
        <v>260.23872775996313</v>
      </c>
      <c r="M222" s="429">
        <f ca="1">L222*($E222-$G222)*(AllProps_SSW/NHHProps_SSW)</f>
        <v>20.589685534591201</v>
      </c>
      <c r="N222" s="89">
        <f t="shared" ca="1" si="88"/>
        <v>36.166957745748803</v>
      </c>
      <c r="O222" s="624">
        <f ca="1">N222*($E222-$G222)*(AllProps_SSW/NHHProps_SSW)</f>
        <v>2.8614737442717386</v>
      </c>
      <c r="P222" s="90">
        <f t="shared" ca="1" si="99"/>
        <v>30.877550770573404</v>
      </c>
      <c r="Q222" s="7" t="s">
        <v>127</v>
      </c>
      <c r="R222" s="271">
        <f t="shared" ca="1" si="89"/>
        <v>390.26990069264468</v>
      </c>
      <c r="S222" s="36">
        <f t="shared" ca="1" si="90"/>
        <v>2.5000000000000001E-2</v>
      </c>
      <c r="T222" s="36"/>
      <c r="U222" s="36">
        <f t="shared" ca="1" si="91"/>
        <v>1.6666666666666666E-2</v>
      </c>
      <c r="V222" s="423">
        <f t="shared" ca="1" si="92"/>
        <v>2.654718763279678E-4</v>
      </c>
      <c r="W222" s="423">
        <f t="shared" ca="1" si="93"/>
        <v>1.3401602008677625E-5</v>
      </c>
      <c r="X222" s="437">
        <f t="shared" ca="1" si="100"/>
        <v>2.7887347833664542E-4</v>
      </c>
      <c r="Y222" s="147">
        <f t="shared" ca="1" si="94"/>
        <v>7.8842174463045316</v>
      </c>
      <c r="Z222" s="429">
        <f t="shared" ca="1" si="95"/>
        <v>76.122762573196539</v>
      </c>
      <c r="AA222" s="429">
        <f ca="1">Z222*($S222-$U222)*(AllProps_CAM/NHHProps_CAM)</f>
        <v>10.666666666666668</v>
      </c>
      <c r="AB222" s="89">
        <f t="shared" ca="1" si="96"/>
        <v>10.189737398103325</v>
      </c>
      <c r="AC222" s="624">
        <f ca="1">AB222*($S222-$U222)*(AllProps_CAM/NHHProps_CAM)</f>
        <v>1.4278322090836246</v>
      </c>
      <c r="AD222" s="90">
        <f t="shared" ca="1" si="101"/>
        <v>115.37867970272433</v>
      </c>
      <c r="AE222" s="7" t="s">
        <v>127</v>
      </c>
      <c r="AF222" s="271">
        <f t="shared" ca="1" si="97"/>
        <v>823.4009850955664</v>
      </c>
      <c r="AG222" s="622"/>
      <c r="AH222" s="622"/>
      <c r="AI222" s="622"/>
      <c r="AJ222" s="622"/>
    </row>
    <row r="223" spans="1:36" s="7" customFormat="1" x14ac:dyDescent="0.35">
      <c r="A223" s="200" t="s">
        <v>143</v>
      </c>
      <c r="B223" s="200"/>
      <c r="C223" s="7" t="s">
        <v>144</v>
      </c>
      <c r="D223" s="200"/>
      <c r="E223" s="36">
        <f t="shared" ca="1" si="82"/>
        <v>2.5000000000000001E-2</v>
      </c>
      <c r="F223" s="36"/>
      <c r="G223" s="36">
        <f t="shared" ca="1" si="83"/>
        <v>1.6666666666666666E-2</v>
      </c>
      <c r="H223" s="423">
        <f t="shared" ca="1" si="84"/>
        <v>1.0363458862342743E-3</v>
      </c>
      <c r="I223" s="423">
        <f t="shared" ca="1" si="85"/>
        <v>6.2724159084084235E-4</v>
      </c>
      <c r="J223" s="631">
        <f t="shared" ca="1" si="98"/>
        <v>1.6635874770751166E-3</v>
      </c>
      <c r="K223" s="147">
        <f t="shared" ca="1" si="86"/>
        <v>4.9000000000000004</v>
      </c>
      <c r="L223" s="429">
        <f t="shared" ca="1" si="87"/>
        <v>159200.29439999998</v>
      </c>
      <c r="M223" s="429">
        <f ca="1">L223*(E223-G223)/NHHProps_SSW*100</f>
        <v>4.4240000000000004</v>
      </c>
      <c r="N223" s="89">
        <f t="shared" ca="1" si="88"/>
        <v>264843.61611051176</v>
      </c>
      <c r="O223" s="624">
        <f ca="1">N223*(E223-G223)/NHHProps_SSW*100</f>
        <v>7.3597109985803169</v>
      </c>
      <c r="P223" s="90">
        <f t="shared" ca="1" si="99"/>
        <v>18.451219362903622</v>
      </c>
      <c r="Q223" s="7" t="s">
        <v>145</v>
      </c>
      <c r="R223" s="271">
        <f ca="1">(P223*NHHProps_SSW)/((E223-G223)*100)</f>
        <v>663978.19950570446</v>
      </c>
      <c r="S223" s="36">
        <f t="shared" ca="1" si="90"/>
        <v>0.02</v>
      </c>
      <c r="T223" s="36"/>
      <c r="U223" s="36">
        <f t="shared" ca="1" si="91"/>
        <v>1.3333333333333334E-2</v>
      </c>
      <c r="V223" s="423">
        <f t="shared" ca="1" si="92"/>
        <v>1.3694025744847137E-3</v>
      </c>
      <c r="W223" s="423">
        <f t="shared" ca="1" si="93"/>
        <v>1.1073984405910726E-3</v>
      </c>
      <c r="X223" s="437">
        <f t="shared" ca="1" si="100"/>
        <v>2.4768010150757864E-3</v>
      </c>
      <c r="Y223" s="147">
        <f t="shared" ca="1" si="94"/>
        <v>4.2211529545411075</v>
      </c>
      <c r="Z223" s="429">
        <f t="shared" ca="1" si="95"/>
        <v>950206.4639999998</v>
      </c>
      <c r="AA223" s="429">
        <f ca="1">Z223*(S223-U223)/NHHProps_CAM*100</f>
        <v>73.727999999999966</v>
      </c>
      <c r="AB223" s="89">
        <f t="shared" ca="1" si="96"/>
        <v>163435.57878935931</v>
      </c>
      <c r="AC223" s="624">
        <f ca="1">AB223*(S223-U223)/NHHProps_CAM*100</f>
        <v>12.681221197188025</v>
      </c>
      <c r="AD223" s="90">
        <f t="shared" ca="1" si="101"/>
        <v>61.772909998377429</v>
      </c>
      <c r="AE223" s="7" t="s">
        <v>145</v>
      </c>
      <c r="AF223" s="271">
        <f ca="1">(AD223*NHHProps_CAM)/((S223-U223)*100)</f>
        <v>796129.26405908831</v>
      </c>
      <c r="AG223" s="622"/>
      <c r="AH223" s="622"/>
      <c r="AI223" s="622"/>
      <c r="AJ223" s="622"/>
    </row>
    <row r="224" spans="1:36" s="7" customFormat="1" x14ac:dyDescent="0.35">
      <c r="A224" s="200" t="s">
        <v>146</v>
      </c>
      <c r="B224" s="200"/>
      <c r="C224" s="5" t="s">
        <v>147</v>
      </c>
      <c r="D224" s="200"/>
      <c r="E224" s="36">
        <f t="shared" ref="E224" ca="1" si="102">INDEX(INDIRECT("SSW_WTPCore_DCE_"&amp;$C224&amp;"_Levels"),MATCH("COMBINED-HH",WTPCore_Group,0),MATCH(E$142,WTPCore_AttLevels,0))</f>
        <v>1.2500000000000001E-2</v>
      </c>
      <c r="F224" s="36"/>
      <c r="G224" s="36">
        <v>8.3000000000000001E-3</v>
      </c>
      <c r="H224" s="36">
        <f t="shared" ref="H224" ca="1" si="103">INDEX(INDIRECT("SSW_WTPCore_DCE_"&amp;$C224&amp;"_LevelValues"),MATCH("COMBINED-NHH",WTPCore_Group,0),MATCH("S1 MEAN",WTPCore_LevelValues,0))</f>
        <v>1E-3</v>
      </c>
      <c r="I224" s="36">
        <f t="shared" ref="I224" ca="1" si="104">INDEX(INDIRECT("SSW_WTPCore_DCE_"&amp;$C224&amp;"_LevelValues"),MATCH("COMBINED-NHH",WTPCore_Group,0),MATCH("S2 MEAN",WTPCore_LevelValues,0))</f>
        <v>8.0000000000000002E-3</v>
      </c>
      <c r="J224" s="437">
        <f ca="1">H224</f>
        <v>1E-3</v>
      </c>
      <c r="K224" s="147">
        <f t="shared" ca="1" si="86"/>
        <v>4</v>
      </c>
      <c r="L224" s="429">
        <f t="shared" ca="1" si="87"/>
        <v>318400.58879999997</v>
      </c>
      <c r="M224" s="89">
        <f ca="1">L224*(E224-G224)/NHHProps_SSW*100</f>
        <v>4.4593919999999994</v>
      </c>
      <c r="N224" s="89">
        <f ca="1">L224</f>
        <v>318400.58879999997</v>
      </c>
      <c r="O224" s="625">
        <f ca="1">(N224*(E224-G224)*100)/NHHProps_SSW</f>
        <v>4.4593919999999994</v>
      </c>
      <c r="P224" s="90">
        <f t="shared" ca="1" si="99"/>
        <v>15.062219888084588</v>
      </c>
      <c r="Q224" s="7" t="s">
        <v>145</v>
      </c>
      <c r="R224" s="271">
        <f ca="1">(P224*NHHProps_SSW)/((E224-G224)*100)</f>
        <v>1075442.5000092394</v>
      </c>
      <c r="S224" s="36">
        <f ca="1">INDEX(INDIRECT("CAM_WTPCore_"&amp;$C224&amp;"_Levels"),MATCH("COMBINED-NHH",WTPCore_Group,0),MATCH(S$142,WTPCore_AttLevels,0))</f>
        <v>1.2500000000000001E-2</v>
      </c>
      <c r="T224" s="36"/>
      <c r="U224" s="36">
        <v>8.3000000000000001E-3</v>
      </c>
      <c r="V224" s="36">
        <f ca="1">INDEX(INDIRECT("CAM_WTPCore_"&amp;$C224&amp;"_LevelValues"),MATCH("COMBINED-NHH",WTPCore_Group,0),MATCH("S1 MEAN",WTPCore_LevelValues,0))</f>
        <v>9.1158062540521636E-3</v>
      </c>
      <c r="W224" s="36">
        <f ca="1">INDEX(INDIRECT("CAM_WTPCore_"&amp;$C224&amp;"_LevelValues"),MATCH("COMBINED-NHH",WTPCore_Group,0),MATCH("S2 MEAN",WTPCore_LevelValues,0))</f>
        <v>2.0400790621022298E-3</v>
      </c>
      <c r="X224" s="437">
        <f ca="1">V224</f>
        <v>9.1158062540521636E-3</v>
      </c>
      <c r="Y224" s="147">
        <f ca="1">INDEX(INDIRECT("CAM_WTPCore_"&amp;$C224&amp;"_MaxDiffUIndex"),MATCH("COMBINED-NHH",WTPCore_Group,0),MATCH("MEAN",LMH,0))</f>
        <v>4.2337970550830155</v>
      </c>
      <c r="Z224" s="429">
        <f ca="1">INDEX(INDIRECT("CAM_WTPCore_"&amp;$C224&amp;"_UnitValues"),MATCH("COMBINED-NHH",WTPCore_Group,0),MATCH("MEAN",LMH,0))</f>
        <v>962433.11413022119</v>
      </c>
      <c r="AA224" s="89">
        <f ca="1">Z224*(S224-U224)/NHHProps_CAM*100</f>
        <v>47.046311444913052</v>
      </c>
      <c r="AB224" s="89">
        <f ca="1">Z224</f>
        <v>962433.11413022119</v>
      </c>
      <c r="AC224" s="625">
        <f ca="1">AB224*(S224-U224)/NHHProps_CAM*100</f>
        <v>47.046311444913052</v>
      </c>
      <c r="AD224" s="90">
        <f ca="1">(Y224*AB$235)/Y$234</f>
        <v>61.957945436135127</v>
      </c>
      <c r="AE224" s="7" t="s">
        <v>145</v>
      </c>
      <c r="AF224" s="271">
        <f ca="1">(AD224*NHHProps_CAM)/((S224-U224)*100)</f>
        <v>1267482.5409220785</v>
      </c>
      <c r="AG224" s="622"/>
      <c r="AH224" s="622"/>
      <c r="AI224" s="622"/>
      <c r="AJ224" s="622"/>
    </row>
    <row r="225" spans="1:36" s="7" customFormat="1" x14ac:dyDescent="0.35">
      <c r="A225" s="200" t="s">
        <v>139</v>
      </c>
      <c r="B225" s="200"/>
      <c r="C225" s="7" t="s">
        <v>140</v>
      </c>
      <c r="D225" s="200"/>
      <c r="E225" s="36">
        <f ca="1">INDEX(INDIRECT("SSW_WTPCore2_"&amp;$C225&amp;"_Levels"),2,MATCH(E$142,WTPCore2_AttLevels,0))</f>
        <v>0.1</v>
      </c>
      <c r="F225" s="36"/>
      <c r="G225" s="36">
        <f ca="1">INDEX(INDIRECT("SSW_WTPCore2_"&amp;$C225&amp;"_Levels"),2,MATCH(G$142,WTPCore2_AttLevels,0))</f>
        <v>6.6666666666666666E-2</v>
      </c>
      <c r="H225" s="423">
        <f ca="1">INDEX(INDIRECT("SSW_WTPCore2_"&amp;$C225&amp;"_LevelValues"),2,MATCH("S1 MEAN",WTPCore2_LevelValues,0))</f>
        <v>6.9813125314618224E-5</v>
      </c>
      <c r="I225" s="423">
        <f ca="1">INDEX(INDIRECT("SSW_WTPCore2_"&amp;$C225&amp;"_LevelValues"),2,MATCH("S2 MEAN",WTPCore2_LevelValues,0))</f>
        <v>4.2539865887973236E-4</v>
      </c>
      <c r="J225" s="437">
        <f t="shared" ca="1" si="98"/>
        <v>4.9521178419435058E-4</v>
      </c>
      <c r="K225" s="147">
        <f t="shared" ca="1" si="86"/>
        <v>5.8</v>
      </c>
      <c r="L225" s="429">
        <f t="shared" ca="1" si="87"/>
        <v>32.097263297522041</v>
      </c>
      <c r="M225" s="429">
        <f ca="1">L225*(E225-G225)*(AllProps_SSW/NHHProps_SSW)</f>
        <v>20.315886524822698</v>
      </c>
      <c r="N225" s="89">
        <f ca="1">INDEX(INDIRECT("SSW_WTPCore2_"&amp;$C225&amp;"_UnitValues"),2,MATCH("MEAN",LMH,0))</f>
        <v>3.461292612463883</v>
      </c>
      <c r="O225" s="624">
        <f ca="1">N225*(E225-G225)*(AllProps_SSW/NHHProps_SSW)</f>
        <v>2.1908169332758067</v>
      </c>
      <c r="P225" s="90">
        <f t="shared" ca="1" si="99"/>
        <v>21.840218837722652</v>
      </c>
      <c r="Q225" s="7" t="s">
        <v>127</v>
      </c>
      <c r="R225" s="271">
        <f ca="1">(P225*NHHProps_SSW)/((E225-G225)*AllProps_SSW)</f>
        <v>34.505570488069196</v>
      </c>
      <c r="S225" s="36">
        <f ca="1">INDEX(INDIRECT("CAM_WTPCore2_"&amp;$C225&amp;"_Levels"),2,MATCH(S$142,WTPCore2_AttLevels,0))</f>
        <v>9.0909090909090912E-2</v>
      </c>
      <c r="T225" s="36"/>
      <c r="U225" s="36">
        <f ca="1">INDEX(INDIRECT("CAM_WTPCore2_"&amp;$C225&amp;"_Levels"),2,MATCH(U$142,WTPCore2_AttLevels,0))</f>
        <v>6.6666666666666666E-2</v>
      </c>
      <c r="V225" s="423">
        <f ca="1">INDEX(INDIRECT("CAM_WTPCore2_"&amp;$C225&amp;"_LevelValues"),2,MATCH("S1 MEAN",WTPCore2_LevelValues,0))</f>
        <v>4.8585541264324922E-5</v>
      </c>
      <c r="W225" s="423">
        <f ca="1">INDEX(INDIRECT("CAM_WTPCore2_"&amp;$C225&amp;"_LevelValues"),2,MATCH("S2 MEAN",WTPCore2_LevelValues,0))</f>
        <v>4.7427328754792901E-3</v>
      </c>
      <c r="X225" s="437">
        <f ca="1">V225+W225</f>
        <v>4.7913184167436155E-3</v>
      </c>
      <c r="Y225" s="147">
        <f t="shared" ca="1" si="94"/>
        <v>3.7501117610306043</v>
      </c>
      <c r="Z225" s="429">
        <f t="shared" ca="1" si="95"/>
        <v>19.435598954858694</v>
      </c>
      <c r="AA225" s="429">
        <f ca="1">Z225*(S225-U225)*(AllProps_CAM/NHHProps_CAM)</f>
        <v>7.9226305609284342</v>
      </c>
      <c r="AB225" s="89">
        <f ca="1">INDEX(INDIRECT("CAM_WTPCore2_"&amp;$C225&amp;"_UnitValues"),2,MATCH("MEAN",LMH,0))</f>
        <v>60.18018505130911</v>
      </c>
      <c r="AC225" s="624">
        <f ca="1">AB225*(S225-U225)*(AllProps_CAM/NHHProps_CAM)</f>
        <v>24.531550293727314</v>
      </c>
      <c r="AD225" s="90">
        <f t="shared" ca="1" si="101"/>
        <v>54.879630942722862</v>
      </c>
      <c r="AE225" s="7" t="s">
        <v>127</v>
      </c>
      <c r="AF225" s="271">
        <f ca="1">(AD225*NHHProps_CAM)/((S225-U225)*AllProps_CAM)</f>
        <v>134.62933675761613</v>
      </c>
      <c r="AG225" s="622"/>
      <c r="AH225" s="622"/>
      <c r="AI225" s="622"/>
      <c r="AJ225" s="622"/>
    </row>
    <row r="226" spans="1:36" s="7" customFormat="1" x14ac:dyDescent="0.35">
      <c r="A226" s="200" t="s">
        <v>141</v>
      </c>
      <c r="B226" s="200"/>
      <c r="C226" s="7" t="s">
        <v>142</v>
      </c>
      <c r="D226" s="200"/>
      <c r="E226" s="36">
        <f ca="1">INDEX(INDIRECT("SSW_WTPCore2_"&amp;$C226&amp;"_Levels"),2,MATCH(E$142,WTPCore2_AttLevels,0))</f>
        <v>1.2500000000000001E-2</v>
      </c>
      <c r="F226" s="36"/>
      <c r="G226" s="36">
        <f ca="1">INDEX(INDIRECT("SSW_WTPCore2_"&amp;$C226&amp;"_Levels"),2,MATCH(G$142,WTPCore2_AttLevels,0))</f>
        <v>8.3333333333333332E-3</v>
      </c>
      <c r="H226" s="423">
        <f ca="1">INDEX(INDIRECT("SSW_WTPCore2_"&amp;$C226&amp;"_LevelValues"),2,MATCH("S1 MEAN",WTPCore2_LevelValues,0))</f>
        <v>3.2547973798216128E-3</v>
      </c>
      <c r="I226" s="423">
        <f ca="1">INDEX(INDIRECT("SSW_WTPCore2_"&amp;$C226&amp;"_LevelValues"),2,MATCH("S2 MEAN",WTPCore2_LevelValues,0))</f>
        <v>7.948008279647506E-4</v>
      </c>
      <c r="J226" s="437">
        <f t="shared" ca="1" si="98"/>
        <v>4.0495982077863634E-3</v>
      </c>
      <c r="K226" s="147">
        <f t="shared" ca="1" si="86"/>
        <v>5.4</v>
      </c>
      <c r="L226" s="429">
        <f t="shared" ca="1" si="87"/>
        <v>447.32927258199061</v>
      </c>
      <c r="M226" s="429">
        <f ca="1">L226*(E226-G226)*(AllProps_SSW/NHHProps_SSW)</f>
        <v>35.39200000000001</v>
      </c>
      <c r="N226" s="89">
        <f ca="1">INDEX(INDIRECT("SSW_WTPCore2_"&amp;$C226&amp;"_UnitValues"),2,MATCH("MEAN",LMH,0))</f>
        <v>226.43797756730081</v>
      </c>
      <c r="O226" s="624">
        <f ca="1">N226*(E226-G226)*(AllProps_SSW/NHHProps_SSW)</f>
        <v>17.91542247124687</v>
      </c>
      <c r="P226" s="90">
        <f t="shared" ca="1" si="99"/>
        <v>20.333996848914197</v>
      </c>
      <c r="Q226" s="7" t="s">
        <v>127</v>
      </c>
      <c r="R226" s="271">
        <f ca="1">(P226*NHHProps_SSW)/((E226-G226)*AllProps_SSW)</f>
        <v>257.00700777320509</v>
      </c>
      <c r="S226" s="36">
        <f ca="1">INDEX(INDIRECT("CAM_WTPCore2_"&amp;$C226&amp;"_Levels"),2,MATCH(S$142,WTPCore2_AttLevels,0))</f>
        <v>1.2500000000000001E-2</v>
      </c>
      <c r="T226" s="36"/>
      <c r="U226" s="36">
        <f ca="1">INDEX(INDIRECT("CAM_WTPCore2_"&amp;$C226&amp;"_Levels"),2,MATCH(U$142,WTPCore2_AttLevels,0))</f>
        <v>8.3333333333333332E-3</v>
      </c>
      <c r="V226" s="423">
        <f ca="1">INDEX(INDIRECT("CAM_WTPCore2_"&amp;$C226&amp;"_LevelValues"),2,MATCH("S1 MEAN",WTPCore2_LevelValues,0))</f>
        <v>9.4713974082152442E-6</v>
      </c>
      <c r="W226" s="423">
        <f ca="1">INDEX(INDIRECT("CAM_WTPCore2_"&amp;$C226&amp;"_LevelValues"),2,MATCH("S2 MEAN",WTPCore2_LevelValues,0))</f>
        <v>6.2354630531377838E-4</v>
      </c>
      <c r="X226" s="437">
        <f t="shared" ca="1" si="100"/>
        <v>6.3301770272199359E-4</v>
      </c>
      <c r="Y226" s="147">
        <f t="shared" ca="1" si="94"/>
        <v>4.3840773480987609</v>
      </c>
      <c r="Z226" s="429">
        <f t="shared" ca="1" si="95"/>
        <v>2192.3355621080605</v>
      </c>
      <c r="AA226" s="429">
        <f ca="1">Z226*(S226-U226)*(AllProps_CAM/NHHProps_CAM)</f>
        <v>153.6</v>
      </c>
      <c r="AB226" s="89">
        <f ca="1">INDEX(INDIRECT("CAM_WTPCore2_"&amp;$C226&amp;"_UnitValues"),2,MATCH("MEAN",LMH,0))</f>
        <v>46.25957403737916</v>
      </c>
      <c r="AC226" s="624">
        <f ca="1">AB226*(S226-U226)*(AllProps_CAM/NHHProps_CAM)</f>
        <v>3.2410506379366071</v>
      </c>
      <c r="AD226" s="90">
        <f t="shared" ca="1" si="101"/>
        <v>64.157167097838837</v>
      </c>
      <c r="AE226" s="7" t="s">
        <v>127</v>
      </c>
      <c r="AF226" s="271">
        <f ca="1">(AD226*NHHProps_CAM)/((S226-U226)*AllProps_CAM)</f>
        <v>915.71639969206558</v>
      </c>
      <c r="AG226" s="622"/>
      <c r="AH226" s="622"/>
      <c r="AI226" s="622"/>
      <c r="AJ226" s="622"/>
    </row>
    <row r="227" spans="1:36" s="7" customFormat="1" x14ac:dyDescent="0.35">
      <c r="A227" s="200" t="s">
        <v>544</v>
      </c>
      <c r="B227" s="200"/>
      <c r="C227" s="7" t="s">
        <v>40</v>
      </c>
      <c r="D227" s="200"/>
      <c r="E227" s="147">
        <f ca="1">INDEX(INDIRECT("SSW_WTPCore2_"&amp;$C227&amp;"_Levels"),2,MATCH(E$142,WTPCore2_AttLevels,0))</f>
        <v>70.5</v>
      </c>
      <c r="F227" s="147"/>
      <c r="G227" s="436">
        <f ca="1">INDEX(INDIRECT("SSW_WTPCore2_"&amp;$C227&amp;"_Levels"),2,MATCH(G$142,WTPCore2_AttLevels,0))</f>
        <v>35.25</v>
      </c>
      <c r="H227" s="436">
        <f ca="1">INDEX(INDIRECT("SSW_WTPCore2_"&amp;$C227&amp;"_LevelValues"),2,MATCH("S1 MEAN",WTPCore2_LevelValues,0))</f>
        <v>1.8366495603833657E-2</v>
      </c>
      <c r="I227" s="436">
        <f ca="1">INDEX(INDIRECT("SSW_WTPCore2_"&amp;$C227&amp;"_LevelValues"),2,MATCH("S2 MEAN",WTPCore2_LevelValues,0))</f>
        <v>6.6875105310339848E-3</v>
      </c>
      <c r="J227" s="437">
        <f t="shared" ca="1" si="98"/>
        <v>2.5054006134867642E-2</v>
      </c>
      <c r="K227" s="147">
        <f t="shared" ca="1" si="86"/>
        <v>6.5</v>
      </c>
      <c r="L227" s="429">
        <f t="shared" ca="1" si="87"/>
        <v>18818.001702127662</v>
      </c>
      <c r="M227" s="429">
        <f ca="1">L227*(E227-$G227)/NHHProps_SSW</f>
        <v>22.12</v>
      </c>
      <c r="N227" s="89">
        <f ca="1">INDEX(INDIRECT("SSW_WTPCore2_"&amp;$C227&amp;"_UnitValues"),2,MATCH("MEAN",LMH,0))</f>
        <v>94293.266018211216</v>
      </c>
      <c r="O227" s="624">
        <f ca="1">N227*(E227-$G227)/NHHProps_SSW</f>
        <v>110.83892314065444</v>
      </c>
      <c r="P227" s="90">
        <f t="shared" ca="1" si="99"/>
        <v>24.476107318137458</v>
      </c>
      <c r="Q227" s="7" t="s">
        <v>148</v>
      </c>
      <c r="R227" s="271">
        <f ca="1">(P227*NHHProps_SSW)/((E227-G227))</f>
        <v>20822.397340604428</v>
      </c>
      <c r="S227" s="147">
        <f ca="1">INDEX(INDIRECT("CAM_WTPCore2_"&amp;$C227&amp;"_Levels"),2,MATCH(S$142,WTPCore2_AttLevels,0))</f>
        <v>13.5</v>
      </c>
      <c r="T227" s="147"/>
      <c r="U227" s="147">
        <f ca="1">INDEX(INDIRECT("CAM_WTPCore2_"&amp;$C227&amp;"_Levels"),2,MATCH(U$142,WTPCore2_AttLevels,0))</f>
        <v>6.75</v>
      </c>
      <c r="V227" s="423">
        <f ca="1">INDEX(INDIRECT("CAM_WTPCore2_"&amp;$C227&amp;"_LevelValues"),2,MATCH("S1 MEAN",WTPCore2_LevelValues,0))</f>
        <v>7.1569068986342493E-2</v>
      </c>
      <c r="W227" s="423">
        <f ca="1">INDEX(INDIRECT("CAM_WTPCore2_"&amp;$C227&amp;"_LevelValues"),2,MATCH("S2 MEAN",WTPCore2_LevelValues,0))</f>
        <v>3.5284810800562588E-2</v>
      </c>
      <c r="X227" s="437">
        <f t="shared" ca="1" si="100"/>
        <v>0.10685387978690508</v>
      </c>
      <c r="Y227" s="147">
        <f t="shared" ca="1" si="94"/>
        <v>5.5537580076527551</v>
      </c>
      <c r="Z227" s="429">
        <f t="shared" ca="1" si="95"/>
        <v>13034.382222222222</v>
      </c>
      <c r="AA227" s="429">
        <f ca="1">Z227*(S227-$U227)/NHHProps_CAM</f>
        <v>10.24</v>
      </c>
      <c r="AB227" s="89">
        <f ca="1">INDEX(INDIRECT("CAM_WTPCore2_"&amp;$C227&amp;"_UnitValues"),2,MATCH("MEAN",LMH,0))</f>
        <v>696387.155534953</v>
      </c>
      <c r="AC227" s="624">
        <f ca="1">AB227*(S227-$U227)/NHHProps_CAM</f>
        <v>547.09186450895402</v>
      </c>
      <c r="AD227" s="90">
        <f t="shared" ca="1" si="101"/>
        <v>81.274428397678804</v>
      </c>
      <c r="AE227" s="7" t="s">
        <v>148</v>
      </c>
      <c r="AF227" s="271">
        <f ca="1">(AD227*NHHProps_CAM)/((S227-U227))</f>
        <v>103453.31685820092</v>
      </c>
      <c r="AG227" s="622"/>
      <c r="AH227" s="622"/>
      <c r="AI227" s="622"/>
      <c r="AJ227" s="622"/>
    </row>
    <row r="228" spans="1:36" s="7" customFormat="1" x14ac:dyDescent="0.35">
      <c r="A228" s="200" t="s">
        <v>455</v>
      </c>
      <c r="B228" s="200"/>
      <c r="C228" s="7" t="s">
        <v>149</v>
      </c>
      <c r="D228" s="200"/>
      <c r="E228" s="225"/>
      <c r="F228" s="156"/>
      <c r="G228" s="225"/>
      <c r="H228" s="156"/>
      <c r="I228" s="156"/>
      <c r="J228" s="627"/>
      <c r="K228" s="628"/>
      <c r="L228" s="628"/>
      <c r="M228" s="632"/>
      <c r="N228" s="628"/>
      <c r="O228" s="632"/>
      <c r="P228" s="152"/>
      <c r="Q228" s="50"/>
      <c r="R228" s="629"/>
      <c r="S228" s="225"/>
      <c r="T228" s="156"/>
      <c r="U228" s="225"/>
      <c r="V228" s="156"/>
      <c r="W228" s="156"/>
      <c r="X228" s="627"/>
      <c r="Y228" s="628"/>
      <c r="Z228" s="633"/>
      <c r="AA228" s="632"/>
      <c r="AB228" s="632"/>
      <c r="AC228" s="632"/>
      <c r="AD228" s="152"/>
      <c r="AE228" s="50"/>
      <c r="AF228" s="629"/>
      <c r="AG228" s="623"/>
      <c r="AH228" s="623"/>
      <c r="AI228" s="623"/>
      <c r="AJ228" s="623"/>
    </row>
    <row r="229" spans="1:36" s="7" customFormat="1" x14ac:dyDescent="0.35">
      <c r="A229" s="200" t="s">
        <v>151</v>
      </c>
      <c r="B229" s="200"/>
      <c r="C229" s="5" t="s">
        <v>152</v>
      </c>
      <c r="D229" s="200"/>
      <c r="E229" s="156"/>
      <c r="F229" s="156"/>
      <c r="G229" s="156"/>
      <c r="H229" s="156"/>
      <c r="I229" s="156"/>
      <c r="J229" s="627"/>
      <c r="K229" s="628"/>
      <c r="L229" s="628"/>
      <c r="M229" s="632"/>
      <c r="N229" s="628"/>
      <c r="O229" s="632"/>
      <c r="P229" s="152"/>
      <c r="Q229" s="50"/>
      <c r="R229" s="629"/>
      <c r="S229" s="156"/>
      <c r="T229" s="156"/>
      <c r="U229" s="156"/>
      <c r="V229" s="156"/>
      <c r="W229" s="156"/>
      <c r="X229" s="627"/>
      <c r="Y229" s="628"/>
      <c r="Z229" s="633"/>
      <c r="AA229" s="632"/>
      <c r="AB229" s="632"/>
      <c r="AC229" s="632"/>
      <c r="AD229" s="152"/>
      <c r="AE229" s="50"/>
      <c r="AF229" s="629"/>
      <c r="AG229" s="623"/>
      <c r="AH229" s="623"/>
      <c r="AI229" s="623"/>
      <c r="AJ229" s="623"/>
    </row>
    <row r="230" spans="1:36" s="7" customFormat="1" x14ac:dyDescent="0.35">
      <c r="A230" s="200" t="s">
        <v>461</v>
      </c>
      <c r="B230" s="200"/>
      <c r="C230" s="7" t="s">
        <v>545</v>
      </c>
      <c r="D230" s="200"/>
      <c r="E230" s="36">
        <f ca="1">INDEX(INDIRECT("SSW_WTPCore2_"&amp;$C230&amp;"_Levels"),2,MATCH(E$142,WTPCore2_AttLevels,0))</f>
        <v>0.11</v>
      </c>
      <c r="F230" s="36"/>
      <c r="G230" s="36">
        <f ca="1">INDEX(INDIRECT("SSW_WTPCore2_"&amp;$C230&amp;"_Levels"),2,MATCH(G$142,WTPCore2_AttLevels,0))</f>
        <v>0.18</v>
      </c>
      <c r="H230" s="423">
        <f ca="1">INDEX(INDIRECT("SSW_WTPCore2_"&amp;$C230&amp;"_LevelValues"),2,MATCH("S1 MEAN",WTPCore2_LevelValues,0))</f>
        <v>1.2065378629958141E-2</v>
      </c>
      <c r="I230" s="423">
        <f ca="1">INDEX(INDIRECT("SSW_WTPCore2_"&amp;$C230&amp;"_LevelValues"),2,MATCH("S2 MEAN",WTPCore2_LevelValues,0))</f>
        <v>3.8869975294432441E-3</v>
      </c>
      <c r="J230" s="437">
        <f t="shared" ca="1" si="98"/>
        <v>1.5952376159401385E-2</v>
      </c>
      <c r="K230" s="147">
        <f ca="1">INDEX(INDIRECT("SSW_WTPCore_DCE_"&amp;$C230&amp;"_MaxDiffUIndex"),MATCH("COMBINED-NHH",WTPCore_Group,0),MATCH("MEAN",LMH,0))</f>
        <v>8</v>
      </c>
      <c r="L230" s="429">
        <f ca="1">INDEX(INDIRECT("SSW_WTPCore_DCE_"&amp;$C230&amp;"_UnitValues"),MATCH("COMBINED-nHH",WTPCore_Group,0),MATCH("MEAN",LMH,0))</f>
        <v>79600.147199999992</v>
      </c>
      <c r="M230" s="89">
        <f ca="1">-L230*($E230-$G230)*100/NHHProps_SSW</f>
        <v>18.580799999999993</v>
      </c>
      <c r="N230" s="89">
        <f ca="1">INDEX(INDIRECT("SSW_WTPCore2_"&amp;$C230&amp;"_UnitValues"),2,MATCH("MEAN",LMH,0))</f>
        <v>302336.06916145736</v>
      </c>
      <c r="O230" s="625">
        <f ca="1">-N230*($E230-$G230)*100/(NHHProps_SSW)</f>
        <v>70.57331212919172</v>
      </c>
      <c r="P230" s="90">
        <f t="shared" ref="P230:P233" ca="1" si="105">(K230*N$235)/K$234</f>
        <v>30.124439776169176</v>
      </c>
      <c r="Q230" s="7" t="s">
        <v>546</v>
      </c>
      <c r="R230" s="271">
        <f ca="1">-(P230*NHHProps_SSW)/((E230-G230)*100)</f>
        <v>129053.10000110876</v>
      </c>
      <c r="S230" s="36">
        <f ca="1">INDEX(INDIRECT("CAM_WTPCore2_"&amp;$C230&amp;"_Levels"),2,MATCH(S$142,WTPCore2_AttLevels,0))</f>
        <v>0.11</v>
      </c>
      <c r="T230" s="36"/>
      <c r="U230" s="36">
        <f ca="1">INDEX(INDIRECT("CAM_WTPCore2_"&amp;$C230&amp;"_Levels"),2,MATCH(U$142,WTPCore2_AttLevels,0))</f>
        <v>0.18</v>
      </c>
      <c r="V230" s="423">
        <f ca="1">INDEX(INDIRECT("CAM_WTPCore2_"&amp;$C230&amp;"_LevelValues"),2,MATCH("S1 MEAN",WTPCore2_LevelValues,0))</f>
        <v>1.8975572628403961E-4</v>
      </c>
      <c r="W230" s="423">
        <f ca="1">INDEX(INDIRECT("CAM_WTPCore2_"&amp;$C230&amp;"_LevelValues"),2,MATCH("S2 MEAN",WTPCore2_LevelValues,0))</f>
        <v>2.794830386975671E-3</v>
      </c>
      <c r="X230" s="437">
        <f t="shared" ca="1" si="100"/>
        <v>2.9845861132597106E-3</v>
      </c>
      <c r="Y230" s="147">
        <f ca="1">INDEX(INDIRECT("CAM_WTPCore_"&amp;$C230&amp;"_MaxDiffUIndex"),MATCH("COMBINED-NHH",WTPCore_Group,0),MATCH("MEAN",LMH,0))</f>
        <v>5.782827975927745</v>
      </c>
      <c r="Z230" s="429">
        <f ca="1">INDEX(INDIRECT("CAM_WTPCore_"&amp;$C230&amp;"_UnitValues"),MATCH("COMBINED-NHH",WTPCore_Group,0),MATCH("MEAN",LMH,0))</f>
        <v>9023.8030769230772</v>
      </c>
      <c r="AA230" s="89">
        <f ca="1">-Z230*($S230-$U230)*100/NHHProps_CAM</f>
        <v>7.3517948717948718</v>
      </c>
      <c r="AB230" s="89">
        <f ca="1">INDEX(INDIRECT("CAM_WTPCore2_"&amp;$C230&amp;"_UnitValues"),2,MATCH("MEAN",LMH,0))</f>
        <v>18756.43529883607</v>
      </c>
      <c r="AC230" s="625">
        <f ca="1">-AB230*($S230-$U230)*100/(NHHProps_CAM)</f>
        <v>15.281080899889723</v>
      </c>
      <c r="AD230" s="90">
        <f t="shared" ca="1" si="101"/>
        <v>84.626668576125596</v>
      </c>
      <c r="AE230" s="7" t="s">
        <v>546</v>
      </c>
      <c r="AF230" s="271">
        <f ca="1">-(AD230*NHHProps_CAM)/((S230-U230)*100)</f>
        <v>103873.19091515303</v>
      </c>
      <c r="AG230" s="622"/>
      <c r="AH230" s="622"/>
      <c r="AI230" s="622"/>
      <c r="AJ230" s="622"/>
    </row>
    <row r="231" spans="1:36" s="7" customFormat="1" x14ac:dyDescent="0.35">
      <c r="A231" s="200" t="s">
        <v>153</v>
      </c>
      <c r="B231" s="200"/>
      <c r="C231" s="7" t="s">
        <v>154</v>
      </c>
      <c r="D231" s="200"/>
      <c r="E231" s="37">
        <f ca="1">INDEX(INDIRECT("SSW_WTPCore2_"&amp;$C231&amp;"_Levels"),2,MATCH(E$142,WTPCore2_AttLevels,0))</f>
        <v>0</v>
      </c>
      <c r="F231" s="190"/>
      <c r="G231" s="37">
        <f ca="1">INDEX(INDIRECT("SSW_WTPCore2_"&amp;$C231&amp;"_Levels"),2,MATCH(G$142,WTPCore2_AttLevels,0))</f>
        <v>50</v>
      </c>
      <c r="H231" s="37">
        <f ca="1">INDEX(INDIRECT("SSW_WTPCore2_"&amp;$C231&amp;"_LevelValues"),2,MATCH("S1 MEAN",WTPCore2_LevelValues,0))</f>
        <v>3.6163448555426433E-4</v>
      </c>
      <c r="I231" s="436">
        <f ca="1">INDEX(INDIRECT("SSW_WTPCore2_"&amp;$C231&amp;"_LevelValues"),2,MATCH("S2 MEAN",WTPCore2_LevelValues,0))</f>
        <v>1.464595009466312E-3</v>
      </c>
      <c r="J231" s="437">
        <f t="shared" ca="1" si="98"/>
        <v>1.8262294950205764E-3</v>
      </c>
      <c r="K231" s="147">
        <f ca="1">INDEX(INDIRECT("SSW_WTPCore_DCE_"&amp;$C231&amp;"_MaxDiffUIndex"),MATCH("COMBINED-NHH",WTPCore_Group,0),MATCH("MEAN",LMH,0))</f>
        <v>5.6</v>
      </c>
      <c r="L231" s="429">
        <f ca="1">INDEX(INDIRECT("SSW_WTPCore_DCE_"&amp;$C231&amp;"_UnitValues"),MATCH("COMBINED-nHH",WTPCore_Group,0),MATCH("MEAN",LMH,0))</f>
        <v>6633.3456000000006</v>
      </c>
      <c r="M231" s="429">
        <f ca="1">-L231*(E231-G231)/NHHProps_SSW</f>
        <v>11.06</v>
      </c>
      <c r="N231" s="89">
        <f ca="1">INDEX(INDIRECT("SSW_WTPCore2_"&amp;$C231&amp;"_UnitValues"),2,MATCH("MEAN",LMH,0))</f>
        <v>4845.6045541539843</v>
      </c>
      <c r="O231" s="624">
        <f ca="1">-N231*(E231-G231)/NHHProps_SSW</f>
        <v>8.0792392859710294</v>
      </c>
      <c r="P231" s="90">
        <f t="shared" ca="1" si="105"/>
        <v>21.087107843318424</v>
      </c>
      <c r="Q231" s="7" t="s">
        <v>155</v>
      </c>
      <c r="R231" s="271">
        <f ca="1">-(P231*NHHProps_SSW)/((E231-G231))</f>
        <v>12647.203800108658</v>
      </c>
      <c r="S231" s="37">
        <f ca="1">INDEX(INDIRECT("CAM_WTPCore2_"&amp;$C231&amp;"_Levels"),2,MATCH(S$142,WTPCore2_AttLevels,0))</f>
        <v>0</v>
      </c>
      <c r="T231" s="37"/>
      <c r="U231" s="37">
        <f ca="1">INDEX(INDIRECT("CAM_WTPCore2_"&amp;$C231&amp;"_Levels"),2,MATCH(U$142,WTPCore2_AttLevels,0))</f>
        <v>9</v>
      </c>
      <c r="V231" s="423">
        <f ca="1">INDEX(INDIRECT("CAM_WTPCore2_"&amp;$C231&amp;"_LevelValues"),2,MATCH("S1 MEAN",WTPCore2_LevelValues,0))</f>
        <v>1.500948855436721E-2</v>
      </c>
      <c r="W231" s="423">
        <f ca="1">INDEX(INDIRECT("CAM_WTPCore2_"&amp;$C231&amp;"_LevelValues"),2,MATCH("S2 MEAN",WTPCore2_LevelValues,0))</f>
        <v>5.3297158206472399E-3</v>
      </c>
      <c r="X231" s="437">
        <f t="shared" ca="1" si="100"/>
        <v>2.033920437501445E-2</v>
      </c>
      <c r="Y231" s="147">
        <f ca="1">INDEX(INDIRECT("CAM_WTPCore_"&amp;$C231&amp;"_MaxDiffUIndex"),MATCH("COMBINED-NHH",WTPCore_Group,0),MATCH("MEAN",LMH,0))</f>
        <v>5.1321618389615082</v>
      </c>
      <c r="Z231" s="429">
        <f ca="1">INDEX(INDIRECT("CAM_WTPCore_"&amp;$C231&amp;"_UnitValues"),MATCH("COMBINED-NHH",WTPCore_Group,0),MATCH("MEAN",LMH,0))</f>
        <v>4399.1040000000003</v>
      </c>
      <c r="AA231" s="429">
        <f ca="1">-Z231*(S231-U231)/NHHProps_CAM</f>
        <v>4.6080000000000005</v>
      </c>
      <c r="AB231" s="89">
        <f ca="1">INDEX(INDIRECT("CAM_WTPCore2_"&amp;$C231&amp;"_UnitValues"),2,MATCH("MEAN",LMH,0))</f>
        <v>99415.861469937299</v>
      </c>
      <c r="AC231" s="624">
        <f ca="1">-AB231*(S231-U231)/NHHProps_CAM</f>
        <v>104.13672640007398</v>
      </c>
      <c r="AD231" s="90">
        <f t="shared" ca="1" si="101"/>
        <v>75.104734367471281</v>
      </c>
      <c r="AE231" s="7" t="s">
        <v>155</v>
      </c>
      <c r="AF231" s="271">
        <f ca="1">-(AD231*NHHProps_CAM)/((S231-U231))</f>
        <v>71699.986409479243</v>
      </c>
      <c r="AG231" s="622"/>
      <c r="AH231" s="622"/>
      <c r="AI231" s="622"/>
      <c r="AJ231" s="622"/>
    </row>
    <row r="232" spans="1:36" s="7" customFormat="1" x14ac:dyDescent="0.35">
      <c r="A232" s="200" t="s">
        <v>156</v>
      </c>
      <c r="B232" s="200"/>
      <c r="C232" s="7" t="s">
        <v>157</v>
      </c>
      <c r="D232" s="200"/>
      <c r="E232" s="37">
        <f ca="1">INDEX(INDIRECT("SSW_WTPCore2_"&amp;$C232&amp;"_Levels"),2,MATCH(E$142,WTPCore2_AttLevels,0))</f>
        <v>0</v>
      </c>
      <c r="F232" s="190"/>
      <c r="G232" s="37">
        <f ca="1">INDEX(INDIRECT("SSW_WTPCore2_"&amp;$C232&amp;"_Levels"),2,MATCH(G$142,WTPCore2_AttLevels,0))</f>
        <v>200</v>
      </c>
      <c r="H232" s="37">
        <f ca="1">INDEX(INDIRECT("SSW_WTPCore2_"&amp;$C232&amp;"_LevelValues"),2,MATCH("S1 MEAN",WTPCore2_LevelValues,0))</f>
        <v>5.0168071093816241E-4</v>
      </c>
      <c r="I232" s="436">
        <f ca="1">INDEX(INDIRECT("SSW_WTPCore2_"&amp;$C232&amp;"_LevelValues"),2,MATCH("S2 MEAN",WTPCore2_LevelValues,0))</f>
        <v>7.1944373918171357E-3</v>
      </c>
      <c r="J232" s="437">
        <f t="shared" ca="1" si="98"/>
        <v>7.6961181027552983E-3</v>
      </c>
      <c r="K232" s="147">
        <f ca="1">INDEX(INDIRECT("SSW_WTPCore_DCE_"&amp;$C232&amp;"_MaxDiffUIndex"),MATCH("COMBINED-NHH",WTPCore_Group,0),MATCH("MEAN",LMH,0))</f>
        <v>6</v>
      </c>
      <c r="L232" s="429">
        <f ca="1">INDEX(INDIRECT("SSW_WTPCore_DCE_"&amp;$C232&amp;"_UnitValues"),MATCH("COMBINED-nHH",WTPCore_Group,0),MATCH("MEAN",LMH,0))</f>
        <v>5306.6764800000001</v>
      </c>
      <c r="M232" s="429">
        <f ca="1">-L232*(E232-G232)/NHHProps_SSW</f>
        <v>35.392000000000003</v>
      </c>
      <c r="N232" s="89">
        <f ca="1">INDEX(INDIRECT("SSW_WTPCore2_"&amp;$C232&amp;"_UnitValues"),2,MATCH("MEAN",LMH,0))</f>
        <v>5105.1011153992204</v>
      </c>
      <c r="O232" s="624">
        <f ca="1">-N232*(E232-G232)/NHHProps_SSW</f>
        <v>34.047626486589436</v>
      </c>
      <c r="P232" s="90">
        <f t="shared" ca="1" si="105"/>
        <v>22.593329832126884</v>
      </c>
      <c r="Q232" s="7" t="s">
        <v>155</v>
      </c>
      <c r="R232" s="271">
        <f ca="1">-(P232*NHHProps_SSW)/((E232-G232))</f>
        <v>3387.6438750291049</v>
      </c>
      <c r="S232" s="37">
        <f ca="1">INDEX(INDIRECT("CAM_WTPCore2_"&amp;$C232&amp;"_Levels"),2,MATCH(S$142,WTPCore2_AttLevels,0))</f>
        <v>0</v>
      </c>
      <c r="T232" s="37"/>
      <c r="U232" s="37">
        <f ca="1">INDEX(INDIRECT("CAM_WTPCore2_"&amp;$C232&amp;"_Levels"),2,MATCH(U$142,WTPCore2_AttLevels,0))</f>
        <v>100</v>
      </c>
      <c r="V232" s="423">
        <f ca="1">INDEX(INDIRECT("CAM_WTPCore2_"&amp;$C232&amp;"_LevelValues"),2,MATCH("S1 MEAN",WTPCore2_LevelValues,0))</f>
        <v>7.0247642217123304E-2</v>
      </c>
      <c r="W232" s="423">
        <f ca="1">INDEX(INDIRECT("CAM_WTPCore2_"&amp;$C232&amp;"_LevelValues"),2,MATCH("S2 MEAN",WTPCore2_LevelValues,0))</f>
        <v>1.8343670792314581E-5</v>
      </c>
      <c r="X232" s="437">
        <f t="shared" ca="1" si="100"/>
        <v>7.0265985887915619E-2</v>
      </c>
      <c r="Y232" s="147">
        <f ca="1">INDEX(INDIRECT("CAM_WTPCore_"&amp;$C232&amp;"_MaxDiffUIndex"),MATCH("COMBINED-NHH",WTPCore_Group,0),MATCH("MEAN",LMH,0))</f>
        <v>5.3250303055848107</v>
      </c>
      <c r="Z232" s="429">
        <f ca="1">INDEX(INDIRECT("CAM_WTPCore_"&amp;$C232&amp;"_UnitValues"),MATCH("COMBINED-NHH",WTPCore_Group,0),MATCH("MEAN",LMH,0))</f>
        <v>11437.670400000001</v>
      </c>
      <c r="AA232" s="429">
        <f ca="1">-Z232*(S232-U232)/NHHProps_CAM</f>
        <v>133.12</v>
      </c>
      <c r="AB232" s="89">
        <f ca="1">INDEX(INDIRECT("CAM_WTPCore2_"&amp;$C232&amp;"_UnitValues"),2,MATCH("MEAN",LMH,0))</f>
        <v>30910.737958347312</v>
      </c>
      <c r="AC232" s="624">
        <f ca="1">-AB232*(S232-U232)/NHHProps_CAM</f>
        <v>359.76184774612796</v>
      </c>
      <c r="AD232" s="90">
        <f t="shared" ca="1" si="101"/>
        <v>77.927196988123114</v>
      </c>
      <c r="AE232" s="7" t="s">
        <v>155</v>
      </c>
      <c r="AF232" s="271">
        <f ca="1">-(AD232*NHHProps_CAM)/((S232-U232))</f>
        <v>6695.5047652195381</v>
      </c>
      <c r="AG232" s="622"/>
      <c r="AH232" s="622"/>
      <c r="AI232" s="622"/>
      <c r="AJ232" s="622"/>
    </row>
    <row r="233" spans="1:36" s="7" customFormat="1" ht="15" thickBot="1" x14ac:dyDescent="0.4">
      <c r="A233" s="200" t="s">
        <v>158</v>
      </c>
      <c r="B233" s="200"/>
      <c r="C233" s="5" t="s">
        <v>159</v>
      </c>
      <c r="D233" s="200"/>
      <c r="E233" s="37">
        <f ca="1">INDEX(INDIRECT("SSW_WTPCore_DCE_"&amp;$C233&amp;"_Levels"),MATCH("COMBINED-HH",WTPCore_Group,0),MATCH(E$142,WTPCore_AttLevels,0))</f>
        <v>608.33333333333337</v>
      </c>
      <c r="F233" s="190"/>
      <c r="G233" s="37">
        <f ca="1">INDEX(INDIRECT("SSW_WTPCore_DCE_"&amp;$C233&amp;"_Levels"),MATCH("COMBINED-HH",WTPCore_Group,0),MATCH(G$142,WTPCore_AttLevels,0))</f>
        <v>243.33333333333334</v>
      </c>
      <c r="H233" s="36">
        <f ca="1">INDEX(INDIRECT("SSW_WTPCore_DCE_"&amp;$C233&amp;"_LevelValues"),MATCH("COMBINED-NHH",WTPCore_Group,0),MATCH("S1 MEAN",WTPCore_LevelValues,0))</f>
        <v>1E-3</v>
      </c>
      <c r="I233" s="36">
        <f ca="1">INDEX(INDIRECT("SSW_WTPCore_DCE_"&amp;$C233&amp;"_LevelValues"),MATCH("COMBINED-NHH",WTPCore_Group,0),MATCH("S2 MEAN",WTPCore_LevelValues,0))</f>
        <v>1E-3</v>
      </c>
      <c r="J233" s="437">
        <f t="shared" ca="1" si="98"/>
        <v>2E-3</v>
      </c>
      <c r="K233" s="147">
        <f ca="1">INDEX(INDIRECT("SSW_WTPCore_DCE_"&amp;$C233&amp;"_MaxDiffUIndex"),MATCH("COMBINED-NHH",WTPCore_Group,0),MATCH("MEAN",LMH,0))</f>
        <v>4.9000000000000004</v>
      </c>
      <c r="L233" s="429">
        <f ca="1">INDEX(INDIRECT("SSW_WTPCore_DCE_"&amp;$C233&amp;"_UnitValues"),MATCH("COMBINED-nHH",WTPCore_Group,0),MATCH("MEAN",LMH,0))</f>
        <v>726.94198356164395</v>
      </c>
      <c r="M233" s="429">
        <f ca="1">L233*(E233-G233)/NHHProps_SSW</f>
        <v>8.8480000000000008</v>
      </c>
      <c r="N233" s="89">
        <f ca="1">L233</f>
        <v>726.94198356164395</v>
      </c>
      <c r="O233" s="624">
        <f ca="1">N233*(E233-G233)/NHHProps_SSW</f>
        <v>8.8480000000000008</v>
      </c>
      <c r="P233" s="90">
        <f t="shared" ca="1" si="105"/>
        <v>18.451219362903622</v>
      </c>
      <c r="Q233" s="7" t="s">
        <v>160</v>
      </c>
      <c r="R233" s="273">
        <f ca="1">(P233*NHHProps_SSW)/((E233-G233))</f>
        <v>1515.9319623417914</v>
      </c>
      <c r="S233" s="37">
        <f ca="1">INDEX(INDIRECT("CAM_WTPCore_"&amp;$C233&amp;"_Levels"),MATCH("COMBINED-NHH",WTPCore_Group,0),MATCH(S$142,WTPCore_AttLevels,0))</f>
        <v>365</v>
      </c>
      <c r="T233" s="190"/>
      <c r="U233" s="37">
        <f ca="1">INDEX(INDIRECT("CAM_WTPCore_"&amp;$C233&amp;"_Levels"),MATCH("COMBINED-NHH",WTPCore_Group,0),MATCH(U$142,WTPCore_AttLevels,0))</f>
        <v>121.66666666666667</v>
      </c>
      <c r="V233" s="36">
        <f ca="1">INDEX(INDIRECT("CAM_WTPCore_"&amp;$C233&amp;"_LevelValues"),MATCH("COMBINED-NHH",WTPCore_Group,0),MATCH("S1 MEAN",WTPCore_LevelValues,0))</f>
        <v>3.0000000000000001E-3</v>
      </c>
      <c r="W233" s="36">
        <f ca="1">INDEX(INDIRECT("CAM_WTPCore_"&amp;$C233&amp;"_LevelValues"),MATCH("COMBINED-NHH",WTPCore_Group,0),MATCH("S2 MEAN",WTPCore_LevelValues,0))</f>
        <v>5.0000000000000001E-3</v>
      </c>
      <c r="X233" s="437">
        <f t="shared" ca="1" si="100"/>
        <v>8.0000000000000002E-3</v>
      </c>
      <c r="Y233" s="147">
        <f ca="1">INDEX(INDIRECT("CAM_WTPCore_"&amp;$C233&amp;"_MaxDiffUIndex"),MATCH("COMBINED-NHH",WTPCore_Group,0),MATCH("MEAN",LMH,0))</f>
        <v>4.0074158364683221</v>
      </c>
      <c r="Z233" s="429">
        <f ca="1">INDEX(INDIRECT("CAM_WTPCore_"&amp;$C233&amp;"_UnitValues"),MATCH("COMBINED-NHH",WTPCore_Group,0),MATCH("MEAN",LMH,0))</f>
        <v>1446.2807671232879</v>
      </c>
      <c r="AA233" s="429">
        <f ca="1">Z233*(S233-U233)/NHHProps_CAM</f>
        <v>40.96</v>
      </c>
      <c r="AB233" s="89">
        <f ca="1">Z233</f>
        <v>1446.2807671232879</v>
      </c>
      <c r="AC233" s="624">
        <f ca="1">AB233*(S233-U233)/NHHProps_CAM</f>
        <v>40.96</v>
      </c>
      <c r="AD233" s="90">
        <f t="shared" ca="1" si="101"/>
        <v>58.645052775431076</v>
      </c>
      <c r="AE233" s="7" t="s">
        <v>160</v>
      </c>
      <c r="AF233" s="273">
        <f ca="1">(AD233*NHHProps_CAM)/((S233-U233))</f>
        <v>2070.7327127938515</v>
      </c>
      <c r="AG233" s="622"/>
      <c r="AH233" s="622"/>
      <c r="AI233" s="622"/>
      <c r="AJ233" s="622"/>
    </row>
    <row r="234" spans="1:36" x14ac:dyDescent="0.35">
      <c r="J234" s="438">
        <f ca="1">SUM(J217:J233)*AvgNHHBill_SSW</f>
        <v>428.66288308259232</v>
      </c>
      <c r="K234" s="3">
        <f ca="1">SUM(K217:K233)</f>
        <v>100.19999999999999</v>
      </c>
      <c r="L234" s="3"/>
      <c r="M234" s="194">
        <f ca="1">SUM(M217:M233)</f>
        <v>325.9189413104454</v>
      </c>
      <c r="N234" s="3"/>
      <c r="O234" s="194">
        <f ca="1">SUM(O217:O233)</f>
        <v>428.69827508259232</v>
      </c>
      <c r="P234" s="438">
        <f ca="1">SUM(P217:P233)</f>
        <v>377.30860819651895</v>
      </c>
      <c r="X234" s="626">
        <f ca="1">SUM(X217:X233)*AvgNHHBill_CAM</f>
        <v>2308.3778888011593</v>
      </c>
      <c r="Y234" s="3">
        <f ca="1">SUM(Y217:Y233)</f>
        <v>100.00000000000001</v>
      </c>
      <c r="Z234" s="3"/>
      <c r="AA234" s="194">
        <f ca="1">SUM(AA217:AA233)</f>
        <v>618.07515001660136</v>
      </c>
      <c r="AB234" s="3"/>
      <c r="AC234" s="626">
        <f ca="1">SUM(AC217:AC233)</f>
        <v>2308.751272225325</v>
      </c>
      <c r="AD234" s="438">
        <f ca="1">SUM(AD217:AD233)</f>
        <v>1463.4132111209631</v>
      </c>
    </row>
    <row r="235" spans="1:36" x14ac:dyDescent="0.35">
      <c r="A235" s="200" t="s">
        <v>549</v>
      </c>
      <c r="J235" s="438"/>
      <c r="K235" s="3"/>
      <c r="L235" s="3"/>
      <c r="M235" s="3" t="s">
        <v>550</v>
      </c>
      <c r="N235" s="194">
        <f ca="1">AVERAGE(M234,O234)</f>
        <v>377.30860819651889</v>
      </c>
      <c r="O235" s="29"/>
      <c r="P235" s="438"/>
      <c r="X235" s="438"/>
      <c r="Y235" s="3"/>
      <c r="Z235" s="3"/>
      <c r="AA235" s="3" t="s">
        <v>361</v>
      </c>
      <c r="AB235" s="438">
        <f ca="1">AVERAGE(AA234,AC234)</f>
        <v>1463.4132111209633</v>
      </c>
      <c r="AC235" s="3"/>
      <c r="AD235" s="438"/>
    </row>
    <row r="236" spans="1:36" x14ac:dyDescent="0.35">
      <c r="J236" s="438"/>
      <c r="K236" s="3"/>
      <c r="L236" s="3"/>
      <c r="M236" s="3"/>
      <c r="N236" s="194"/>
      <c r="O236" s="29"/>
      <c r="P236" s="438"/>
      <c r="X236" s="438"/>
      <c r="Y236" s="3"/>
      <c r="Z236" s="3"/>
      <c r="AA236" s="3"/>
      <c r="AB236" s="194"/>
      <c r="AC236" s="3"/>
      <c r="AD236" s="438"/>
    </row>
    <row r="237" spans="1:36" x14ac:dyDescent="0.35">
      <c r="E237" s="123" t="s">
        <v>165</v>
      </c>
      <c r="J237" s="123" t="s">
        <v>551</v>
      </c>
      <c r="X237" s="123" t="s">
        <v>551</v>
      </c>
    </row>
  </sheetData>
  <mergeCells count="12">
    <mergeCell ref="J131:J132"/>
    <mergeCell ref="K131:K132"/>
    <mergeCell ref="Y131:Y132"/>
    <mergeCell ref="AD131:AD132"/>
    <mergeCell ref="K215:K216"/>
    <mergeCell ref="P215:P216"/>
    <mergeCell ref="Y215:Y216"/>
    <mergeCell ref="AD215:AD216"/>
    <mergeCell ref="K141:K142"/>
    <mergeCell ref="P141:P142"/>
    <mergeCell ref="Y141:Y142"/>
    <mergeCell ref="AD141:AD14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B05EF-4DC5-4720-93B3-9F41ED915E07}">
  <sheetPr codeName="Sheet15">
    <tabColor rgb="FFC00000"/>
  </sheetPr>
  <dimension ref="A1:AG62"/>
  <sheetViews>
    <sheetView zoomScale="70" zoomScaleNormal="70" workbookViewId="0">
      <pane xSplit="3" ySplit="2" topLeftCell="H3" activePane="bottomRight" state="frozen"/>
      <selection pane="topRight" activeCell="J40" sqref="J40"/>
      <selection pane="bottomLeft" activeCell="J40" sqref="J40"/>
      <selection pane="bottomRight" activeCell="L11" sqref="L11"/>
    </sheetView>
  </sheetViews>
  <sheetFormatPr defaultColWidth="0" defaultRowHeight="14.5" zeroHeight="1" x14ac:dyDescent="0.35"/>
  <cols>
    <col min="1" max="1" width="64.26953125" style="133" customWidth="1"/>
    <col min="2" max="2" width="34.1796875" style="133" customWidth="1"/>
    <col min="3" max="3" width="19.26953125" style="133" customWidth="1"/>
    <col min="4" max="11" width="17" style="133" customWidth="1"/>
    <col min="12" max="12" width="18.26953125" style="133" customWidth="1"/>
    <col min="13" max="13" width="17" style="133" customWidth="1"/>
    <col min="14" max="14" width="19.7265625" style="133" customWidth="1"/>
    <col min="15" max="15" width="19" style="133" customWidth="1"/>
    <col min="16" max="31" width="17" style="133" customWidth="1"/>
    <col min="32" max="32" width="18.453125" style="133" customWidth="1"/>
    <col min="33" max="33" width="18.453125" style="133" hidden="1" customWidth="1"/>
    <col min="34" max="34" width="9.1796875" style="133" hidden="1" customWidth="1"/>
    <col min="35" max="16384" width="9.1796875" style="133" hidden="1"/>
  </cols>
  <sheetData>
    <row r="1" spans="1:33" ht="28.5" x14ac:dyDescent="0.65">
      <c r="A1" s="76" t="s">
        <v>212</v>
      </c>
      <c r="B1" s="77"/>
      <c r="C1" s="77"/>
      <c r="D1" s="77"/>
      <c r="E1" s="77"/>
      <c r="F1" s="77"/>
      <c r="G1" s="77"/>
      <c r="H1" s="76"/>
      <c r="I1" s="76"/>
      <c r="J1" s="76"/>
      <c r="K1" s="76"/>
      <c r="L1" s="76"/>
      <c r="M1" s="76"/>
      <c r="N1" s="76"/>
      <c r="O1" s="76"/>
      <c r="P1" s="76"/>
      <c r="Q1" s="76"/>
      <c r="R1" s="77"/>
      <c r="S1" s="77"/>
      <c r="T1" s="77"/>
      <c r="U1" s="77"/>
      <c r="V1" s="76"/>
      <c r="W1" s="76"/>
      <c r="X1" s="76"/>
      <c r="Y1" s="76"/>
      <c r="Z1" s="76"/>
      <c r="AA1" s="76"/>
      <c r="AB1" s="76"/>
      <c r="AC1" s="76"/>
      <c r="AD1" s="76"/>
      <c r="AE1" s="76"/>
      <c r="AF1" s="228"/>
      <c r="AG1" s="228"/>
    </row>
    <row r="2" spans="1:33" ht="20.25" customHeight="1" x14ac:dyDescent="0.5">
      <c r="A2" s="140"/>
      <c r="B2" s="140"/>
      <c r="C2" s="140"/>
      <c r="D2" s="126" t="s">
        <v>552</v>
      </c>
      <c r="E2" s="141"/>
      <c r="F2" s="141"/>
      <c r="G2" s="142"/>
      <c r="H2" s="141"/>
      <c r="I2" s="141"/>
      <c r="J2" s="141"/>
      <c r="K2" s="141"/>
      <c r="L2" s="141"/>
      <c r="M2" s="141"/>
      <c r="N2" s="141"/>
      <c r="O2" s="141"/>
      <c r="P2" s="141"/>
      <c r="Q2" s="141"/>
      <c r="R2" s="131" t="s">
        <v>553</v>
      </c>
      <c r="S2" s="143"/>
      <c r="T2" s="143"/>
      <c r="U2" s="143"/>
      <c r="V2" s="143"/>
      <c r="W2" s="143"/>
      <c r="X2" s="143"/>
      <c r="Y2" s="143"/>
      <c r="Z2" s="143"/>
      <c r="AA2" s="143"/>
      <c r="AB2" s="143"/>
      <c r="AC2" s="143"/>
      <c r="AD2" s="143"/>
      <c r="AE2" s="143"/>
    </row>
    <row r="3" spans="1:33" s="7" customFormat="1" ht="19.5" x14ac:dyDescent="0.45">
      <c r="A3" s="85" t="s">
        <v>318</v>
      </c>
      <c r="B3" s="50"/>
      <c r="C3" s="50"/>
      <c r="D3" s="82" t="s">
        <v>554</v>
      </c>
      <c r="E3" s="50"/>
      <c r="F3" s="50"/>
      <c r="G3" s="82" t="s">
        <v>555</v>
      </c>
      <c r="H3" s="50"/>
      <c r="I3" s="50"/>
      <c r="J3" s="50"/>
      <c r="K3" s="831" t="s">
        <v>556</v>
      </c>
      <c r="L3" s="831"/>
      <c r="M3" s="831"/>
      <c r="N3" s="747" t="s">
        <v>557</v>
      </c>
      <c r="O3" s="748"/>
      <c r="P3" s="748"/>
      <c r="Q3" s="50"/>
      <c r="R3" s="82" t="s">
        <v>558</v>
      </c>
      <c r="S3" s="50"/>
      <c r="T3" s="50"/>
      <c r="U3" s="50"/>
      <c r="V3" s="50"/>
      <c r="W3" s="50"/>
      <c r="X3" s="83"/>
      <c r="Y3" s="5" t="s">
        <v>556</v>
      </c>
      <c r="Z3" s="50"/>
      <c r="AA3" s="50"/>
      <c r="AB3" s="747" t="s">
        <v>557</v>
      </c>
      <c r="AC3" s="748"/>
      <c r="AD3" s="748"/>
      <c r="AE3" s="83"/>
    </row>
    <row r="4" spans="1:33" ht="29" x14ac:dyDescent="0.35">
      <c r="A4" s="1011" t="s">
        <v>559</v>
      </c>
      <c r="B4" s="1011"/>
      <c r="C4" s="1011"/>
      <c r="D4" s="100" t="s">
        <v>560</v>
      </c>
      <c r="E4" s="100" t="s">
        <v>561</v>
      </c>
      <c r="F4" s="100" t="s">
        <v>562</v>
      </c>
      <c r="G4" s="100" t="s">
        <v>563</v>
      </c>
      <c r="H4" s="100" t="s">
        <v>564</v>
      </c>
      <c r="I4" s="100" t="s">
        <v>565</v>
      </c>
      <c r="J4" s="80"/>
      <c r="K4" s="831" t="s">
        <v>566</v>
      </c>
      <c r="L4" s="831"/>
      <c r="M4" s="831" t="s">
        <v>567</v>
      </c>
      <c r="N4" s="747" t="s">
        <v>566</v>
      </c>
      <c r="O4" s="747"/>
      <c r="P4" s="747" t="s">
        <v>568</v>
      </c>
      <c r="Q4" s="80"/>
      <c r="R4" s="100" t="s">
        <v>560</v>
      </c>
      <c r="S4" s="100" t="s">
        <v>561</v>
      </c>
      <c r="T4" s="100" t="s">
        <v>562</v>
      </c>
      <c r="U4" s="100" t="s">
        <v>563</v>
      </c>
      <c r="V4" s="97" t="s">
        <v>564</v>
      </c>
      <c r="W4" s="100" t="s">
        <v>565</v>
      </c>
      <c r="Y4" s="750" t="s">
        <v>566</v>
      </c>
      <c r="Z4" s="750"/>
      <c r="AA4" s="750" t="s">
        <v>567</v>
      </c>
      <c r="AB4" s="747" t="s">
        <v>566</v>
      </c>
      <c r="AC4" s="747"/>
      <c r="AD4" s="747" t="s">
        <v>568</v>
      </c>
    </row>
    <row r="5" spans="1:33" x14ac:dyDescent="0.35">
      <c r="A5" s="78" t="s">
        <v>569</v>
      </c>
      <c r="B5" s="144"/>
      <c r="C5" s="144"/>
      <c r="D5" s="26">
        <v>103.9</v>
      </c>
      <c r="E5" s="26">
        <v>23.28</v>
      </c>
      <c r="F5" s="26">
        <v>24.8</v>
      </c>
      <c r="G5" s="81"/>
      <c r="H5" s="145">
        <f>EXP(G5)</f>
        <v>1</v>
      </c>
      <c r="I5" s="146">
        <f t="shared" ref="I5:I27" si="0">H5/$H$28</f>
        <v>0.25697704656034887</v>
      </c>
      <c r="K5" s="831" t="s">
        <v>570</v>
      </c>
      <c r="L5" s="831" t="s">
        <v>571</v>
      </c>
      <c r="M5" s="833">
        <v>20.933034896850586</v>
      </c>
      <c r="N5" s="747" t="s">
        <v>570</v>
      </c>
      <c r="O5" s="747" t="s">
        <v>571</v>
      </c>
      <c r="P5" s="749">
        <v>22.88243293762207</v>
      </c>
      <c r="R5" s="101">
        <v>67.64</v>
      </c>
      <c r="S5" s="101">
        <v>7.4429999999999996</v>
      </c>
      <c r="T5" s="101">
        <v>10.92</v>
      </c>
      <c r="U5" s="81"/>
      <c r="V5" s="72">
        <f>EXP(U5)</f>
        <v>1</v>
      </c>
      <c r="W5" s="73">
        <f t="shared" ref="W5:W27" si="1">V5/$V$28</f>
        <v>0.23607109066518836</v>
      </c>
      <c r="Y5" s="750" t="s">
        <v>570</v>
      </c>
      <c r="Z5" s="750" t="s">
        <v>571</v>
      </c>
      <c r="AA5" s="751">
        <v>18.343070983886719</v>
      </c>
      <c r="AB5" s="747" t="s">
        <v>570</v>
      </c>
      <c r="AC5" s="747" t="s">
        <v>571</v>
      </c>
      <c r="AD5" s="749">
        <v>22.393951416015625</v>
      </c>
    </row>
    <row r="6" spans="1:33" x14ac:dyDescent="0.35">
      <c r="A6" s="78" t="s">
        <v>572</v>
      </c>
      <c r="B6" s="144"/>
      <c r="C6" s="144"/>
      <c r="D6" s="26">
        <v>18.82</v>
      </c>
      <c r="E6" s="26">
        <v>25.86</v>
      </c>
      <c r="F6" s="26">
        <v>5.3250000000000002</v>
      </c>
      <c r="G6" s="81">
        <v>-1.4438070000000001</v>
      </c>
      <c r="H6" s="145">
        <f t="shared" ref="H6:H27" si="2">EXP(G6)</f>
        <v>0.23602748945461205</v>
      </c>
      <c r="I6" s="146">
        <f t="shared" si="0"/>
        <v>6.0653647147100094E-2</v>
      </c>
      <c r="K6" s="831" t="s">
        <v>573</v>
      </c>
      <c r="L6" s="831" t="s">
        <v>574</v>
      </c>
      <c r="M6" s="833">
        <v>11.707962036132813</v>
      </c>
      <c r="N6" s="747" t="s">
        <v>573</v>
      </c>
      <c r="O6" s="747" t="s">
        <v>574</v>
      </c>
      <c r="P6" s="749">
        <v>10.299553871154785</v>
      </c>
      <c r="R6" s="101">
        <v>7.2309999999999999</v>
      </c>
      <c r="S6" s="101">
        <v>14.93</v>
      </c>
      <c r="T6" s="101">
        <v>10.84</v>
      </c>
      <c r="U6" s="81">
        <v>-1.091375</v>
      </c>
      <c r="V6" s="72">
        <f t="shared" ref="V6:V27" si="3">EXP(U6)</f>
        <v>0.33575451371191894</v>
      </c>
      <c r="W6" s="73">
        <f t="shared" si="1"/>
        <v>7.9261934247732646E-2</v>
      </c>
      <c r="Y6" s="750" t="s">
        <v>40</v>
      </c>
      <c r="Z6" s="750" t="s">
        <v>575</v>
      </c>
      <c r="AA6" s="751">
        <v>11.376530647277832</v>
      </c>
      <c r="AB6" s="747" t="s">
        <v>40</v>
      </c>
      <c r="AC6" s="747" t="s">
        <v>575</v>
      </c>
      <c r="AD6" s="749">
        <v>10.16551685333252</v>
      </c>
    </row>
    <row r="7" spans="1:33" x14ac:dyDescent="0.35">
      <c r="A7" s="78" t="s">
        <v>576</v>
      </c>
      <c r="B7" s="144"/>
      <c r="C7" s="144"/>
      <c r="D7" s="26">
        <v>29.11</v>
      </c>
      <c r="E7" s="26">
        <v>21.91</v>
      </c>
      <c r="F7" s="26">
        <v>26.98</v>
      </c>
      <c r="G7" s="81">
        <v>-1.4568410000000001</v>
      </c>
      <c r="H7" s="145">
        <f t="shared" si="2"/>
        <v>0.23297106911830695</v>
      </c>
      <c r="I7" s="146">
        <f t="shared" si="0"/>
        <v>5.9868217276029423E-2</v>
      </c>
      <c r="K7" s="831" t="s">
        <v>40</v>
      </c>
      <c r="L7" s="831" t="s">
        <v>575</v>
      </c>
      <c r="M7" s="833">
        <v>9.5192279815673828</v>
      </c>
      <c r="N7" s="747" t="s">
        <v>577</v>
      </c>
      <c r="O7" s="747" t="s">
        <v>578</v>
      </c>
      <c r="P7" s="749">
        <v>9.4124517440795898</v>
      </c>
      <c r="R7" s="101">
        <v>13.94</v>
      </c>
      <c r="S7" s="101">
        <v>21.16</v>
      </c>
      <c r="T7" s="101">
        <v>12.9</v>
      </c>
      <c r="U7" s="81">
        <v>-1.0968960000000001</v>
      </c>
      <c r="V7" s="72">
        <f t="shared" si="3"/>
        <v>0.33390592077815467</v>
      </c>
      <c r="W7" s="73">
        <f t="shared" si="1"/>
        <v>7.8825534897662961E-2</v>
      </c>
      <c r="Y7" s="750" t="s">
        <v>573</v>
      </c>
      <c r="Z7" s="750" t="s">
        <v>574</v>
      </c>
      <c r="AA7" s="751">
        <v>11.128594398498535</v>
      </c>
      <c r="AB7" s="747" t="s">
        <v>577</v>
      </c>
      <c r="AC7" s="747" t="s">
        <v>578</v>
      </c>
      <c r="AD7" s="749">
        <v>10.16059398651123</v>
      </c>
    </row>
    <row r="8" spans="1:33" x14ac:dyDescent="0.35">
      <c r="A8" s="78" t="s">
        <v>579</v>
      </c>
      <c r="B8" s="144"/>
      <c r="C8" s="144"/>
      <c r="D8" s="26">
        <v>2</v>
      </c>
      <c r="E8" s="26">
        <v>8.3759999999999994</v>
      </c>
      <c r="F8" s="26">
        <v>19.62</v>
      </c>
      <c r="G8" s="81">
        <v>-2.1015299999999999</v>
      </c>
      <c r="H8" s="145">
        <f t="shared" si="2"/>
        <v>0.12226921317381141</v>
      </c>
      <c r="I8" s="146">
        <f t="shared" si="0"/>
        <v>3.1420381286663759E-2</v>
      </c>
      <c r="J8" s="5"/>
      <c r="K8" s="831" t="s">
        <v>577</v>
      </c>
      <c r="L8" s="831" t="s">
        <v>578</v>
      </c>
      <c r="M8" s="833">
        <v>8.2823162078857422</v>
      </c>
      <c r="N8" s="747" t="s">
        <v>40</v>
      </c>
      <c r="O8" s="747" t="s">
        <v>575</v>
      </c>
      <c r="P8" s="749">
        <v>9.2104911804199219</v>
      </c>
      <c r="R8" s="101">
        <v>7.3849999999999998</v>
      </c>
      <c r="S8" s="101">
        <v>5.7519999999999998</v>
      </c>
      <c r="T8" s="101">
        <v>3.8620000000000001</v>
      </c>
      <c r="U8" s="81">
        <v>-2.0752670000000002</v>
      </c>
      <c r="V8" s="72">
        <f t="shared" si="3"/>
        <v>0.1255229084020543</v>
      </c>
      <c r="W8" s="73">
        <f t="shared" si="1"/>
        <v>2.9632329889939496E-2</v>
      </c>
      <c r="Y8" s="750" t="s">
        <v>577</v>
      </c>
      <c r="Z8" s="750" t="s">
        <v>578</v>
      </c>
      <c r="AA8" s="751">
        <v>8.1256952285766602</v>
      </c>
      <c r="AB8" s="747" t="s">
        <v>573</v>
      </c>
      <c r="AC8" s="747" t="s">
        <v>574</v>
      </c>
      <c r="AD8" s="749">
        <v>8.1312313079833984</v>
      </c>
    </row>
    <row r="9" spans="1:33" x14ac:dyDescent="0.35">
      <c r="A9" s="78" t="s">
        <v>580</v>
      </c>
      <c r="B9" s="144"/>
      <c r="C9" s="144"/>
      <c r="D9" s="26">
        <v>3.1890000000000001</v>
      </c>
      <c r="E9" s="26">
        <v>7.899</v>
      </c>
      <c r="F9" s="26">
        <v>10.91</v>
      </c>
      <c r="G9" s="81">
        <v>-2.7523420000000001</v>
      </c>
      <c r="H9" s="145">
        <f t="shared" si="2"/>
        <v>6.3778317339982946E-2</v>
      </c>
      <c r="I9" s="146">
        <f t="shared" si="0"/>
        <v>1.6389563624617503E-2</v>
      </c>
      <c r="J9" s="5"/>
      <c r="K9" s="831" t="s">
        <v>581</v>
      </c>
      <c r="L9" s="831" t="s">
        <v>582</v>
      </c>
      <c r="M9" s="833">
        <v>4.7525343894958496</v>
      </c>
      <c r="N9" s="747" t="s">
        <v>581</v>
      </c>
      <c r="O9" s="747" t="s">
        <v>582</v>
      </c>
      <c r="P9" s="749">
        <v>5.7432737350463867</v>
      </c>
      <c r="R9" s="101">
        <v>3.4079999999999999</v>
      </c>
      <c r="S9" s="101">
        <v>3.4079999999999999</v>
      </c>
      <c r="T9" s="101">
        <v>10.18</v>
      </c>
      <c r="U9" s="81">
        <v>-2.387502</v>
      </c>
      <c r="V9" s="72">
        <f t="shared" si="3"/>
        <v>9.1858860950823296E-2</v>
      </c>
      <c r="W9" s="73">
        <f t="shared" si="1"/>
        <v>2.1685221491922736E-2</v>
      </c>
      <c r="Y9" s="750" t="s">
        <v>583</v>
      </c>
      <c r="Z9" s="750" t="s">
        <v>584</v>
      </c>
      <c r="AA9" s="751">
        <v>8.0325841903686523</v>
      </c>
      <c r="AB9" s="747" t="s">
        <v>583</v>
      </c>
      <c r="AC9" s="747" t="s">
        <v>584</v>
      </c>
      <c r="AD9" s="749">
        <v>6.5107545852661133</v>
      </c>
    </row>
    <row r="10" spans="1:33" x14ac:dyDescent="0.35">
      <c r="A10" s="78" t="s">
        <v>585</v>
      </c>
      <c r="B10" s="144"/>
      <c r="C10" s="144"/>
      <c r="D10" s="26">
        <v>3.6139999999999999</v>
      </c>
      <c r="E10" s="26">
        <v>6.7910000000000004</v>
      </c>
      <c r="F10" s="26">
        <v>7.5949999999999998</v>
      </c>
      <c r="G10" s="81">
        <v>-2.8890989999999999</v>
      </c>
      <c r="H10" s="145">
        <f t="shared" si="2"/>
        <v>5.5626309344235077E-2</v>
      </c>
      <c r="I10" s="146">
        <f t="shared" si="0"/>
        <v>1.4294684686333867E-2</v>
      </c>
      <c r="K10" s="831" t="s">
        <v>583</v>
      </c>
      <c r="L10" s="831" t="s">
        <v>584</v>
      </c>
      <c r="M10" s="833">
        <v>4.585151195526123</v>
      </c>
      <c r="N10" s="747" t="s">
        <v>586</v>
      </c>
      <c r="O10" s="747" t="s">
        <v>587</v>
      </c>
      <c r="P10" s="749">
        <v>4.4137392044067383</v>
      </c>
      <c r="R10" s="101">
        <v>0</v>
      </c>
      <c r="S10" s="101">
        <v>3.2810000000000001</v>
      </c>
      <c r="T10" s="101">
        <v>0.71899999999999997</v>
      </c>
      <c r="U10" s="81">
        <v>-3.541093</v>
      </c>
      <c r="V10" s="72">
        <f t="shared" si="3"/>
        <v>2.8981632839754998E-2</v>
      </c>
      <c r="W10" s="73">
        <f t="shared" si="1"/>
        <v>6.8417256737390028E-3</v>
      </c>
      <c r="Y10" s="750" t="s">
        <v>581</v>
      </c>
      <c r="Z10" s="750" t="s">
        <v>582</v>
      </c>
      <c r="AA10" s="751">
        <v>5.5124688148498535</v>
      </c>
      <c r="AB10" s="747" t="s">
        <v>581</v>
      </c>
      <c r="AC10" s="747" t="s">
        <v>582</v>
      </c>
      <c r="AD10" s="749">
        <v>6.0087265968322754</v>
      </c>
    </row>
    <row r="11" spans="1:33" x14ac:dyDescent="0.35">
      <c r="A11" s="78" t="s">
        <v>588</v>
      </c>
      <c r="B11" s="144"/>
      <c r="C11" s="144"/>
      <c r="D11" s="26">
        <v>11.48</v>
      </c>
      <c r="E11" s="26">
        <v>10.24</v>
      </c>
      <c r="F11" s="26">
        <v>15.28</v>
      </c>
      <c r="G11" s="81">
        <v>-1.5325580000000001</v>
      </c>
      <c r="H11" s="145">
        <f t="shared" si="2"/>
        <v>0.21598247691118427</v>
      </c>
      <c r="I11" s="146">
        <f t="shared" si="0"/>
        <v>5.5502539025424881E-2</v>
      </c>
      <c r="K11" s="831" t="s">
        <v>586</v>
      </c>
      <c r="L11" s="831" t="s">
        <v>587</v>
      </c>
      <c r="M11" s="833">
        <v>4.3895111083984375</v>
      </c>
      <c r="N11" s="747" t="s">
        <v>136</v>
      </c>
      <c r="O11" s="747" t="s">
        <v>589</v>
      </c>
      <c r="P11" s="749">
        <v>4.2482399940490723</v>
      </c>
      <c r="R11" s="101">
        <v>5.6639999999999997</v>
      </c>
      <c r="S11" s="101">
        <v>14.87</v>
      </c>
      <c r="T11" s="101">
        <v>9.4670000000000005</v>
      </c>
      <c r="U11" s="81">
        <v>-1.160172</v>
      </c>
      <c r="V11" s="72">
        <f t="shared" si="3"/>
        <v>0.31343226589631523</v>
      </c>
      <c r="W11" s="73">
        <f t="shared" si="1"/>
        <v>7.3992296859804463E-2</v>
      </c>
      <c r="Y11" s="750" t="s">
        <v>590</v>
      </c>
      <c r="Z11" s="750" t="s">
        <v>591</v>
      </c>
      <c r="AA11" s="751">
        <v>4.1680436134338379</v>
      </c>
      <c r="AB11" s="747" t="s">
        <v>592</v>
      </c>
      <c r="AC11" s="747" t="s">
        <v>593</v>
      </c>
      <c r="AD11" s="749">
        <v>4.1433420181274414</v>
      </c>
    </row>
    <row r="12" spans="1:33" x14ac:dyDescent="0.35">
      <c r="A12" s="78" t="s">
        <v>594</v>
      </c>
      <c r="B12" s="144"/>
      <c r="C12" s="144"/>
      <c r="D12" s="26">
        <v>3.9039999999999999</v>
      </c>
      <c r="E12" s="26">
        <v>0.193</v>
      </c>
      <c r="F12" s="26">
        <v>1.903</v>
      </c>
      <c r="G12" s="81">
        <v>-3.4524430000000002</v>
      </c>
      <c r="H12" s="145">
        <f t="shared" si="2"/>
        <v>3.1668176444230513E-2</v>
      </c>
      <c r="I12" s="146">
        <f t="shared" si="0"/>
        <v>8.1379944525903688E-3</v>
      </c>
      <c r="K12" s="831" t="s">
        <v>136</v>
      </c>
      <c r="L12" s="831" t="s">
        <v>589</v>
      </c>
      <c r="M12" s="833">
        <v>3.9392218589782715</v>
      </c>
      <c r="N12" s="747" t="s">
        <v>583</v>
      </c>
      <c r="O12" s="747" t="s">
        <v>584</v>
      </c>
      <c r="P12" s="749">
        <v>4.1046180725097656</v>
      </c>
      <c r="R12" s="101">
        <v>1.0169999999999999</v>
      </c>
      <c r="S12" s="101">
        <v>2.9830000000000001</v>
      </c>
      <c r="T12" s="101">
        <v>4</v>
      </c>
      <c r="U12" s="81">
        <v>-2.8033060000000001</v>
      </c>
      <c r="V12" s="72">
        <f t="shared" si="3"/>
        <v>6.0609356508194129E-2</v>
      </c>
      <c r="W12" s="73">
        <f t="shared" si="1"/>
        <v>1.4308116895404621E-2</v>
      </c>
      <c r="Y12" s="750" t="s">
        <v>586</v>
      </c>
      <c r="Z12" s="750" t="s">
        <v>587</v>
      </c>
      <c r="AA12" s="751">
        <v>3.8912889957427979</v>
      </c>
      <c r="AB12" s="747" t="s">
        <v>595</v>
      </c>
      <c r="AC12" s="747" t="s">
        <v>596</v>
      </c>
      <c r="AD12" s="749">
        <v>3.9673542976379395</v>
      </c>
    </row>
    <row r="13" spans="1:33" x14ac:dyDescent="0.35">
      <c r="A13" s="78" t="s">
        <v>597</v>
      </c>
      <c r="B13" s="144"/>
      <c r="C13" s="144"/>
      <c r="D13" s="26">
        <v>6.4859999999999998</v>
      </c>
      <c r="E13" s="26">
        <v>19.46</v>
      </c>
      <c r="F13" s="26">
        <v>17.05</v>
      </c>
      <c r="G13" s="81">
        <v>-1.4574199999999999</v>
      </c>
      <c r="H13" s="145">
        <f t="shared" si="2"/>
        <v>0.23283621791247888</v>
      </c>
      <c r="I13" s="146">
        <f t="shared" si="0"/>
        <v>5.9833563611430621E-2</v>
      </c>
      <c r="K13" s="831" t="s">
        <v>598</v>
      </c>
      <c r="L13" s="831" t="s">
        <v>599</v>
      </c>
      <c r="M13" s="833">
        <v>3.8482000827789307</v>
      </c>
      <c r="N13" s="747" t="s">
        <v>595</v>
      </c>
      <c r="O13" s="747" t="s">
        <v>596</v>
      </c>
      <c r="P13" s="749">
        <v>3.7145383358001709</v>
      </c>
      <c r="R13" s="101">
        <v>4.476</v>
      </c>
      <c r="S13" s="101">
        <v>8.9570000000000007</v>
      </c>
      <c r="T13" s="101">
        <v>12.57</v>
      </c>
      <c r="U13" s="81">
        <v>-1.4410400000000001</v>
      </c>
      <c r="V13" s="72">
        <f t="shared" si="3"/>
        <v>0.23668148189921717</v>
      </c>
      <c r="W13" s="73">
        <f t="shared" si="1"/>
        <v>5.5873655572201239E-2</v>
      </c>
      <c r="Y13" s="750" t="s">
        <v>595</v>
      </c>
      <c r="Z13" s="750" t="s">
        <v>596</v>
      </c>
      <c r="AA13" s="751">
        <v>3.6988294124603271</v>
      </c>
      <c r="AB13" s="747" t="s">
        <v>586</v>
      </c>
      <c r="AC13" s="747" t="s">
        <v>587</v>
      </c>
      <c r="AD13" s="749">
        <v>3.6827948093414307</v>
      </c>
    </row>
    <row r="14" spans="1:33" x14ac:dyDescent="0.35">
      <c r="A14" s="78" t="s">
        <v>600</v>
      </c>
      <c r="B14" s="144"/>
      <c r="C14" s="144"/>
      <c r="D14" s="26">
        <v>7.1769999999999996</v>
      </c>
      <c r="E14" s="26">
        <v>7.9619999999999997</v>
      </c>
      <c r="F14" s="26">
        <v>13.86</v>
      </c>
      <c r="G14" s="81">
        <v>-2.0814400000000002</v>
      </c>
      <c r="H14" s="145">
        <f t="shared" si="2"/>
        <v>0.12475044215850956</v>
      </c>
      <c r="I14" s="146">
        <f t="shared" si="0"/>
        <v>3.2058000182991417E-2</v>
      </c>
      <c r="K14" s="831" t="s">
        <v>592</v>
      </c>
      <c r="L14" s="831" t="s">
        <v>601</v>
      </c>
      <c r="M14" s="833">
        <v>3.8063201904296875</v>
      </c>
      <c r="N14" s="747" t="s">
        <v>598</v>
      </c>
      <c r="O14" s="747" t="s">
        <v>602</v>
      </c>
      <c r="P14" s="749">
        <v>3.5242676734924316</v>
      </c>
      <c r="R14" s="101">
        <v>2.96</v>
      </c>
      <c r="S14" s="101">
        <v>11.46</v>
      </c>
      <c r="T14" s="101">
        <v>0.57899999999999996</v>
      </c>
      <c r="U14" s="81">
        <v>-2.2888030000000001</v>
      </c>
      <c r="V14" s="72">
        <f t="shared" si="3"/>
        <v>0.10138775038542668</v>
      </c>
      <c r="W14" s="73">
        <f t="shared" si="1"/>
        <v>2.3934716813577547E-2</v>
      </c>
      <c r="Y14" s="750" t="s">
        <v>603</v>
      </c>
      <c r="Z14" s="750" t="s">
        <v>604</v>
      </c>
      <c r="AA14" s="751">
        <v>3.5640223026275635</v>
      </c>
      <c r="AB14" s="747" t="s">
        <v>136</v>
      </c>
      <c r="AC14" s="747" t="s">
        <v>589</v>
      </c>
      <c r="AD14" s="749">
        <v>3.6176505088806152</v>
      </c>
    </row>
    <row r="15" spans="1:33" x14ac:dyDescent="0.35">
      <c r="A15" s="78" t="s">
        <v>605</v>
      </c>
      <c r="B15" s="144"/>
      <c r="C15" s="144"/>
      <c r="D15" s="26">
        <v>10.66</v>
      </c>
      <c r="E15" s="26">
        <v>21.9</v>
      </c>
      <c r="F15" s="26">
        <v>14.44</v>
      </c>
      <c r="G15" s="81">
        <v>-1.7082930000000001</v>
      </c>
      <c r="H15" s="145">
        <f t="shared" si="2"/>
        <v>0.18117479418292393</v>
      </c>
      <c r="I15" s="146">
        <f t="shared" si="0"/>
        <v>4.6557763520306869E-2</v>
      </c>
      <c r="K15" s="831" t="s">
        <v>595</v>
      </c>
      <c r="L15" s="831" t="s">
        <v>596</v>
      </c>
      <c r="M15" s="833">
        <v>3.325690746307373</v>
      </c>
      <c r="N15" s="747" t="s">
        <v>606</v>
      </c>
      <c r="O15" s="747" t="s">
        <v>607</v>
      </c>
      <c r="P15" s="749">
        <v>3.1191301345825195</v>
      </c>
      <c r="R15" s="101">
        <v>2.4430000000000001</v>
      </c>
      <c r="S15" s="101">
        <v>9.1210000000000004</v>
      </c>
      <c r="T15" s="101">
        <v>10.44</v>
      </c>
      <c r="U15" s="81">
        <v>-1.9122410000000001</v>
      </c>
      <c r="V15" s="72">
        <f t="shared" si="3"/>
        <v>0.14774891000734416</v>
      </c>
      <c r="W15" s="73">
        <f t="shared" si="1"/>
        <v>3.4879246330026502E-2</v>
      </c>
      <c r="Y15" s="750" t="s">
        <v>598</v>
      </c>
      <c r="Z15" s="750" t="s">
        <v>599</v>
      </c>
      <c r="AA15" s="751">
        <v>3.3248801231384277</v>
      </c>
      <c r="AB15" s="747" t="s">
        <v>598</v>
      </c>
      <c r="AC15" s="747" t="s">
        <v>602</v>
      </c>
      <c r="AD15" s="749">
        <v>3.4320759773254395</v>
      </c>
    </row>
    <row r="16" spans="1:33" x14ac:dyDescent="0.35">
      <c r="A16" s="78" t="s">
        <v>608</v>
      </c>
      <c r="B16" s="144"/>
      <c r="C16" s="144"/>
      <c r="D16" s="26">
        <v>9.984</v>
      </c>
      <c r="E16" s="26">
        <v>10.050000000000001</v>
      </c>
      <c r="F16" s="26">
        <v>7.968</v>
      </c>
      <c r="G16" s="81">
        <v>-2.2586560000000002</v>
      </c>
      <c r="H16" s="145">
        <f t="shared" si="2"/>
        <v>0.10449082609453042</v>
      </c>
      <c r="I16" s="146">
        <f t="shared" si="0"/>
        <v>2.6851743882423462E-2</v>
      </c>
      <c r="K16" s="831" t="s">
        <v>603</v>
      </c>
      <c r="L16" s="831" t="s">
        <v>604</v>
      </c>
      <c r="M16" s="833">
        <v>3.1176857948303223</v>
      </c>
      <c r="N16" s="747" t="s">
        <v>592</v>
      </c>
      <c r="O16" s="747" t="s">
        <v>593</v>
      </c>
      <c r="P16" s="749">
        <v>3.0365726947784424</v>
      </c>
      <c r="R16" s="101">
        <v>4.5170000000000003</v>
      </c>
      <c r="S16" s="101">
        <v>5.0750000000000002</v>
      </c>
      <c r="T16" s="101">
        <v>15.41</v>
      </c>
      <c r="U16" s="81">
        <v>-1.5832329999999999</v>
      </c>
      <c r="V16" s="72">
        <f t="shared" si="3"/>
        <v>0.20531025600889038</v>
      </c>
      <c r="W16" s="73">
        <f t="shared" si="1"/>
        <v>4.8467816060767797E-2</v>
      </c>
      <c r="Y16" s="750" t="s">
        <v>136</v>
      </c>
      <c r="Z16" s="750" t="s">
        <v>589</v>
      </c>
      <c r="AA16" s="751">
        <v>3.1817114353179932</v>
      </c>
      <c r="AB16" s="747" t="s">
        <v>590</v>
      </c>
      <c r="AC16" s="747" t="s">
        <v>591</v>
      </c>
      <c r="AD16" s="749">
        <v>3.2317507266998291</v>
      </c>
    </row>
    <row r="17" spans="1:31" x14ac:dyDescent="0.35">
      <c r="A17" s="78" t="s">
        <v>609</v>
      </c>
      <c r="B17" s="144"/>
      <c r="C17" s="144"/>
      <c r="D17" s="26">
        <v>8.1509999999999998</v>
      </c>
      <c r="E17" s="26">
        <v>3.601</v>
      </c>
      <c r="F17" s="26">
        <v>15.25</v>
      </c>
      <c r="G17" s="81">
        <v>-2.2748210000000002</v>
      </c>
      <c r="H17" s="145">
        <f t="shared" si="2"/>
        <v>0.10281531072885242</v>
      </c>
      <c r="I17" s="146">
        <f t="shared" si="0"/>
        <v>2.6421174892285043E-2</v>
      </c>
      <c r="K17" s="831" t="s">
        <v>590</v>
      </c>
      <c r="L17" s="831" t="s">
        <v>591</v>
      </c>
      <c r="M17" s="833">
        <v>2.9827196598052979</v>
      </c>
      <c r="N17" s="747" t="s">
        <v>610</v>
      </c>
      <c r="O17" s="747" t="s">
        <v>611</v>
      </c>
      <c r="P17" s="749">
        <v>2.9299826622009277</v>
      </c>
      <c r="R17" s="101">
        <v>0.26</v>
      </c>
      <c r="S17" s="101">
        <v>6.4779999999999998</v>
      </c>
      <c r="T17" s="101">
        <v>9.2620000000000005</v>
      </c>
      <c r="U17" s="81">
        <v>-2.1409530000000001</v>
      </c>
      <c r="V17" s="72">
        <f t="shared" si="3"/>
        <v>0.11754277136700497</v>
      </c>
      <c r="W17" s="73">
        <f t="shared" si="1"/>
        <v>2.7748450236417737E-2</v>
      </c>
      <c r="Y17" s="750" t="s">
        <v>610</v>
      </c>
      <c r="Z17" s="750" t="s">
        <v>611</v>
      </c>
      <c r="AA17" s="751">
        <v>2.9443211555480957</v>
      </c>
      <c r="AB17" s="747" t="s">
        <v>610</v>
      </c>
      <c r="AC17" s="747" t="s">
        <v>611</v>
      </c>
      <c r="AD17" s="749">
        <v>2.7986268997192383</v>
      </c>
    </row>
    <row r="18" spans="1:31" x14ac:dyDescent="0.35">
      <c r="A18" s="78" t="s">
        <v>612</v>
      </c>
      <c r="B18" s="144"/>
      <c r="C18" s="144"/>
      <c r="D18" s="26">
        <v>6.5410000000000004</v>
      </c>
      <c r="E18" s="26">
        <v>19.96</v>
      </c>
      <c r="F18" s="26">
        <v>14.5</v>
      </c>
      <c r="G18" s="81">
        <v>-1.890819</v>
      </c>
      <c r="H18" s="145">
        <f t="shared" si="2"/>
        <v>0.15094813167764351</v>
      </c>
      <c r="I18" s="146">
        <f t="shared" si="0"/>
        <v>3.8790205062323467E-2</v>
      </c>
      <c r="K18" s="831" t="s">
        <v>610</v>
      </c>
      <c r="L18" s="831" t="s">
        <v>611</v>
      </c>
      <c r="M18" s="833">
        <v>2.9595334529876709</v>
      </c>
      <c r="N18" s="747" t="s">
        <v>590</v>
      </c>
      <c r="O18" s="747" t="s">
        <v>591</v>
      </c>
      <c r="P18" s="749">
        <v>2.8130557537078857</v>
      </c>
      <c r="R18" s="101">
        <v>5.4550000000000001</v>
      </c>
      <c r="S18" s="101">
        <v>6.6909999999999998</v>
      </c>
      <c r="T18" s="101">
        <v>14.85</v>
      </c>
      <c r="U18" s="81">
        <v>-1.5060579999999999</v>
      </c>
      <c r="V18" s="72">
        <f t="shared" si="3"/>
        <v>0.22178252375034782</v>
      </c>
      <c r="W18" s="73">
        <f t="shared" si="1"/>
        <v>5.2356442272222657E-2</v>
      </c>
      <c r="Y18" s="750" t="s">
        <v>592</v>
      </c>
      <c r="Z18" s="750" t="s">
        <v>601</v>
      </c>
      <c r="AA18" s="751">
        <v>2.8380608558654785</v>
      </c>
      <c r="AB18" s="747" t="s">
        <v>606</v>
      </c>
      <c r="AC18" s="747" t="s">
        <v>607</v>
      </c>
      <c r="AD18" s="749">
        <v>2.3773698806762695</v>
      </c>
    </row>
    <row r="19" spans="1:31" x14ac:dyDescent="0.35">
      <c r="A19" s="78" t="s">
        <v>613</v>
      </c>
      <c r="B19" s="144"/>
      <c r="C19" s="144"/>
      <c r="D19" s="26">
        <v>6.6829999999999998</v>
      </c>
      <c r="E19" s="26">
        <v>8.6959999999999997</v>
      </c>
      <c r="F19" s="26">
        <v>16.62</v>
      </c>
      <c r="G19" s="81">
        <v>-2.1820119999999998</v>
      </c>
      <c r="H19" s="145">
        <f t="shared" si="2"/>
        <v>0.1128143197316241</v>
      </c>
      <c r="I19" s="146">
        <f t="shared" si="0"/>
        <v>2.8990690694347652E-2</v>
      </c>
      <c r="K19" s="831" t="s">
        <v>606</v>
      </c>
      <c r="L19" s="831" t="s">
        <v>607</v>
      </c>
      <c r="M19" s="833">
        <v>2.9474406242370605</v>
      </c>
      <c r="N19" s="747" t="s">
        <v>614</v>
      </c>
      <c r="O19" s="747" t="s">
        <v>615</v>
      </c>
      <c r="P19" s="749">
        <v>2.4030742645263672</v>
      </c>
      <c r="R19" s="101">
        <v>6.6180000000000003</v>
      </c>
      <c r="S19" s="101">
        <v>3.3969999999999998</v>
      </c>
      <c r="T19" s="101">
        <v>0.98399999999999999</v>
      </c>
      <c r="U19" s="81">
        <v>-2.9074260000000001</v>
      </c>
      <c r="V19" s="72">
        <f t="shared" si="3"/>
        <v>5.4616131016631222E-2</v>
      </c>
      <c r="W19" s="73">
        <f t="shared" si="1"/>
        <v>1.2893289617008957E-2</v>
      </c>
      <c r="Y19" s="750" t="s">
        <v>614</v>
      </c>
      <c r="Z19" s="750" t="s">
        <v>615</v>
      </c>
      <c r="AA19" s="751">
        <v>2.4164080619812012</v>
      </c>
      <c r="AB19" s="747" t="s">
        <v>614</v>
      </c>
      <c r="AC19" s="747" t="s">
        <v>615</v>
      </c>
      <c r="AD19" s="749">
        <v>2.1281387805938721</v>
      </c>
    </row>
    <row r="20" spans="1:31" x14ac:dyDescent="0.35">
      <c r="A20" s="78" t="s">
        <v>616</v>
      </c>
      <c r="B20" s="144"/>
      <c r="C20" s="144"/>
      <c r="D20" s="26">
        <v>7.7450000000000001</v>
      </c>
      <c r="E20" s="26">
        <v>6.3710000000000004</v>
      </c>
      <c r="F20" s="26">
        <v>7.8840000000000003</v>
      </c>
      <c r="G20" s="81">
        <v>-2.7456140000000002</v>
      </c>
      <c r="H20" s="145">
        <f t="shared" si="2"/>
        <v>6.4208864595921109E-2</v>
      </c>
      <c r="I20" s="146">
        <f t="shared" si="0"/>
        <v>1.6500204386853155E-2</v>
      </c>
      <c r="K20" s="831" t="s">
        <v>614</v>
      </c>
      <c r="L20" s="831" t="s">
        <v>615</v>
      </c>
      <c r="M20" s="833">
        <v>2.5725135803222656</v>
      </c>
      <c r="N20" s="747" t="s">
        <v>617</v>
      </c>
      <c r="O20" s="747" t="s">
        <v>618</v>
      </c>
      <c r="P20" s="749">
        <v>1.6482229232788086</v>
      </c>
      <c r="R20" s="101">
        <v>3.9289999999999998</v>
      </c>
      <c r="S20" s="101">
        <v>4.843</v>
      </c>
      <c r="T20" s="101">
        <v>8.2279999999999998</v>
      </c>
      <c r="U20" s="81">
        <v>-2.5259819999999999</v>
      </c>
      <c r="V20" s="72">
        <f t="shared" si="3"/>
        <v>7.9979734112007872E-2</v>
      </c>
      <c r="W20" s="73">
        <f t="shared" si="1"/>
        <v>1.8880903062933468E-2</v>
      </c>
      <c r="Y20" s="750" t="s">
        <v>606</v>
      </c>
      <c r="Z20" s="750" t="s">
        <v>607</v>
      </c>
      <c r="AA20" s="751">
        <v>2.1032860279083252</v>
      </c>
      <c r="AB20" s="747" t="s">
        <v>617</v>
      </c>
      <c r="AC20" s="747" t="s">
        <v>618</v>
      </c>
      <c r="AD20" s="749">
        <v>1.7326281070709229</v>
      </c>
    </row>
    <row r="21" spans="1:31" x14ac:dyDescent="0.35">
      <c r="A21" s="78" t="s">
        <v>619</v>
      </c>
      <c r="B21" s="144"/>
      <c r="C21" s="144"/>
      <c r="D21" s="26">
        <v>14.14</v>
      </c>
      <c r="E21" s="26">
        <v>24.95</v>
      </c>
      <c r="F21" s="26">
        <v>5.9109999999999996</v>
      </c>
      <c r="G21" s="81">
        <v>-1.493519</v>
      </c>
      <c r="H21" s="145">
        <f t="shared" si="2"/>
        <v>0.22458096296466515</v>
      </c>
      <c r="I21" s="146">
        <f t="shared" si="0"/>
        <v>5.7712152576338743E-2</v>
      </c>
      <c r="K21" s="831" t="s">
        <v>620</v>
      </c>
      <c r="L21" s="831" t="s">
        <v>621</v>
      </c>
      <c r="M21" s="833">
        <v>1.7795588970184326</v>
      </c>
      <c r="N21" s="747" t="s">
        <v>622</v>
      </c>
      <c r="O21" s="747" t="s">
        <v>623</v>
      </c>
      <c r="P21" s="749">
        <v>1.598522424697876</v>
      </c>
      <c r="R21" s="101">
        <v>5.9870000000000001</v>
      </c>
      <c r="S21" s="101">
        <v>2.387</v>
      </c>
      <c r="T21" s="101">
        <v>9.6259999999999994</v>
      </c>
      <c r="U21" s="81">
        <v>-1.833089</v>
      </c>
      <c r="V21" s="72">
        <f t="shared" si="3"/>
        <v>0.15991881480368747</v>
      </c>
      <c r="W21" s="73">
        <f t="shared" si="1"/>
        <v>3.775220902859077E-2</v>
      </c>
      <c r="Y21" s="750" t="s">
        <v>617</v>
      </c>
      <c r="Z21" s="750" t="s">
        <v>618</v>
      </c>
      <c r="AA21" s="751">
        <v>1.6466852426528931</v>
      </c>
      <c r="AB21" s="747" t="s">
        <v>622</v>
      </c>
      <c r="AC21" s="747" t="s">
        <v>623</v>
      </c>
      <c r="AD21" s="749">
        <v>1.4661688804626465</v>
      </c>
    </row>
    <row r="22" spans="1:31" x14ac:dyDescent="0.35">
      <c r="A22" s="78" t="s">
        <v>624</v>
      </c>
      <c r="B22" s="144"/>
      <c r="C22" s="144"/>
      <c r="D22" s="26">
        <v>30.05</v>
      </c>
      <c r="E22" s="26">
        <v>10.66</v>
      </c>
      <c r="F22" s="26">
        <v>6.2949999999999999</v>
      </c>
      <c r="G22" s="81">
        <v>-1.933111</v>
      </c>
      <c r="H22" s="145">
        <f t="shared" si="2"/>
        <v>0.14469734410575202</v>
      </c>
      <c r="I22" s="146">
        <f t="shared" si="0"/>
        <v>3.7183896133422663E-2</v>
      </c>
      <c r="K22" s="831" t="s">
        <v>617</v>
      </c>
      <c r="L22" s="831" t="s">
        <v>618</v>
      </c>
      <c r="M22" s="833">
        <v>1.7589247226715088</v>
      </c>
      <c r="N22" s="747" t="s">
        <v>620</v>
      </c>
      <c r="O22" s="747" t="s">
        <v>625</v>
      </c>
      <c r="P22" s="749">
        <v>1.5883257389068604</v>
      </c>
      <c r="R22" s="101">
        <v>4.5659999999999998</v>
      </c>
      <c r="S22" s="101">
        <v>6.1920000000000002</v>
      </c>
      <c r="T22" s="101">
        <v>3.242</v>
      </c>
      <c r="U22" s="81">
        <v>-2.3078479999999999</v>
      </c>
      <c r="V22" s="72">
        <f t="shared" si="3"/>
        <v>9.9475091782555522E-2</v>
      </c>
      <c r="W22" s="73">
        <f t="shared" si="1"/>
        <v>2.34831934111276E-2</v>
      </c>
      <c r="Y22" s="750" t="s">
        <v>622</v>
      </c>
      <c r="Z22" s="750" t="s">
        <v>623</v>
      </c>
      <c r="AA22" s="751">
        <v>1.4578474760055542</v>
      </c>
      <c r="AB22" s="747" t="s">
        <v>626</v>
      </c>
      <c r="AC22" s="747" t="s">
        <v>627</v>
      </c>
      <c r="AD22" s="749">
        <v>1.2272406816482544</v>
      </c>
    </row>
    <row r="23" spans="1:31" x14ac:dyDescent="0.35">
      <c r="A23" s="78" t="s">
        <v>628</v>
      </c>
      <c r="B23" s="144"/>
      <c r="C23" s="144"/>
      <c r="D23" s="26">
        <v>4.4039999999999999</v>
      </c>
      <c r="E23" s="26">
        <v>6.7709999999999999</v>
      </c>
      <c r="F23" s="26">
        <v>10.83</v>
      </c>
      <c r="G23" s="81">
        <v>-2.5523280000000002</v>
      </c>
      <c r="H23" s="145">
        <f t="shared" si="2"/>
        <v>7.7900103303681828E-2</v>
      </c>
      <c r="I23" s="146">
        <f t="shared" si="0"/>
        <v>2.0018538473726234E-2</v>
      </c>
      <c r="K23" s="831" t="s">
        <v>622</v>
      </c>
      <c r="L23" s="831" t="s">
        <v>623</v>
      </c>
      <c r="M23" s="833">
        <v>1.7188506126403809</v>
      </c>
      <c r="N23" s="747" t="s">
        <v>626</v>
      </c>
      <c r="O23" s="747" t="s">
        <v>627</v>
      </c>
      <c r="P23" s="749">
        <v>1.2893871068954468</v>
      </c>
      <c r="R23" s="101">
        <v>2.5230000000000001</v>
      </c>
      <c r="S23" s="101">
        <v>2.7709999999999999</v>
      </c>
      <c r="T23" s="101">
        <v>2.7069999999999999</v>
      </c>
      <c r="U23" s="81">
        <v>-2.5824210000000001</v>
      </c>
      <c r="V23" s="72">
        <f t="shared" si="3"/>
        <v>7.5590777044857796E-2</v>
      </c>
      <c r="W23" s="73">
        <f t="shared" si="1"/>
        <v>1.7844797181208665E-2</v>
      </c>
      <c r="Y23" s="750" t="s">
        <v>620</v>
      </c>
      <c r="Z23" s="750" t="s">
        <v>621</v>
      </c>
      <c r="AA23" s="751">
        <v>1.3494195938110352</v>
      </c>
      <c r="AB23" s="747" t="s">
        <v>629</v>
      </c>
      <c r="AC23" s="747" t="s">
        <v>630</v>
      </c>
      <c r="AD23" s="749">
        <v>1.0875204801559448</v>
      </c>
    </row>
    <row r="24" spans="1:31" x14ac:dyDescent="0.35">
      <c r="A24" s="78" t="s">
        <v>631</v>
      </c>
      <c r="B24" s="144"/>
      <c r="C24" s="144"/>
      <c r="D24" s="26">
        <v>2.0270000000000001</v>
      </c>
      <c r="E24" s="26">
        <v>5.7229999999999999</v>
      </c>
      <c r="F24" s="26">
        <v>4.2489999999999997</v>
      </c>
      <c r="G24" s="81">
        <v>-3.2310629999999998</v>
      </c>
      <c r="H24" s="145">
        <f t="shared" si="2"/>
        <v>3.9515471508643311E-2</v>
      </c>
      <c r="I24" s="146">
        <f t="shared" si="0"/>
        <v>1.0154569161730772E-2</v>
      </c>
      <c r="K24" s="831" t="s">
        <v>632</v>
      </c>
      <c r="L24" s="831" t="s">
        <v>633</v>
      </c>
      <c r="M24" s="833">
        <v>1.0736026763916016</v>
      </c>
      <c r="N24" s="747" t="s">
        <v>632</v>
      </c>
      <c r="O24" s="747" t="s">
        <v>633</v>
      </c>
      <c r="P24" s="749">
        <v>1.0157190561294556</v>
      </c>
      <c r="R24" s="101">
        <v>0</v>
      </c>
      <c r="S24" s="101">
        <v>1.113</v>
      </c>
      <c r="T24" s="101">
        <v>2.887</v>
      </c>
      <c r="U24" s="81">
        <v>-3.5204879999999998</v>
      </c>
      <c r="V24" s="72">
        <f t="shared" si="3"/>
        <v>2.9584994167420775E-2</v>
      </c>
      <c r="W24" s="73">
        <f t="shared" si="1"/>
        <v>6.984161840426259E-3</v>
      </c>
      <c r="Y24" s="750" t="s">
        <v>632</v>
      </c>
      <c r="Z24" s="750" t="s">
        <v>633</v>
      </c>
      <c r="AA24" s="751">
        <v>0.89625167846679688</v>
      </c>
      <c r="AB24" s="747" t="s">
        <v>620</v>
      </c>
      <c r="AC24" s="747" t="s">
        <v>625</v>
      </c>
      <c r="AD24" s="749">
        <v>1.0514007806777954</v>
      </c>
    </row>
    <row r="25" spans="1:31" x14ac:dyDescent="0.35">
      <c r="A25" s="78" t="s">
        <v>634</v>
      </c>
      <c r="B25" s="144"/>
      <c r="C25" s="144"/>
      <c r="D25" s="26">
        <v>0</v>
      </c>
      <c r="E25" s="26">
        <v>3.6360000000000001</v>
      </c>
      <c r="F25" s="26">
        <v>5.3639999999999999</v>
      </c>
      <c r="G25" s="81">
        <v>-3.4293480000000001</v>
      </c>
      <c r="H25" s="145">
        <f t="shared" si="2"/>
        <v>3.2408063943696358E-2</v>
      </c>
      <c r="I25" s="146">
        <f t="shared" si="0"/>
        <v>8.3281285569900224E-3</v>
      </c>
      <c r="K25" s="5"/>
      <c r="L25" s="5"/>
      <c r="M25" s="5"/>
      <c r="N25" s="747" t="s">
        <v>629</v>
      </c>
      <c r="O25" s="747" t="s">
        <v>630</v>
      </c>
      <c r="P25" s="749">
        <v>1.0044013261795044</v>
      </c>
      <c r="R25" s="101">
        <v>0</v>
      </c>
      <c r="S25" s="101">
        <v>1</v>
      </c>
      <c r="T25" s="101">
        <v>0</v>
      </c>
      <c r="U25" s="81">
        <v>-4.7046780000000004</v>
      </c>
      <c r="V25" s="72">
        <f t="shared" si="3"/>
        <v>9.0528287594969642E-3</v>
      </c>
      <c r="W25" s="73">
        <f t="shared" si="1"/>
        <v>2.1371111588596326E-3</v>
      </c>
      <c r="Y25" s="5"/>
      <c r="Z25" s="5"/>
      <c r="AA25" s="5"/>
      <c r="AB25" s="747" t="s">
        <v>632</v>
      </c>
      <c r="AC25" s="747" t="s">
        <v>633</v>
      </c>
      <c r="AD25" s="749">
        <v>0.68516123294830322</v>
      </c>
    </row>
    <row r="26" spans="1:31" x14ac:dyDescent="0.35">
      <c r="A26" s="78" t="s">
        <v>635</v>
      </c>
      <c r="B26" s="144"/>
      <c r="C26" s="144"/>
      <c r="D26" s="26">
        <v>2.093</v>
      </c>
      <c r="E26" s="26">
        <v>10.95</v>
      </c>
      <c r="F26" s="26">
        <v>10.95</v>
      </c>
      <c r="G26" s="81">
        <v>-2.3605860000000001</v>
      </c>
      <c r="H26" s="145">
        <f t="shared" si="2"/>
        <v>9.4364909154106544E-2</v>
      </c>
      <c r="I26" s="146">
        <f t="shared" si="0"/>
        <v>2.4249615653357929E-2</v>
      </c>
      <c r="R26" s="101">
        <v>1.6870000000000001</v>
      </c>
      <c r="S26" s="101">
        <v>8.343</v>
      </c>
      <c r="T26" s="101">
        <v>4.97</v>
      </c>
      <c r="U26" s="81">
        <v>-2.3536199999999998</v>
      </c>
      <c r="V26" s="72">
        <f t="shared" si="3"/>
        <v>9.502454997281666E-2</v>
      </c>
      <c r="W26" s="73">
        <f t="shared" si="1"/>
        <v>2.2432549152051524E-2</v>
      </c>
    </row>
    <row r="27" spans="1:31" x14ac:dyDescent="0.35">
      <c r="A27" s="78" t="s">
        <v>636</v>
      </c>
      <c r="B27" s="144"/>
      <c r="C27" s="144"/>
      <c r="D27" s="26">
        <v>7.7869999999999999</v>
      </c>
      <c r="E27" s="26">
        <v>18.170000000000002</v>
      </c>
      <c r="F27" s="26">
        <v>27.04</v>
      </c>
      <c r="G27" s="81">
        <v>-1.4041760000000001</v>
      </c>
      <c r="H27" s="145">
        <f t="shared" si="2"/>
        <v>0.24556932222949901</v>
      </c>
      <c r="I27" s="146">
        <f t="shared" si="0"/>
        <v>6.3105679152363287E-2</v>
      </c>
      <c r="R27" s="101">
        <v>15.54</v>
      </c>
      <c r="S27" s="101">
        <v>9.9209999999999994</v>
      </c>
      <c r="T27" s="101">
        <v>4.5359999999999996</v>
      </c>
      <c r="U27" s="81">
        <v>-1.163951</v>
      </c>
      <c r="V27" s="72">
        <f t="shared" si="3"/>
        <v>0.31225004058514916</v>
      </c>
      <c r="W27" s="73">
        <f t="shared" si="1"/>
        <v>7.3713207641185496E-2</v>
      </c>
    </row>
    <row r="28" spans="1:31" x14ac:dyDescent="0.35">
      <c r="A28" s="134"/>
      <c r="B28" s="134"/>
      <c r="C28" s="134"/>
      <c r="D28" s="134"/>
      <c r="E28" s="134"/>
      <c r="F28" s="134"/>
      <c r="G28" s="139"/>
      <c r="H28" s="75">
        <f>SUM(H5:H27)</f>
        <v>3.891398136078891</v>
      </c>
      <c r="I28" s="94">
        <f>SUM(I5:I27)</f>
        <v>1.0000000000000002</v>
      </c>
      <c r="J28" s="139"/>
      <c r="K28" s="139"/>
      <c r="L28" s="139"/>
      <c r="M28" s="139"/>
      <c r="N28" s="139"/>
      <c r="O28" s="139"/>
      <c r="P28" s="139"/>
      <c r="Q28" s="139"/>
      <c r="R28" s="134"/>
      <c r="S28" s="134"/>
      <c r="T28" s="134"/>
      <c r="U28" s="134"/>
      <c r="V28" s="75">
        <f>SUM(V5:V27)</f>
        <v>4.2360121147500696</v>
      </c>
      <c r="W28" s="74">
        <f>SUM(W5:W27)</f>
        <v>1</v>
      </c>
      <c r="X28" s="139"/>
      <c r="Y28" s="139"/>
      <c r="Z28" s="139"/>
      <c r="AA28" s="139"/>
      <c r="AB28" s="139"/>
      <c r="AC28" s="139"/>
      <c r="AD28" s="139"/>
      <c r="AE28" s="139"/>
    </row>
    <row r="29" spans="1:31" x14ac:dyDescent="0.35">
      <c r="A29" s="102" t="s">
        <v>637</v>
      </c>
    </row>
    <row r="30" spans="1:31" x14ac:dyDescent="0.35"/>
    <row r="31" spans="1:31" x14ac:dyDescent="0.35"/>
    <row r="32" spans="1:31" s="7" customFormat="1" ht="19.5" x14ac:dyDescent="0.45">
      <c r="A32" s="85"/>
      <c r="B32" s="52"/>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row>
    <row r="33" spans="1:31" s="7" customFormat="1" ht="19.5" x14ac:dyDescent="0.45">
      <c r="A33" s="85" t="s">
        <v>394</v>
      </c>
      <c r="B33" s="52"/>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row>
    <row r="34" spans="1:31" ht="15" thickBot="1" x14ac:dyDescent="0.4">
      <c r="A34" s="50"/>
      <c r="B34" s="50"/>
      <c r="C34" s="50"/>
      <c r="D34" s="98" t="s">
        <v>638</v>
      </c>
      <c r="E34" s="98"/>
      <c r="F34" s="134"/>
      <c r="G34" s="134"/>
      <c r="H34" s="134"/>
      <c r="I34" s="134"/>
      <c r="J34" s="134"/>
      <c r="K34" s="134"/>
      <c r="L34" s="134"/>
      <c r="M34" s="134"/>
      <c r="N34" s="134"/>
      <c r="O34" s="134"/>
      <c r="P34" s="134"/>
      <c r="Q34" s="134"/>
      <c r="R34" s="98" t="s">
        <v>638</v>
      </c>
      <c r="S34" s="98"/>
      <c r="T34" s="134"/>
      <c r="U34" s="134"/>
      <c r="V34" s="134"/>
      <c r="W34" s="134"/>
      <c r="X34" s="134"/>
      <c r="Y34" s="134"/>
      <c r="Z34" s="134"/>
      <c r="AA34" s="134"/>
      <c r="AB34" s="134"/>
      <c r="AC34" s="134"/>
      <c r="AD34" s="134"/>
      <c r="AE34" s="134"/>
    </row>
    <row r="35" spans="1:31" x14ac:dyDescent="0.35">
      <c r="A35" s="54" t="s">
        <v>347</v>
      </c>
      <c r="B35" s="52" t="s">
        <v>395</v>
      </c>
      <c r="C35" s="50"/>
      <c r="D35" s="205" t="s">
        <v>538</v>
      </c>
      <c r="E35" s="309" t="s">
        <v>539</v>
      </c>
      <c r="F35" s="4"/>
      <c r="G35" s="4"/>
      <c r="H35" s="4"/>
      <c r="I35" s="134"/>
      <c r="J35" s="134"/>
      <c r="K35" s="134"/>
      <c r="L35" s="134"/>
      <c r="M35" s="134"/>
      <c r="N35" s="134"/>
      <c r="O35" s="4"/>
      <c r="P35" s="4"/>
      <c r="Q35" s="4"/>
      <c r="R35" s="205" t="s">
        <v>538</v>
      </c>
      <c r="S35" s="309" t="s">
        <v>539</v>
      </c>
      <c r="T35" s="134"/>
      <c r="U35" s="134"/>
      <c r="V35" s="134"/>
      <c r="W35" s="134"/>
      <c r="X35" s="134"/>
      <c r="Y35" s="134"/>
      <c r="Z35" s="134"/>
      <c r="AA35" s="134"/>
      <c r="AB35" s="134"/>
      <c r="AC35" s="4"/>
      <c r="AD35" s="4"/>
      <c r="AE35" s="134"/>
    </row>
    <row r="36" spans="1:31" x14ac:dyDescent="0.35">
      <c r="A36" s="7" t="str">
        <f>A11</f>
        <v>Reducing the amount of water that leaks from our pipes</v>
      </c>
      <c r="B36" s="7" t="s">
        <v>333</v>
      </c>
      <c r="D36" s="36">
        <f>VLOOKUP($A36,$A$5:$AG$27,COLUMN($I$4),0)</f>
        <v>5.5502539025424881E-2</v>
      </c>
      <c r="E36" s="274">
        <f>D36*100/D$39</f>
        <v>53.393443116236142</v>
      </c>
      <c r="F36" s="41"/>
      <c r="G36" s="41"/>
      <c r="H36" s="41"/>
      <c r="O36" s="21"/>
      <c r="P36" s="41"/>
      <c r="Q36" s="41"/>
      <c r="R36" s="35">
        <f>VLOOKUP($A36,$A$5:$AG$27,COLUMN($W$4),0)</f>
        <v>7.3992296859804463E-2</v>
      </c>
      <c r="S36" s="310">
        <f>R36*100/R$39</f>
        <v>61.860140609818643</v>
      </c>
      <c r="AC36" s="41"/>
      <c r="AD36" s="41"/>
    </row>
    <row r="37" spans="1:31" x14ac:dyDescent="0.35">
      <c r="A37" s="7" t="str">
        <f>A14</f>
        <v>Investing in new technology and ways of working that help customers better control their water usage: such as smart meters &amp; apps</v>
      </c>
      <c r="B37" s="7" t="s">
        <v>334</v>
      </c>
      <c r="D37" s="36">
        <f>VLOOKUP($A37,$A$5:$AG$27,COLUMN($I$4),0)</f>
        <v>3.2058000182991417E-2</v>
      </c>
      <c r="E37" s="274">
        <f>D37*100/D$39</f>
        <v>30.839796507448821</v>
      </c>
      <c r="F37" s="41"/>
      <c r="G37" s="41"/>
      <c r="H37" s="41"/>
      <c r="O37" s="21"/>
      <c r="P37" s="41"/>
      <c r="Q37" s="41"/>
      <c r="R37" s="35">
        <f>VLOOKUP($A37,$A$5:$AG$27,COLUMN($W$4),0)</f>
        <v>2.3934716813577547E-2</v>
      </c>
      <c r="S37" s="310">
        <f>R37*100/R$39</f>
        <v>20.010257964412787</v>
      </c>
      <c r="AC37" s="41"/>
      <c r="AD37" s="41"/>
    </row>
    <row r="38" spans="1:31" x14ac:dyDescent="0.35">
      <c r="A38" s="7" t="str">
        <f>A9</f>
        <v>Educating customers on how to use water more responsibly (and save money)</v>
      </c>
      <c r="B38" s="7" t="s">
        <v>335</v>
      </c>
      <c r="D38" s="36">
        <f>VLOOKUP($A38,$A$5:$AG$27,COLUMN($I$4),0)</f>
        <v>1.6389563624617503E-2</v>
      </c>
      <c r="E38" s="274">
        <f>D38*100/D$39</f>
        <v>15.76676037631503</v>
      </c>
      <c r="F38" s="41"/>
      <c r="G38" s="41"/>
      <c r="H38" s="41"/>
      <c r="O38" s="21"/>
      <c r="P38" s="41"/>
      <c r="Q38" s="41"/>
      <c r="R38" s="35">
        <f>VLOOKUP($A38,$A$5:$AG$27,COLUMN($W$4),0)</f>
        <v>2.1685221491922736E-2</v>
      </c>
      <c r="S38" s="310">
        <f>R38*100/R$39</f>
        <v>18.129601425768563</v>
      </c>
      <c r="AC38" s="41"/>
      <c r="AD38" s="41"/>
    </row>
    <row r="39" spans="1:31" ht="15" thickBot="1" x14ac:dyDescent="0.4">
      <c r="A39" s="7"/>
      <c r="D39" s="96">
        <f>SUM(D36:D38)</f>
        <v>0.10395010283303381</v>
      </c>
      <c r="E39" s="276">
        <f>SUM(E36:E38)</f>
        <v>100</v>
      </c>
      <c r="F39" s="22"/>
      <c r="G39" s="22"/>
      <c r="H39" s="22"/>
      <c r="O39" s="22"/>
      <c r="P39" s="22"/>
      <c r="Q39" s="22"/>
      <c r="R39" s="79">
        <f>SUM(R36:R38)</f>
        <v>0.11961223516530475</v>
      </c>
      <c r="S39" s="300">
        <f>SUM(S36:S38)</f>
        <v>100</v>
      </c>
      <c r="AC39" s="22"/>
      <c r="AD39" s="22"/>
    </row>
    <row r="40" spans="1:31" s="7" customFormat="1" x14ac:dyDescent="0.35">
      <c r="A40" s="50"/>
      <c r="B40" s="50"/>
      <c r="C40" s="50"/>
      <c r="D40" s="52"/>
      <c r="E40" s="52"/>
      <c r="F40" s="52"/>
      <c r="G40" s="52"/>
      <c r="H40" s="52"/>
      <c r="I40" s="52"/>
      <c r="J40" s="84"/>
      <c r="K40" s="84"/>
      <c r="L40" s="84"/>
      <c r="M40" s="84"/>
      <c r="N40" s="84"/>
      <c r="O40" s="52"/>
      <c r="P40" s="52"/>
      <c r="Q40" s="52"/>
      <c r="R40" s="84"/>
      <c r="S40" s="52"/>
      <c r="T40" s="52"/>
      <c r="U40" s="52"/>
      <c r="V40" s="52"/>
      <c r="W40" s="52"/>
      <c r="X40" s="52"/>
      <c r="Y40" s="52"/>
      <c r="Z40" s="52"/>
      <c r="AA40" s="52"/>
      <c r="AB40" s="52"/>
      <c r="AC40" s="52"/>
      <c r="AD40" s="52"/>
      <c r="AE40" s="52"/>
    </row>
    <row r="41" spans="1:31" s="7" customFormat="1" ht="19.5" x14ac:dyDescent="0.45">
      <c r="A41" s="85" t="s">
        <v>341</v>
      </c>
      <c r="B41" s="50"/>
      <c r="C41" s="50"/>
      <c r="D41" s="185"/>
      <c r="E41" s="98"/>
      <c r="F41" s="98"/>
      <c r="G41" s="98"/>
      <c r="H41" s="98"/>
      <c r="I41" s="98"/>
      <c r="J41" s="186"/>
      <c r="K41" s="186"/>
      <c r="L41" s="186"/>
      <c r="M41" s="186"/>
      <c r="N41" s="186"/>
      <c r="O41" s="52"/>
      <c r="P41" s="52"/>
      <c r="Q41" s="52"/>
      <c r="R41" s="84"/>
      <c r="S41" s="52"/>
      <c r="T41" s="52"/>
      <c r="U41" s="52"/>
      <c r="V41" s="52"/>
      <c r="W41" s="52"/>
      <c r="X41" s="52"/>
      <c r="Y41" s="52"/>
      <c r="Z41" s="52"/>
      <c r="AA41" s="52"/>
      <c r="AB41" s="52"/>
      <c r="AC41" s="52"/>
      <c r="AD41" s="52"/>
      <c r="AE41" s="52"/>
    </row>
    <row r="42" spans="1:31" s="7" customFormat="1" ht="15" thickBot="1" x14ac:dyDescent="0.4">
      <c r="A42" s="50"/>
      <c r="B42" s="52"/>
      <c r="C42" s="188"/>
      <c r="D42" s="98" t="s">
        <v>342</v>
      </c>
      <c r="E42" s="148"/>
      <c r="F42" s="148"/>
      <c r="G42" s="98" t="s">
        <v>343</v>
      </c>
      <c r="H42" s="98"/>
      <c r="I42" s="99"/>
      <c r="J42" s="1007" t="s">
        <v>344</v>
      </c>
      <c r="K42" s="251"/>
      <c r="L42" s="251"/>
      <c r="M42" s="251"/>
      <c r="N42" s="251"/>
      <c r="O42" s="1006" t="s">
        <v>346</v>
      </c>
      <c r="P42" s="50"/>
      <c r="Q42" s="50"/>
      <c r="R42" s="98" t="s">
        <v>342</v>
      </c>
      <c r="S42" s="148"/>
      <c r="T42" s="148"/>
      <c r="U42" s="98" t="s">
        <v>343</v>
      </c>
      <c r="V42" s="98"/>
      <c r="W42" s="99"/>
      <c r="X42" s="1007" t="s">
        <v>344</v>
      </c>
      <c r="Y42" s="251"/>
      <c r="Z42" s="251"/>
      <c r="AA42" s="251"/>
      <c r="AB42" s="251"/>
      <c r="AC42" s="1006" t="s">
        <v>346</v>
      </c>
      <c r="AD42" s="50"/>
      <c r="AE42" s="50"/>
    </row>
    <row r="43" spans="1:31" s="53" customFormat="1" ht="43.5" x14ac:dyDescent="0.35">
      <c r="A43" s="54" t="s">
        <v>347</v>
      </c>
      <c r="B43" s="54" t="s">
        <v>348</v>
      </c>
      <c r="C43" s="189" t="s">
        <v>349</v>
      </c>
      <c r="D43" s="88" t="s">
        <v>350</v>
      </c>
      <c r="E43" s="88" t="s">
        <v>351</v>
      </c>
      <c r="F43" s="88" t="s">
        <v>352</v>
      </c>
      <c r="G43" s="88" t="s">
        <v>353</v>
      </c>
      <c r="H43" s="88" t="s">
        <v>354</v>
      </c>
      <c r="I43" s="88" t="s">
        <v>355</v>
      </c>
      <c r="J43" s="1007"/>
      <c r="K43" s="251" t="s">
        <v>356</v>
      </c>
      <c r="L43" s="251" t="s">
        <v>357</v>
      </c>
      <c r="M43" s="251" t="s">
        <v>358</v>
      </c>
      <c r="N43" s="598" t="s">
        <v>359</v>
      </c>
      <c r="O43" s="1006"/>
      <c r="P43" s="88" t="s">
        <v>124</v>
      </c>
      <c r="Q43" s="268" t="s">
        <v>360</v>
      </c>
      <c r="R43" s="88" t="s">
        <v>350</v>
      </c>
      <c r="S43" s="88" t="s">
        <v>351</v>
      </c>
      <c r="T43" s="88" t="s">
        <v>352</v>
      </c>
      <c r="U43" s="88" t="s">
        <v>353</v>
      </c>
      <c r="V43" s="88" t="s">
        <v>354</v>
      </c>
      <c r="W43" s="88" t="s">
        <v>355</v>
      </c>
      <c r="X43" s="1007"/>
      <c r="Y43" s="251" t="s">
        <v>356</v>
      </c>
      <c r="Z43" s="251" t="s">
        <v>357</v>
      </c>
      <c r="AA43" s="251" t="s">
        <v>358</v>
      </c>
      <c r="AB43" s="598" t="s">
        <v>359</v>
      </c>
      <c r="AC43" s="1006"/>
      <c r="AD43" s="88" t="s">
        <v>124</v>
      </c>
      <c r="AE43" s="268" t="s">
        <v>360</v>
      </c>
    </row>
    <row r="44" spans="1:31" x14ac:dyDescent="0.35">
      <c r="A44" s="750" t="s">
        <v>571</v>
      </c>
      <c r="B44" s="7" t="s">
        <v>125</v>
      </c>
      <c r="C44" s="7" t="s">
        <v>126</v>
      </c>
      <c r="D44" s="423">
        <f t="shared" ref="D44:D51" ca="1" si="4">INDEX(INDIRECT("SSW_WTPCore2_"&amp;$C44&amp;"_Levels"),1,MATCH(D$43,WTPCore2_AttLevels,0))</f>
        <v>1.2500000000000001E-2</v>
      </c>
      <c r="E44" s="423"/>
      <c r="F44" s="423">
        <f t="shared" ref="F44:F53" ca="1" si="5">INDEX(INDIRECT("SSW_WTPCore2_"&amp;$C44&amp;"_Levels"),1,MATCH(F$43,WTPCore2_AttLevels,0))</f>
        <v>8.3333333333333332E-3</v>
      </c>
      <c r="G44" s="89">
        <f t="shared" ref="G44:G51" ca="1" si="6">INDEX(INDIRECT("SSW_WTPCore2_"&amp;$C44&amp;"_LevelValues"),1,MATCH("S1 MEAN",WTPCore2_LevelValues,0))</f>
        <v>0.88929876177631462</v>
      </c>
      <c r="H44" s="89">
        <f t="shared" ref="H44:H51" ca="1" si="7">INDEX(INDIRECT("SSW_WTPCore2_"&amp;$C44&amp;"_LevelValues"),1,MATCH("S2 MEAN",WTPCore2_LevelValues,0))</f>
        <v>0.22437782965097952</v>
      </c>
      <c r="I44" s="89">
        <f ca="1">SUM(G44:H44)</f>
        <v>1.1136765914272941</v>
      </c>
      <c r="J44" s="752">
        <f>VLOOKUP($A44,$L$5:$M$27,2,0)/100</f>
        <v>0.20933034896850586</v>
      </c>
      <c r="K44" s="429">
        <f t="shared" ref="K44:K53" ca="1" si="8">INDEX(INDIRECT("SSW_WTPCore_DCE_"&amp;$C44&amp;"_UnitValues"),MATCH("COMBINED-HH",WTPCore_Group,0),MATCH("MEAN",LMH,0))</f>
        <v>759.38481661325</v>
      </c>
      <c r="L44" s="429">
        <f ca="1">K44*($D44-$F44)*(AllProps_SSW/HHProps_SSW)</f>
        <v>3.34</v>
      </c>
      <c r="M44" s="89">
        <f t="shared" ref="M44:M51" ca="1" si="9">INDEX(INDIRECT("SSW_WTPCore2_"&amp;$C44&amp;"_UnitValues"),1,MATCH("MEAN",LMH,0))</f>
        <v>253.20631561301954</v>
      </c>
      <c r="N44" s="429">
        <f ca="1">M44*($D44-$F44)*(AllProps_SSW/HHProps_SSW)</f>
        <v>1.1136765914272941</v>
      </c>
      <c r="O44" s="90">
        <f t="shared" ref="O44:O51" ca="1" si="10">(J44*M$56)/J$54</f>
        <v>4.2680951672607916</v>
      </c>
      <c r="P44" s="23" t="s">
        <v>127</v>
      </c>
      <c r="Q44" s="269">
        <f ca="1">(O44*HHProps_SSW)/((D44-F44)*AllProps_SSW)</f>
        <v>970.39720535276513</v>
      </c>
      <c r="R44" s="36">
        <f t="shared" ref="R44:R51" ca="1" si="11">INDEX(INDIRECT("CAM_WTPCore2_"&amp;$C44&amp;"_Levels"),1,MATCH(R$43,WTPCore2_AttLevels,0))</f>
        <v>1.2500000000000001E-2</v>
      </c>
      <c r="S44" s="36"/>
      <c r="T44" s="36">
        <f t="shared" ref="T44:T51" ca="1" si="12">INDEX(INDIRECT("CAM_WTPCore2_"&amp;$C44&amp;"_Levels"),1,MATCH(T$43,WTPCore2_AttLevels,0))</f>
        <v>8.3333333333333332E-3</v>
      </c>
      <c r="U44" s="89">
        <f t="shared" ref="U44:U51" ca="1" si="13">INDEX(INDIRECT("CAM_WTPCore2_"&amp;$C44&amp;"_LevelValues"),1,MATCH("S1 MEAN",WTPCore2_LevelValues,0))</f>
        <v>1.0483009561625427</v>
      </c>
      <c r="V44" s="89">
        <f t="shared" ref="V44:V51" ca="1" si="14">INDEX(INDIRECT("CAM_WTPCore2_"&amp;$C44&amp;"_LevelValues"),1,MATCH("S2 MEAN",WTPCore2_LevelValues,0))</f>
        <v>1.4106837870846367</v>
      </c>
      <c r="W44" s="89">
        <f ca="1">SUM(U44:V44)</f>
        <v>2.4589847432471794</v>
      </c>
      <c r="X44" s="752">
        <f>VLOOKUP($A44,$Z$5:$AA$27,2,0)/100</f>
        <v>0.1834307098388672</v>
      </c>
      <c r="Y44" s="429">
        <f t="shared" ref="Y44:Y53" ca="1" si="15">INDEX(INDIRECT("CAM_WTPCore_"&amp;$C44&amp;"_UnitValues"),MATCH("COMBINED-HH",WTPCore_Group,0),MATCH("MEAN",LMH,0))</f>
        <v>501.11390007890685</v>
      </c>
      <c r="Z44" s="429">
        <f ca="1">Y44*($R44-$T44)*(AllProps_CAM/HHProps_CAM)</f>
        <v>2.2200000000000002</v>
      </c>
      <c r="AA44" s="89">
        <f t="shared" ref="AA44:AA51" ca="1" si="16">INDEX(INDIRECT("CAM_WTPCore2_"&amp;$C44&amp;"_UnitValues"),1,MATCH("MEAN",LMH,0))</f>
        <v>555.0592049203259</v>
      </c>
      <c r="AB44" s="429">
        <f ca="1">AA44*($R44-$T44)*(AllProps_CAM/HHProps_CAM)</f>
        <v>2.4589847432471794</v>
      </c>
      <c r="AC44" s="90">
        <f t="shared" ref="AC44:AC51" ca="1" si="17">(X44*AA$56)/X$54</f>
        <v>4.2084740644653351</v>
      </c>
      <c r="AD44" s="7" t="str">
        <f>P44</f>
        <v>Property affected</v>
      </c>
      <c r="AE44" s="269">
        <f ca="1">(AC44*HHProps_CAM)/((R44-T44)*AllProps_CAM)</f>
        <v>949.96614947078956</v>
      </c>
    </row>
    <row r="45" spans="1:31" x14ac:dyDescent="0.35">
      <c r="A45" s="750" t="s">
        <v>578</v>
      </c>
      <c r="B45" s="7" t="s">
        <v>137</v>
      </c>
      <c r="C45" s="7" t="s">
        <v>138</v>
      </c>
      <c r="D45" s="423">
        <f t="shared" ca="1" si="4"/>
        <v>1.4285714285714285E-2</v>
      </c>
      <c r="E45" s="36"/>
      <c r="F45" s="423">
        <f t="shared" ca="1" si="5"/>
        <v>9.5238095238095247E-3</v>
      </c>
      <c r="G45" s="89">
        <f t="shared" ca="1" si="6"/>
        <v>0.39718669024665654</v>
      </c>
      <c r="H45" s="89">
        <f t="shared" ca="1" si="7"/>
        <v>0.53859352958370721</v>
      </c>
      <c r="I45" s="89">
        <f ca="1">SUM(G45:H45)</f>
        <v>0.93578021983036375</v>
      </c>
      <c r="J45" s="752">
        <f t="shared" ref="J45:J51" si="18">VLOOKUP($A45,$L$5:$M$27,2,0)/100</f>
        <v>8.2823162078857426E-2</v>
      </c>
      <c r="K45" s="429">
        <f t="shared" ca="1" si="8"/>
        <v>162.10819588181059</v>
      </c>
      <c r="L45" s="429">
        <f ca="1">K45*($D45-$F45)*(AllProps_SSW/HHProps_SSW)</f>
        <v>0.8148571428571425</v>
      </c>
      <c r="M45" s="89">
        <f t="shared" ca="1" si="9"/>
        <v>186.16470937063306</v>
      </c>
      <c r="N45" s="429">
        <f ca="1">M45*($D45-$F45)*(AllProps_SSW/HHProps_SSW)</f>
        <v>0.93578021983036375</v>
      </c>
      <c r="O45" s="90">
        <f t="shared" ca="1" si="10"/>
        <v>1.6887046696664749</v>
      </c>
      <c r="P45" s="23" t="s">
        <v>127</v>
      </c>
      <c r="Q45" s="269">
        <f ca="1">(O45*HHProps_SSW)/((D45-F45)*AllProps_SSW)</f>
        <v>335.95197609357444</v>
      </c>
      <c r="R45" s="36">
        <f t="shared" ca="1" si="11"/>
        <v>2.5000000000000001E-2</v>
      </c>
      <c r="S45" s="36"/>
      <c r="T45" s="36">
        <f t="shared" ca="1" si="12"/>
        <v>1.6666666666666666E-2</v>
      </c>
      <c r="U45" s="89">
        <f t="shared" ca="1" si="13"/>
        <v>5.3490671066612649E-2</v>
      </c>
      <c r="V45" s="89">
        <f t="shared" ca="1" si="14"/>
        <v>0.33457681646237136</v>
      </c>
      <c r="W45" s="89">
        <f t="shared" ref="W45:W53" ca="1" si="19">SUM(U45:V45)</f>
        <v>0.38806748752898401</v>
      </c>
      <c r="X45" s="752">
        <f t="shared" ref="X45:X47" si="20">VLOOKUP($A45,$Z$5:$AA$27,2,0)/100</f>
        <v>8.1256952285766598E-2</v>
      </c>
      <c r="Y45" s="429">
        <f t="shared" ca="1" si="15"/>
        <v>28.26566546881222</v>
      </c>
      <c r="Z45" s="429">
        <f ca="1">Y45*($R45-$T45)*(AllProps_CAM/HHProps_CAM)</f>
        <v>0.25044117647058828</v>
      </c>
      <c r="AA45" s="89">
        <f t="shared" ca="1" si="16"/>
        <v>43.79865138952065</v>
      </c>
      <c r="AB45" s="429">
        <f ca="1">AA45*($R45-$T45)*(AllProps_CAM/HHProps_CAM)</f>
        <v>0.3880674875289839</v>
      </c>
      <c r="AC45" s="90">
        <f t="shared" ca="1" si="17"/>
        <v>1.8642885727942942</v>
      </c>
      <c r="AD45" s="7" t="str">
        <f t="shared" ref="AD45:AD53" si="21">P45</f>
        <v>Property affected</v>
      </c>
      <c r="AE45" s="269">
        <f ca="1">(AC45*HHProps_CAM)/((R45-T45)*AllProps_CAM)</f>
        <v>210.41011657330804</v>
      </c>
    </row>
    <row r="46" spans="1:31" x14ac:dyDescent="0.35">
      <c r="A46" s="750" t="s">
        <v>575</v>
      </c>
      <c r="B46" s="7" t="s">
        <v>40</v>
      </c>
      <c r="C46" s="7" t="s">
        <v>40</v>
      </c>
      <c r="D46" s="147">
        <f t="shared" ca="1" si="4"/>
        <v>70.5</v>
      </c>
      <c r="E46" s="190"/>
      <c r="F46" s="147">
        <f t="shared" ca="1" si="5"/>
        <v>35.25</v>
      </c>
      <c r="G46" s="89">
        <f t="shared" ca="1" si="6"/>
        <v>1.2301339708448666</v>
      </c>
      <c r="H46" s="89">
        <f t="shared" ca="1" si="7"/>
        <v>0.44133293088857806</v>
      </c>
      <c r="I46" s="89">
        <f t="shared" ref="I46:I53" ca="1" si="22">SUM(G46:H46)</f>
        <v>1.6714669017334447</v>
      </c>
      <c r="J46" s="752">
        <f t="shared" si="18"/>
        <v>9.5192279815673825E-2</v>
      </c>
      <c r="K46" s="429">
        <f t="shared" ca="1" si="8"/>
        <v>30606.35460992908</v>
      </c>
      <c r="L46" s="429">
        <f ca="1">K46*($D46-$F46)/HHProps_SSW</f>
        <v>2</v>
      </c>
      <c r="M46" s="89">
        <f t="shared" ca="1" si="9"/>
        <v>25578.754356606645</v>
      </c>
      <c r="N46" s="429">
        <f ca="1">M46*($D46-$F46)/HHProps_SSW</f>
        <v>1.6714669017334447</v>
      </c>
      <c r="O46" s="90">
        <f t="shared" ca="1" si="10"/>
        <v>1.9409020786705968</v>
      </c>
      <c r="P46" s="23" t="s">
        <v>148</v>
      </c>
      <c r="Q46" s="269">
        <f ca="1">(O46*HHProps_SSW)/((D46-F46))</f>
        <v>29701.968641470376</v>
      </c>
      <c r="R46" s="147">
        <f t="shared" ca="1" si="11"/>
        <v>13.5</v>
      </c>
      <c r="S46" s="190"/>
      <c r="T46" s="147">
        <f t="shared" ca="1" si="12"/>
        <v>6.75</v>
      </c>
      <c r="U46" s="89">
        <f t="shared" ca="1" si="13"/>
        <v>3.1349723048319831</v>
      </c>
      <c r="V46" s="89">
        <f t="shared" ca="1" si="14"/>
        <v>5.1405797633106154E-3</v>
      </c>
      <c r="W46" s="89">
        <f t="shared" ca="1" si="19"/>
        <v>3.1401128845952937</v>
      </c>
      <c r="X46" s="752">
        <f t="shared" si="20"/>
        <v>0.11376530647277833</v>
      </c>
      <c r="Y46" s="429">
        <f t="shared" ca="1" si="15"/>
        <v>145343.41333333333</v>
      </c>
      <c r="Z46" s="429">
        <f ca="1">Y46*($R46-$T46)/HHProps_CAM</f>
        <v>7.2200000000000006</v>
      </c>
      <c r="AA46" s="89">
        <f t="shared" ca="1" si="16"/>
        <v>63212.565775492993</v>
      </c>
      <c r="AB46" s="429">
        <f ca="1">AA46*($R46-$T46)/HHProps_CAM</f>
        <v>3.1401128845952937</v>
      </c>
      <c r="AC46" s="90">
        <f t="shared" ca="1" si="17"/>
        <v>2.6101318702152754</v>
      </c>
      <c r="AD46" s="7" t="str">
        <f t="shared" si="21"/>
        <v>ML/D</v>
      </c>
      <c r="AE46" s="269">
        <f ca="1">(AC46*HHProps_CAM)/((R46-T46))</f>
        <v>52543.694635346968</v>
      </c>
    </row>
    <row r="47" spans="1:31" x14ac:dyDescent="0.35">
      <c r="A47" s="750" t="s">
        <v>611</v>
      </c>
      <c r="B47" s="7" t="s">
        <v>153</v>
      </c>
      <c r="C47" s="7" t="s">
        <v>154</v>
      </c>
      <c r="D47" s="37">
        <f t="shared" ca="1" si="4"/>
        <v>0</v>
      </c>
      <c r="E47" s="190"/>
      <c r="F47" s="37">
        <f t="shared" ca="1" si="5"/>
        <v>50</v>
      </c>
      <c r="G47" s="89">
        <f t="shared" ca="1" si="6"/>
        <v>0.31132700138064179</v>
      </c>
      <c r="H47" s="89">
        <f t="shared" ca="1" si="7"/>
        <v>0.13284027031511708</v>
      </c>
      <c r="I47" s="89">
        <f t="shared" ca="1" si="22"/>
        <v>0.44416727169575887</v>
      </c>
      <c r="J47" s="752">
        <f t="shared" si="18"/>
        <v>2.9595334529876709E-2</v>
      </c>
      <c r="K47" s="429">
        <f t="shared" ca="1" si="8"/>
        <v>10249.302999999998</v>
      </c>
      <c r="L47" s="429">
        <f ca="1">-K47*(D47-F47)/HHProps_SSW</f>
        <v>0.94999999999999984</v>
      </c>
      <c r="M47" s="89">
        <f t="shared" ca="1" si="9"/>
        <v>4792.0052108349018</v>
      </c>
      <c r="N47" s="429">
        <f ca="1">-M47*(D47-F47)/HHProps_SSW</f>
        <v>0.44416727169575887</v>
      </c>
      <c r="O47" s="90">
        <f t="shared" ca="1" si="10"/>
        <v>0.60342757226969335</v>
      </c>
      <c r="P47" s="23" t="s">
        <v>155</v>
      </c>
      <c r="Q47" s="269">
        <f ca="1">-O47*HHProps_SSW/(D47-F47)</f>
        <v>6510.2231860489319</v>
      </c>
      <c r="R47" s="37">
        <f t="shared" ca="1" si="11"/>
        <v>0</v>
      </c>
      <c r="S47" s="190"/>
      <c r="T47" s="147">
        <f t="shared" ca="1" si="12"/>
        <v>9</v>
      </c>
      <c r="U47" s="89">
        <f t="shared" ca="1" si="13"/>
        <v>0.16524275196632074</v>
      </c>
      <c r="V47" s="89">
        <f t="shared" ca="1" si="14"/>
        <v>2.2165878650139109E-2</v>
      </c>
      <c r="W47" s="89">
        <f t="shared" ca="1" si="19"/>
        <v>0.18740863061645985</v>
      </c>
      <c r="X47" s="752">
        <f t="shared" si="20"/>
        <v>2.9443211555480957E-2</v>
      </c>
      <c r="Y47" s="429">
        <f t="shared" ca="1" si="15"/>
        <v>15354.666000000001</v>
      </c>
      <c r="Z47" s="429">
        <f ca="1">-Y47*(R47-T47)/HHProps_CAM</f>
        <v>1.0170000000000001</v>
      </c>
      <c r="AA47" s="89">
        <f t="shared" ca="1" si="16"/>
        <v>2829.4955050473109</v>
      </c>
      <c r="AB47" s="429">
        <f ca="1">-AA47*(R47-T47)/HHProps_CAM</f>
        <v>0.18740863061645985</v>
      </c>
      <c r="AC47" s="90">
        <f t="shared" ca="1" si="17"/>
        <v>0.6755193408707626</v>
      </c>
      <c r="AD47" s="7" t="str">
        <f t="shared" si="21"/>
        <v>Hectare</v>
      </c>
      <c r="AE47" s="269">
        <f ca="1">-AC47*HHProps_CAM/(R47-T47)</f>
        <v>10198.991008466774</v>
      </c>
    </row>
    <row r="48" spans="1:31" x14ac:dyDescent="0.35">
      <c r="A48" s="78" t="s">
        <v>619</v>
      </c>
      <c r="B48" s="51" t="s">
        <v>131</v>
      </c>
      <c r="C48" s="7" t="s">
        <v>132</v>
      </c>
      <c r="D48" s="423">
        <f t="shared" ca="1" si="4"/>
        <v>1.6666666666666666E-2</v>
      </c>
      <c r="E48" s="36"/>
      <c r="F48" s="423">
        <f t="shared" ca="1" si="5"/>
        <v>1.1111111111111112E-2</v>
      </c>
      <c r="G48" s="89">
        <f t="shared" ca="1" si="6"/>
        <v>0.30818609087835352</v>
      </c>
      <c r="H48" s="89">
        <f t="shared" ca="1" si="7"/>
        <v>0.18578205633963885</v>
      </c>
      <c r="I48" s="89">
        <f t="shared" ca="1" si="22"/>
        <v>0.49396814721799237</v>
      </c>
      <c r="J48" s="753">
        <f>J$44*VLOOKUP($A48,$A$5:$W$27,COLUMN(I$4),FALSE)/I$5</f>
        <v>4.701161134907645E-2</v>
      </c>
      <c r="K48" s="429">
        <f t="shared" ca="1" si="8"/>
        <v>173.83878023943072</v>
      </c>
      <c r="L48" s="429">
        <f ca="1">K48*(D48-F48)*(AllProps_SSW/HHProps_SSW)</f>
        <v>1.0194594594594593</v>
      </c>
      <c r="M48" s="89">
        <f t="shared" ca="1" si="9"/>
        <v>84.231716516748989</v>
      </c>
      <c r="N48" s="429">
        <f ca="1">M48*($D48-$F48)*(AllProps_SSW/HHProps_SSW)</f>
        <v>0.49396814721799237</v>
      </c>
      <c r="O48" s="90">
        <f t="shared" ca="1" si="10"/>
        <v>0.95853292268826229</v>
      </c>
      <c r="P48" s="23" t="s">
        <v>127</v>
      </c>
      <c r="Q48" s="269">
        <f ca="1">(O48*HHProps_SSW)/((D48-F48)*AllProps_SSW)</f>
        <v>163.44955412725798</v>
      </c>
      <c r="R48" s="36">
        <f t="shared" ca="1" si="11"/>
        <v>1.4285714285714285E-2</v>
      </c>
      <c r="S48" s="36"/>
      <c r="T48" s="36">
        <f t="shared" ca="1" si="12"/>
        <v>0.01</v>
      </c>
      <c r="U48" s="89">
        <f t="shared" ca="1" si="13"/>
        <v>4.7204807663126298E-2</v>
      </c>
      <c r="V48" s="89">
        <f t="shared" ca="1" si="14"/>
        <v>0.1217094578997745</v>
      </c>
      <c r="W48" s="89">
        <f t="shared" ca="1" si="19"/>
        <v>0.16891426556290079</v>
      </c>
      <c r="X48" s="753">
        <f>X$44*VLOOKUP($A48,$A$5:$W$27,COLUMN(W$4),FALSE)/W$5</f>
        <v>2.9334021716030736E-2</v>
      </c>
      <c r="Y48" s="429">
        <f t="shared" ca="1" si="15"/>
        <v>207.69569571588755</v>
      </c>
      <c r="Z48" s="429">
        <f ca="1">Y48*(R48-T48)*(AllProps_CAM/HHProps_CAM)</f>
        <v>0.94640816326530586</v>
      </c>
      <c r="AA48" s="89">
        <f t="shared" ca="1" si="16"/>
        <v>37.069382180075451</v>
      </c>
      <c r="AB48" s="429">
        <f ca="1">AA48*($R48-$T48)*(AllProps_CAM/HHProps_CAM)</f>
        <v>0.16891426556290079</v>
      </c>
      <c r="AC48" s="90">
        <f t="shared" ca="1" si="17"/>
        <v>0.67301418452135398</v>
      </c>
      <c r="AD48" s="7" t="str">
        <f t="shared" si="21"/>
        <v>Property affected</v>
      </c>
      <c r="AE48" s="269">
        <f ca="1">(AC48*HHProps_CAM)/((R48-T48)*AllProps_CAM)</f>
        <v>147.69753126235273</v>
      </c>
    </row>
    <row r="49" spans="1:31" x14ac:dyDescent="0.35">
      <c r="A49" s="738" t="s">
        <v>627</v>
      </c>
      <c r="B49" s="7" t="s">
        <v>455</v>
      </c>
      <c r="C49" s="7" t="s">
        <v>149</v>
      </c>
      <c r="D49" s="423">
        <f ca="1">INDEX(INDIRECT("SSW_WTPCore2_"&amp;$C49&amp;"_Levels"),1,MATCH(D$43,WTPCore2_AttLevels,0))</f>
        <v>0.33</v>
      </c>
      <c r="E49" s="36"/>
      <c r="F49" s="423">
        <f t="shared" ca="1" si="5"/>
        <v>0.5</v>
      </c>
      <c r="G49" s="89">
        <f t="shared" ca="1" si="6"/>
        <v>3.9796847923577343</v>
      </c>
      <c r="H49" s="89">
        <f t="shared" ca="1" si="7"/>
        <v>0.52424962900217631</v>
      </c>
      <c r="I49" s="89">
        <f t="shared" ca="1" si="22"/>
        <v>4.5039344213599106</v>
      </c>
      <c r="J49" s="753">
        <f>M$5*VLOOKUP($A49,$O$5:$P$27,2,0)/P$5/100</f>
        <v>1.1795417636651215E-2</v>
      </c>
      <c r="K49" s="429">
        <f t="shared" ca="1" si="8"/>
        <v>1.7719298245614032</v>
      </c>
      <c r="L49" s="429">
        <f ca="1">K49*(D49-F49)*(AllProps_SSW/HHProps_SSW)</f>
        <v>-0.3179737279045543</v>
      </c>
      <c r="M49" s="89">
        <f t="shared" ca="1" si="9"/>
        <v>26.493731890352418</v>
      </c>
      <c r="N49" s="429">
        <f ca="1">M49*($D49-$F49)*(AllProps_SSW/HHProps_SSW)</f>
        <v>-4.7543139567416901</v>
      </c>
      <c r="O49" s="90">
        <f t="shared" ca="1" si="10"/>
        <v>0.24050007683495572</v>
      </c>
      <c r="P49" s="23" t="s">
        <v>127</v>
      </c>
      <c r="Q49" s="269">
        <f ca="1">(O49*HHProps_SSW)/((D49-F49)*AllProps_SSW)</f>
        <v>-1.3402027323498993</v>
      </c>
      <c r="R49" s="36">
        <f t="shared" ca="1" si="11"/>
        <v>0.7</v>
      </c>
      <c r="S49" s="36"/>
      <c r="T49" s="36">
        <f t="shared" ca="1" si="12"/>
        <v>0.95</v>
      </c>
      <c r="U49" s="89">
        <f t="shared" ca="1" si="13"/>
        <v>1.4360208416640492</v>
      </c>
      <c r="V49" s="89">
        <f t="shared" ca="1" si="14"/>
        <v>0.918140410423955</v>
      </c>
      <c r="W49" s="89">
        <f t="shared" ca="1" si="19"/>
        <v>2.3541612520880042</v>
      </c>
      <c r="X49" s="753">
        <f>AA$5*VLOOKUP($A49,$AC$5:$AD$27,2,0)/AD$5/100</f>
        <v>1.0052430015404901E-2</v>
      </c>
      <c r="Y49" s="429">
        <f t="shared" ca="1" si="15"/>
        <v>8.64</v>
      </c>
      <c r="Z49" s="429">
        <f ca="1">Y49*(R49-T49)*(AllProps_CAM/HHProps_CAM)</f>
        <v>-2.2965796794277389</v>
      </c>
      <c r="AA49" s="89">
        <f t="shared" ca="1" si="16"/>
        <v>9.4166450083520168</v>
      </c>
      <c r="AB49" s="429">
        <f ca="1">AA49*($R49-$T49)*(AllProps_CAM/HHProps_CAM)</f>
        <v>-2.5030180063154965</v>
      </c>
      <c r="AC49" s="90">
        <f t="shared" ca="1" si="17"/>
        <v>0.23063417811470679</v>
      </c>
      <c r="AD49" s="7" t="str">
        <f t="shared" si="21"/>
        <v>Property affected</v>
      </c>
      <c r="AE49" s="269">
        <f ca="1">(AC49*HHProps_CAM)/((R49-T49)*AllProps_CAM)</f>
        <v>-0.86767261626542047</v>
      </c>
    </row>
    <row r="50" spans="1:31" x14ac:dyDescent="0.35">
      <c r="A50" s="750" t="s">
        <v>589</v>
      </c>
      <c r="B50" s="7" t="s">
        <v>639</v>
      </c>
      <c r="C50" s="7" t="s">
        <v>136</v>
      </c>
      <c r="D50" s="37">
        <f t="shared" ca="1" si="4"/>
        <v>0</v>
      </c>
      <c r="E50" s="36"/>
      <c r="F50" s="37">
        <f t="shared" ca="1" si="5"/>
        <v>4000</v>
      </c>
      <c r="G50" s="89">
        <f t="shared" ca="1" si="6"/>
        <v>5.2894480160712298</v>
      </c>
      <c r="H50" s="89">
        <f t="shared" ca="1" si="7"/>
        <v>0.60625599239311434</v>
      </c>
      <c r="I50" s="89">
        <f t="shared" ca="1" si="22"/>
        <v>5.8957040084643442</v>
      </c>
      <c r="J50" s="752">
        <f t="shared" si="18"/>
        <v>3.9392218589782715E-2</v>
      </c>
      <c r="K50" s="429">
        <f t="shared" ca="1" si="8"/>
        <v>6.1861063528998557</v>
      </c>
      <c r="L50" s="429">
        <f ca="1">-K50*(D50-F50)/HHProps_SSW</f>
        <v>4.5870834613864868E-2</v>
      </c>
      <c r="M50" s="89">
        <f t="shared" ca="1" si="9"/>
        <v>795.09022080349519</v>
      </c>
      <c r="N50" s="429">
        <f ca="1">-M50*(D50-F50)/HHProps_SSW</f>
        <v>5.8957040084643442</v>
      </c>
      <c r="O50" s="90">
        <f t="shared" ca="1" si="10"/>
        <v>0.80317898775407737</v>
      </c>
      <c r="P50" s="23" t="s">
        <v>127</v>
      </c>
      <c r="Q50" s="269">
        <f ca="1">-(O50*HHProps_SSW)/((D50-F50))</f>
        <v>108.31611590427406</v>
      </c>
      <c r="R50" s="37">
        <f t="shared" ca="1" si="11"/>
        <v>0</v>
      </c>
      <c r="S50" s="36"/>
      <c r="T50" s="37">
        <f t="shared" ca="1" si="12"/>
        <v>1350</v>
      </c>
      <c r="U50" s="89">
        <f t="shared" ca="1" si="13"/>
        <v>2.6407734226292283</v>
      </c>
      <c r="V50" s="89">
        <f t="shared" ca="1" si="14"/>
        <v>0.50756688037153719</v>
      </c>
      <c r="W50" s="89">
        <f t="shared" ca="1" si="19"/>
        <v>3.1483403030007655</v>
      </c>
      <c r="X50" s="752">
        <f t="shared" ref="X50:X51" si="23">VLOOKUP($A50,$Z$5:$AA$27,2,0)/100</f>
        <v>3.181711435317993E-2</v>
      </c>
      <c r="Y50" s="429">
        <f t="shared" ca="1" si="15"/>
        <v>5.6902010050251253</v>
      </c>
      <c r="Z50" s="429">
        <f ca="1">-Y50*(R50-T50)/HHProps_CAM</f>
        <v>5.653266331658291E-2</v>
      </c>
      <c r="AA50" s="89">
        <f t="shared" ca="1" si="16"/>
        <v>316.89094596470369</v>
      </c>
      <c r="AB50" s="429">
        <f ca="1">-AA50*(R50-T50)/HHProps_CAM</f>
        <v>3.1483403030007655</v>
      </c>
      <c r="AC50" s="90">
        <f t="shared" ca="1" si="17"/>
        <v>0.72998409415255439</v>
      </c>
      <c r="AD50" s="7" t="str">
        <f t="shared" si="21"/>
        <v>Property affected</v>
      </c>
      <c r="AE50" s="269">
        <f ca="1">-(AC50*HHProps_CAM)/((R50-T50))</f>
        <v>73.475332356768448</v>
      </c>
    </row>
    <row r="51" spans="1:31" x14ac:dyDescent="0.35">
      <c r="A51" s="750" t="s">
        <v>601</v>
      </c>
      <c r="B51" s="7" t="s">
        <v>139</v>
      </c>
      <c r="C51" s="7" t="s">
        <v>140</v>
      </c>
      <c r="D51" s="423">
        <f t="shared" ca="1" si="4"/>
        <v>0.1</v>
      </c>
      <c r="E51" s="36"/>
      <c r="F51" s="423">
        <f t="shared" ca="1" si="5"/>
        <v>6.6666666666666666E-2</v>
      </c>
      <c r="G51" s="89">
        <f t="shared" ca="1" si="6"/>
        <v>0.78010561855806027</v>
      </c>
      <c r="H51" s="89">
        <f t="shared" ca="1" si="7"/>
        <v>0.37050953266002729</v>
      </c>
      <c r="I51" s="89">
        <f t="shared" ca="1" si="22"/>
        <v>1.1506151512180876</v>
      </c>
      <c r="J51" s="752">
        <f t="shared" si="18"/>
        <v>3.8063201904296878E-2</v>
      </c>
      <c r="K51" s="429">
        <f t="shared" ca="1" si="8"/>
        <v>41.08733075345431</v>
      </c>
      <c r="L51" s="429">
        <f ca="1">K51*(D51-F51)*(AllProps_SSW/HHProps_SSW)</f>
        <v>1.4457142857142862</v>
      </c>
      <c r="M51" s="89">
        <f t="shared" ca="1" si="9"/>
        <v>32.700586661683175</v>
      </c>
      <c r="N51" s="429">
        <f ca="1">M51*($D51-$F51)*(AllProps_SSW/HHProps_SSW)</f>
        <v>1.1506151512180876</v>
      </c>
      <c r="O51" s="90">
        <f t="shared" ca="1" si="10"/>
        <v>0.77608129398687087</v>
      </c>
      <c r="P51" s="23" t="s">
        <v>127</v>
      </c>
      <c r="Q51" s="269">
        <f ca="1">(O51*HHProps_SSW)/((D51-F51)*AllProps_SSW)</f>
        <v>22.056300565538688</v>
      </c>
      <c r="R51" s="36">
        <f t="shared" ca="1" si="11"/>
        <v>9.0909090909090912E-2</v>
      </c>
      <c r="S51" s="36"/>
      <c r="T51" s="36">
        <f t="shared" ca="1" si="12"/>
        <v>6.6666666666666666E-2</v>
      </c>
      <c r="U51" s="89">
        <f t="shared" ca="1" si="13"/>
        <v>2.1416418362159599</v>
      </c>
      <c r="V51" s="89">
        <f t="shared" ca="1" si="14"/>
        <v>0.84070533256091329</v>
      </c>
      <c r="W51" s="89">
        <f t="shared" ca="1" si="19"/>
        <v>2.9823471687768732</v>
      </c>
      <c r="X51" s="752">
        <f t="shared" si="23"/>
        <v>2.8380608558654784E-2</v>
      </c>
      <c r="Y51" s="429">
        <f t="shared" ca="1" si="15"/>
        <v>18.582387891224172</v>
      </c>
      <c r="Z51" s="429">
        <f ca="1">Y51*(R51-T51)*(AllProps_CAM/HHProps_CAM)</f>
        <v>0.47896671634376553</v>
      </c>
      <c r="AA51" s="89">
        <f t="shared" ca="1" si="16"/>
        <v>115.70560129846363</v>
      </c>
      <c r="AB51" s="429">
        <f ca="1">AA51*($R51-$T51)*(AllProps_CAM/HHProps_CAM)</f>
        <v>2.9823471687768732</v>
      </c>
      <c r="AC51" s="90">
        <f t="shared" ca="1" si="17"/>
        <v>0.65113990540494338</v>
      </c>
      <c r="AD51" s="7" t="str">
        <f t="shared" si="21"/>
        <v>Property affected</v>
      </c>
      <c r="AE51" s="269">
        <f ca="1">(AC51*HHProps_CAM)/((R51-T51)*AllProps_CAM)</f>
        <v>25.262160982821641</v>
      </c>
    </row>
    <row r="52" spans="1:31" x14ac:dyDescent="0.35">
      <c r="A52" s="750"/>
      <c r="B52" s="7"/>
      <c r="C52" s="7"/>
      <c r="D52" s="37"/>
      <c r="E52" s="147"/>
      <c r="F52" s="37"/>
      <c r="G52" s="89"/>
      <c r="H52" s="89"/>
      <c r="I52" s="89"/>
      <c r="J52" s="752"/>
      <c r="K52" s="429"/>
      <c r="L52" s="429"/>
      <c r="M52" s="89"/>
      <c r="N52" s="429"/>
      <c r="O52" s="90"/>
      <c r="P52" s="23"/>
      <c r="Q52" s="269"/>
      <c r="R52" s="37"/>
      <c r="S52" s="147"/>
      <c r="T52" s="37"/>
      <c r="U52" s="89"/>
      <c r="V52" s="89"/>
      <c r="W52" s="89"/>
      <c r="X52" s="752"/>
      <c r="Y52" s="429"/>
      <c r="Z52" s="429"/>
      <c r="AA52" s="89"/>
      <c r="AB52" s="429"/>
      <c r="AC52" s="90"/>
      <c r="AD52" s="7"/>
      <c r="AE52" s="269"/>
    </row>
    <row r="53" spans="1:31" ht="15" thickBot="1" x14ac:dyDescent="0.4">
      <c r="A53" s="78" t="s">
        <v>635</v>
      </c>
      <c r="B53" s="51" t="s">
        <v>133</v>
      </c>
      <c r="C53" s="7" t="s">
        <v>134</v>
      </c>
      <c r="D53" s="423">
        <f ca="1">INDEX(INDIRECT("SSW_WTPCore2_"&amp;$C53&amp;"_Levels"),1,MATCH(D$43,WTPCore2_AttLevels,0))</f>
        <v>0.33333333333333331</v>
      </c>
      <c r="E53" s="36"/>
      <c r="F53" s="423">
        <f t="shared" ca="1" si="5"/>
        <v>0.2</v>
      </c>
      <c r="G53" s="89">
        <f ca="1">INDEX(INDIRECT("SSW_WTPCore2_"&amp;$C53&amp;"_LevelValues"),1,MATCH("S1 MEAN",WTPCore2_LevelValues,0))</f>
        <v>2.1317184182528393</v>
      </c>
      <c r="H53" s="89">
        <f ca="1">INDEX(INDIRECT("SSW_WTPCore2_"&amp;$C53&amp;"_LevelValues"),1,MATCH("S2 MEAN",WTPCore2_LevelValues,0))</f>
        <v>1.3756516158641041</v>
      </c>
      <c r="I53" s="89">
        <f t="shared" ca="1" si="22"/>
        <v>3.5073700341169434</v>
      </c>
      <c r="J53" s="753">
        <f>J$44*VLOOKUP($A53,$A$5:$W$27,COLUMN(I$4),FALSE)/I$5</f>
        <v>1.9753439363610476E-2</v>
      </c>
      <c r="K53" s="429">
        <f t="shared" ca="1" si="8"/>
        <v>25.634921578785622</v>
      </c>
      <c r="L53" s="429">
        <f ca="1">K53*(D53-F53)*(AllProps_SSW/HHProps_SSW)</f>
        <v>3.6079999999999997</v>
      </c>
      <c r="M53" s="89">
        <f ca="1">INDEX(INDIRECT("SSW_WTPCore2_"&amp;$C53&amp;"_UnitValues"),1,MATCH("MEAN",LMH,0))</f>
        <v>24.919943395889828</v>
      </c>
      <c r="N53" s="429">
        <f ca="1">M53*($D53-$F53)*(AllProps_SSW/HHProps_SSW)</f>
        <v>3.5073700341169429</v>
      </c>
      <c r="O53" s="90">
        <f ca="1">(J53*M$56)/J$54</f>
        <v>0.40275841271964574</v>
      </c>
      <c r="P53" s="23" t="s">
        <v>127</v>
      </c>
      <c r="Q53" s="270">
        <f ca="1">(O53*HHProps_SSW)/((D53-F53)*AllProps_SSW)</f>
        <v>2.8616076289535179</v>
      </c>
      <c r="R53" s="36">
        <f ca="1">INDEX(INDIRECT("CAM_WTPCore2_"&amp;$C53&amp;"_Levels"),1,MATCH(R$43,WTPCore2_AttLevels,0))</f>
        <v>0.33333333333333331</v>
      </c>
      <c r="S53" s="36"/>
      <c r="T53" s="36">
        <f ca="1">INDEX(INDIRECT("CAM_WTPCore2_"&amp;$C53&amp;"_Levels"),1,MATCH(T$43,WTPCore2_AttLevels,0))</f>
        <v>0.2</v>
      </c>
      <c r="U53" s="89">
        <f ca="1">INDEX(INDIRECT("CAM_WTPCore2_"&amp;$C53&amp;"_LevelValues"),1,MATCH("S1 MEAN",WTPCore2_LevelValues,0))</f>
        <v>0.4252755260698568</v>
      </c>
      <c r="V53" s="89">
        <f ca="1">INDEX(INDIRECT("CAM_WTPCore2_"&amp;$C53&amp;"_LevelValues"),1,MATCH("S2 MEAN",WTPCore2_LevelValues,0))</f>
        <v>0.21698708612330625</v>
      </c>
      <c r="W53" s="89">
        <f t="shared" ca="1" si="19"/>
        <v>0.64226261219316305</v>
      </c>
      <c r="X53" s="753">
        <f>X$44*VLOOKUP($A53,$A$5:$W$27,COLUMN(W$4),FALSE)/W$5</f>
        <v>1.7430420653632667E-2</v>
      </c>
      <c r="Y53" s="429">
        <f t="shared" ca="1" si="15"/>
        <v>25.25320611321068</v>
      </c>
      <c r="Z53" s="429">
        <f ca="1">Y53*(R53-T53)*(AllProps_CAM/HHProps_CAM)</f>
        <v>3.5799999999999992</v>
      </c>
      <c r="AA53" s="89">
        <f ca="1">INDEX(INDIRECT("CAM_WTPCore2_"&amp;$C53&amp;"_UnitValues"),1,MATCH("MEAN",LMH,0))</f>
        <v>4.5305000347829747</v>
      </c>
      <c r="AB53" s="429">
        <f ca="1">AA53*($R53-$T53)*(AllProps_CAM/HHProps_CAM)</f>
        <v>0.64226261219316305</v>
      </c>
      <c r="AC53" s="90">
        <f ca="1">(X53*AA$56)/X$54</f>
        <v>0.39990835404808911</v>
      </c>
      <c r="AD53" s="7" t="str">
        <f t="shared" si="21"/>
        <v>Property affected</v>
      </c>
      <c r="AE53" s="270">
        <f ca="1">(AC53*HHProps_CAM)/((R53-T53)*AllProps_CAM)</f>
        <v>2.8209408075897282</v>
      </c>
    </row>
    <row r="54" spans="1:31" x14ac:dyDescent="0.35">
      <c r="A54" s="134"/>
      <c r="B54" s="134"/>
      <c r="C54" s="134"/>
      <c r="D54" s="92"/>
      <c r="E54" s="92"/>
      <c r="F54" s="92"/>
      <c r="G54" s="4"/>
      <c r="H54" s="4"/>
      <c r="I54" s="92">
        <f ca="1">SUM(I44:I53)</f>
        <v>19.716682747064137</v>
      </c>
      <c r="J54" s="93">
        <f>SUM(J44:J53)</f>
        <v>0.57295701423633161</v>
      </c>
      <c r="K54" s="93"/>
      <c r="L54" s="92">
        <f ca="1">SUM(L44:L53)</f>
        <v>12.9059279947402</v>
      </c>
      <c r="M54" s="599"/>
      <c r="N54" s="92">
        <f ca="1">SUM(N44:N53)</f>
        <v>10.458434368962539</v>
      </c>
      <c r="O54" s="92">
        <f ca="1">SUM(O44:O53)</f>
        <v>11.682181181851366</v>
      </c>
      <c r="P54" s="33"/>
      <c r="Q54" s="33"/>
      <c r="R54" s="32"/>
      <c r="S54" s="33"/>
      <c r="T54" s="33"/>
      <c r="U54" s="33"/>
      <c r="V54" s="34"/>
      <c r="W54" s="92">
        <f ca="1">SUM(W44:W53)</f>
        <v>15.470599347609623</v>
      </c>
      <c r="X54" s="93">
        <f>SUM(X44:X53)</f>
        <v>0.52491077544979603</v>
      </c>
      <c r="Y54" s="93"/>
      <c r="Z54" s="92">
        <f ca="1">SUM(Z44:Z53)</f>
        <v>13.472769039968505</v>
      </c>
      <c r="AA54" s="599"/>
      <c r="AB54" s="92">
        <f ca="1">SUM(AB44:AB53)</f>
        <v>10.613420089206121</v>
      </c>
      <c r="AC54" s="92">
        <f ca="1">SUM(AC44:AC53)</f>
        <v>12.043094564587312</v>
      </c>
      <c r="AD54" s="34"/>
      <c r="AE54" s="33"/>
    </row>
    <row r="55" spans="1:31" x14ac:dyDescent="0.35">
      <c r="A55" s="134"/>
      <c r="B55" s="134"/>
      <c r="C55" s="134"/>
      <c r="D55" s="92"/>
      <c r="E55" s="92"/>
      <c r="F55" s="92"/>
      <c r="G55" s="4"/>
      <c r="H55" s="4"/>
      <c r="I55" s="92"/>
      <c r="J55" s="93"/>
      <c r="K55" s="93"/>
      <c r="L55" s="599"/>
      <c r="M55" s="599"/>
      <c r="N55" s="599"/>
      <c r="O55" s="92"/>
      <c r="P55" s="33"/>
      <c r="Q55" s="33"/>
      <c r="R55" s="32"/>
      <c r="S55" s="33"/>
      <c r="T55" s="33"/>
      <c r="U55" s="33"/>
      <c r="V55" s="34"/>
      <c r="W55" s="92"/>
      <c r="X55" s="93"/>
      <c r="Y55" s="93"/>
      <c r="Z55" s="599"/>
      <c r="AA55" s="599"/>
      <c r="AB55" s="599"/>
      <c r="AC55" s="92"/>
      <c r="AD55" s="34"/>
      <c r="AE55" s="33"/>
    </row>
    <row r="56" spans="1:31" x14ac:dyDescent="0.35">
      <c r="A56" s="23" t="s">
        <v>640</v>
      </c>
      <c r="L56" s="3" t="s">
        <v>641</v>
      </c>
      <c r="M56" s="194">
        <f ca="1">AVERAGE(L54,N54)</f>
        <v>11.682181181851369</v>
      </c>
      <c r="Z56" s="3" t="s">
        <v>641</v>
      </c>
      <c r="AA56" s="194">
        <f ca="1">AVERAGE(Z54,AB54)</f>
        <v>12.043094564587314</v>
      </c>
    </row>
    <row r="57" spans="1:31" x14ac:dyDescent="0.35">
      <c r="A57" s="482" t="s">
        <v>642</v>
      </c>
    </row>
    <row r="58" spans="1:31" x14ac:dyDescent="0.35"/>
    <row r="59" spans="1:31" x14ac:dyDescent="0.35"/>
    <row r="60" spans="1:31" x14ac:dyDescent="0.35"/>
    <row r="61" spans="1:31" x14ac:dyDescent="0.35"/>
    <row r="62" spans="1:31" x14ac:dyDescent="0.35"/>
  </sheetData>
  <mergeCells count="5">
    <mergeCell ref="A4:C4"/>
    <mergeCell ref="J42:J43"/>
    <mergeCell ref="O42:O43"/>
    <mergeCell ref="X42:X43"/>
    <mergeCell ref="AC42:AC43"/>
  </mergeCells>
  <pageMargins left="0.7" right="0.7"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B3D4-2D4D-47D2-87AC-E52C1BF6FC91}">
  <sheetPr codeName="Sheet17">
    <tabColor rgb="FFC00000"/>
  </sheetPr>
  <dimension ref="A1:AN62"/>
  <sheetViews>
    <sheetView topLeftCell="O1" zoomScale="70" zoomScaleNormal="70" workbookViewId="0">
      <selection activeCell="S1" sqref="S1"/>
    </sheetView>
  </sheetViews>
  <sheetFormatPr defaultColWidth="0" defaultRowHeight="14.5" zeroHeight="1" x14ac:dyDescent="0.35"/>
  <cols>
    <col min="1" max="1" width="36.81640625" customWidth="1"/>
    <col min="2" max="2" width="23.26953125" customWidth="1"/>
    <col min="3" max="10" width="16.26953125" customWidth="1"/>
    <col min="11" max="13" width="20.453125" customWidth="1"/>
    <col min="14" max="25" width="16.26953125" customWidth="1"/>
    <col min="26" max="28" width="21.54296875" customWidth="1"/>
    <col min="29" max="30" width="16.26953125" customWidth="1"/>
    <col min="31" max="37" width="11.81640625" customWidth="1"/>
    <col min="38" max="39" width="9.1796875" customWidth="1"/>
    <col min="40" max="40" width="0" hidden="1" customWidth="1"/>
    <col min="41" max="16384" width="9.1796875" hidden="1"/>
  </cols>
  <sheetData>
    <row r="1" spans="1:29" ht="28.5" x14ac:dyDescent="0.65">
      <c r="A1" s="76" t="s">
        <v>214</v>
      </c>
      <c r="B1" s="76"/>
      <c r="C1" s="76"/>
      <c r="D1" s="76"/>
      <c r="E1" s="76"/>
      <c r="F1" s="76"/>
      <c r="G1" s="76"/>
      <c r="H1" s="76"/>
      <c r="I1" s="76"/>
      <c r="J1" s="76"/>
      <c r="K1" s="76"/>
      <c r="L1" s="76"/>
      <c r="M1" s="76"/>
      <c r="N1" s="76"/>
      <c r="O1" s="76"/>
      <c r="P1" s="76"/>
      <c r="Q1" s="76"/>
      <c r="R1" s="76"/>
      <c r="S1" s="835" t="s">
        <v>643</v>
      </c>
      <c r="T1" s="76"/>
      <c r="U1" s="76"/>
      <c r="V1" s="76"/>
      <c r="W1" s="76"/>
      <c r="X1" s="76"/>
      <c r="Y1" s="76"/>
      <c r="Z1" s="76"/>
      <c r="AA1" s="76"/>
      <c r="AB1" s="76"/>
      <c r="AC1" s="76"/>
    </row>
    <row r="2" spans="1:29" ht="21" x14ac:dyDescent="0.35">
      <c r="A2" s="50"/>
      <c r="B2" s="50"/>
      <c r="C2" s="50"/>
      <c r="D2" s="126" t="s">
        <v>644</v>
      </c>
      <c r="E2" s="126"/>
      <c r="F2" s="126"/>
      <c r="G2" s="126"/>
      <c r="H2" s="126"/>
      <c r="I2" s="126"/>
      <c r="J2" s="126"/>
      <c r="K2" s="126"/>
      <c r="L2" s="126"/>
      <c r="M2" s="126"/>
      <c r="N2" s="126"/>
      <c r="O2" s="126"/>
      <c r="P2" s="126"/>
      <c r="Q2" s="126"/>
      <c r="R2" s="126"/>
      <c r="S2" s="233" t="s">
        <v>295</v>
      </c>
      <c r="T2" s="233"/>
      <c r="U2" s="233"/>
      <c r="V2" s="233"/>
      <c r="W2" s="233"/>
      <c r="X2" s="233"/>
      <c r="Y2" s="233"/>
      <c r="Z2" s="233"/>
      <c r="AA2" s="233"/>
      <c r="AB2" s="233"/>
      <c r="AC2" s="233"/>
    </row>
    <row r="3" spans="1:29" ht="21" x14ac:dyDescent="0.5">
      <c r="A3" s="85" t="s">
        <v>318</v>
      </c>
      <c r="B3" s="256"/>
      <c r="C3" s="256"/>
      <c r="D3" s="737" t="s">
        <v>645</v>
      </c>
      <c r="E3" s="177"/>
      <c r="F3" s="177"/>
      <c r="G3" s="50"/>
      <c r="H3" s="50"/>
      <c r="I3" s="50"/>
      <c r="J3" s="50"/>
      <c r="K3" s="50"/>
      <c r="L3" s="50"/>
      <c r="M3" s="50"/>
      <c r="N3" s="50"/>
      <c r="O3" s="50"/>
      <c r="P3" s="50"/>
      <c r="Q3" s="50"/>
      <c r="R3" s="50"/>
      <c r="S3" s="177" t="s">
        <v>646</v>
      </c>
      <c r="T3" s="177"/>
      <c r="U3" s="177"/>
      <c r="V3" s="50"/>
      <c r="W3" s="50"/>
      <c r="X3" s="50"/>
      <c r="Y3" s="50"/>
      <c r="Z3" s="177"/>
      <c r="AA3" s="177"/>
      <c r="AB3" s="50"/>
      <c r="AC3" s="50"/>
    </row>
    <row r="4" spans="1:29" ht="21" x14ac:dyDescent="0.5">
      <c r="A4" s="85"/>
      <c r="B4" s="256"/>
      <c r="C4" s="256"/>
      <c r="D4" s="737" t="s">
        <v>647</v>
      </c>
      <c r="E4" s="737" t="s">
        <v>648</v>
      </c>
      <c r="F4" s="737" t="s">
        <v>649</v>
      </c>
      <c r="G4" s="50"/>
      <c r="H4" s="98" t="s">
        <v>650</v>
      </c>
      <c r="I4" s="99"/>
      <c r="J4" s="99"/>
      <c r="K4" s="736" t="s">
        <v>651</v>
      </c>
      <c r="L4" s="736"/>
      <c r="M4" s="736"/>
      <c r="N4" s="50"/>
      <c r="O4" s="50"/>
      <c r="P4" s="50"/>
      <c r="Q4" s="50"/>
      <c r="R4" s="50"/>
      <c r="S4" s="177" t="s">
        <v>652</v>
      </c>
      <c r="T4" s="177" t="s">
        <v>653</v>
      </c>
      <c r="U4" s="177" t="s">
        <v>654</v>
      </c>
      <c r="V4" s="50"/>
      <c r="W4" s="98" t="s">
        <v>650</v>
      </c>
      <c r="X4" s="99"/>
      <c r="Y4" s="99"/>
      <c r="Z4" s="177"/>
      <c r="AA4" s="177"/>
      <c r="AB4" s="50"/>
      <c r="AC4" s="50"/>
    </row>
    <row r="5" spans="1:29" ht="93.75" customHeight="1" x14ac:dyDescent="0.35">
      <c r="A5" s="51" t="s">
        <v>655</v>
      </c>
      <c r="B5" s="51"/>
      <c r="C5" s="51" t="s">
        <v>123</v>
      </c>
      <c r="D5" s="834" t="s">
        <v>656</v>
      </c>
      <c r="E5" s="834" t="s">
        <v>657</v>
      </c>
      <c r="F5" s="834" t="s">
        <v>658</v>
      </c>
      <c r="G5" s="100" t="s">
        <v>659</v>
      </c>
      <c r="H5" s="745" t="s">
        <v>350</v>
      </c>
      <c r="I5" s="745" t="s">
        <v>351</v>
      </c>
      <c r="J5" s="745" t="s">
        <v>352</v>
      </c>
      <c r="K5" s="100" t="s">
        <v>660</v>
      </c>
      <c r="L5" s="100" t="s">
        <v>661</v>
      </c>
      <c r="M5" s="100" t="s">
        <v>662</v>
      </c>
      <c r="N5" s="7"/>
      <c r="O5" s="7"/>
      <c r="P5" s="7"/>
      <c r="Q5" s="7"/>
      <c r="R5" s="7"/>
      <c r="S5" s="100" t="s">
        <v>663</v>
      </c>
      <c r="T5" s="100" t="s">
        <v>664</v>
      </c>
      <c r="U5" s="100" t="s">
        <v>665</v>
      </c>
      <c r="V5" s="100" t="s">
        <v>666</v>
      </c>
      <c r="W5" s="100" t="s">
        <v>350</v>
      </c>
      <c r="X5" s="100" t="s">
        <v>351</v>
      </c>
      <c r="Y5" s="100" t="s">
        <v>352</v>
      </c>
      <c r="Z5" s="100" t="s">
        <v>660</v>
      </c>
      <c r="AA5" s="100" t="s">
        <v>667</v>
      </c>
      <c r="AB5" s="100" t="s">
        <v>668</v>
      </c>
    </row>
    <row r="6" spans="1:29" x14ac:dyDescent="0.35">
      <c r="A6" s="7" t="s">
        <v>131</v>
      </c>
      <c r="B6" s="5" t="s">
        <v>275</v>
      </c>
      <c r="C6" s="7" t="s">
        <v>132</v>
      </c>
      <c r="D6" s="831">
        <v>1428</v>
      </c>
      <c r="E6" s="831">
        <v>1537</v>
      </c>
      <c r="F6" s="831">
        <v>2334</v>
      </c>
      <c r="G6" s="260">
        <f t="shared" ref="G6:G15" si="0">D6+E6+F6</f>
        <v>5299</v>
      </c>
      <c r="H6" s="261">
        <f ca="1">INDEX(INDIRECT("SSW_WTPCore_DCE_"&amp;$C6&amp;"_Levels"),MATCH("COMBINED-HH",WTPCore_Group,0),MATCH(H$5,WTPCore_AttLevels,0))</f>
        <v>1.5217391304347827E-2</v>
      </c>
      <c r="I6" s="261">
        <f t="shared" ref="H6:J17" ca="1" si="1">INDEX(INDIRECT("SSW_WTPCore_DCE_"&amp;$C6&amp;"_Levels"),MATCH("COMBINED-HH",WTPCore_Group,0),MATCH(I$5,WTPCore_AttLevels,0))</f>
        <v>8.5144927536231884E-3</v>
      </c>
      <c r="J6" s="261">
        <f t="shared" ca="1" si="1"/>
        <v>0</v>
      </c>
      <c r="K6" s="260">
        <f ca="1">H6*HHProps_SSW</f>
        <v>8208.8239130434795</v>
      </c>
      <c r="L6" s="260">
        <f t="shared" ref="L6:L11" ca="1" si="2">K6*3</f>
        <v>24626.471739130437</v>
      </c>
      <c r="M6" s="169">
        <f ca="1">1000*G6/L6</f>
        <v>215.17495710033484</v>
      </c>
      <c r="N6" s="7"/>
      <c r="O6" s="7"/>
      <c r="P6" s="7"/>
      <c r="Q6" s="7"/>
      <c r="R6" s="7"/>
      <c r="S6" s="7">
        <v>94</v>
      </c>
      <c r="T6" s="26">
        <v>86</v>
      </c>
      <c r="U6" s="26"/>
      <c r="V6" s="260">
        <f t="shared" ref="V6:V15" si="3">S6+T6+U6</f>
        <v>180</v>
      </c>
      <c r="W6" s="6">
        <f t="shared" ref="W6:Y15" ca="1" si="4">INDEX(INDIRECT("CAM_WTPCore_"&amp;$C6&amp;"_Levels"),MATCH("COMBINED-HH",WTPCore_Group,0),MATCH(W$5,WTPCore_AttLevels,0))</f>
        <v>2.1374045801526718E-2</v>
      </c>
      <c r="X6" s="6">
        <f t="shared" ca="1" si="4"/>
        <v>1.0687022900763359E-2</v>
      </c>
      <c r="Y6" s="6">
        <f t="shared" ca="1" si="4"/>
        <v>0</v>
      </c>
      <c r="Z6" s="260">
        <f t="shared" ref="Z6:Z11" ca="1" si="5">W6*HHProps_CAM</f>
        <v>2904.3480916030535</v>
      </c>
      <c r="AA6" s="260">
        <f t="shared" ref="AA6:AA11" ca="1" si="6">Z6*2</f>
        <v>5808.696183206107</v>
      </c>
      <c r="AB6" s="169">
        <f t="shared" ref="AB6:AB11" ca="1" si="7">1000*V6/AA6</f>
        <v>30.988021119164316</v>
      </c>
    </row>
    <row r="7" spans="1:29" x14ac:dyDescent="0.35">
      <c r="A7" s="7" t="s">
        <v>129</v>
      </c>
      <c r="B7" s="738" t="s">
        <v>275</v>
      </c>
      <c r="C7" s="7" t="s">
        <v>130</v>
      </c>
      <c r="D7" s="831">
        <v>1428</v>
      </c>
      <c r="E7" s="831">
        <v>1537</v>
      </c>
      <c r="F7" s="831">
        <v>2334</v>
      </c>
      <c r="G7" s="260">
        <f t="shared" si="0"/>
        <v>5299</v>
      </c>
      <c r="H7" s="261">
        <f t="shared" ca="1" si="1"/>
        <v>6.2681159420289859E-2</v>
      </c>
      <c r="I7" s="261">
        <f t="shared" ca="1" si="1"/>
        <v>3.1340579710144929E-2</v>
      </c>
      <c r="J7" s="261">
        <f t="shared" ca="1" si="1"/>
        <v>0</v>
      </c>
      <c r="K7" s="260">
        <f t="shared" ref="K7:K11" ca="1" si="8">H7*HHProps_SSW</f>
        <v>33812.536594202902</v>
      </c>
      <c r="L7" s="260">
        <f t="shared" ca="1" si="2"/>
        <v>101437.60978260871</v>
      </c>
      <c r="M7" s="169">
        <f t="shared" ref="M7:M11" ca="1" si="9">1000*G7/L7</f>
        <v>52.239006926092848</v>
      </c>
      <c r="N7" s="7"/>
      <c r="O7" s="7"/>
      <c r="P7" s="7"/>
      <c r="Q7" s="7"/>
      <c r="R7" s="7"/>
      <c r="S7" s="7">
        <v>197</v>
      </c>
      <c r="T7" s="26">
        <v>158</v>
      </c>
      <c r="U7" s="26"/>
      <c r="V7" s="260">
        <f t="shared" si="3"/>
        <v>355</v>
      </c>
      <c r="W7" s="6">
        <f t="shared" ca="1" si="4"/>
        <v>2.1374045801526718E-2</v>
      </c>
      <c r="X7" s="6">
        <f t="shared" ca="1" si="4"/>
        <v>1.0687022900763359E-2</v>
      </c>
      <c r="Y7" s="6">
        <f t="shared" ca="1" si="4"/>
        <v>0</v>
      </c>
      <c r="Z7" s="260">
        <f t="shared" ca="1" si="5"/>
        <v>2904.3480916030535</v>
      </c>
      <c r="AA7" s="260">
        <f t="shared" ca="1" si="6"/>
        <v>5808.696183206107</v>
      </c>
      <c r="AB7" s="169">
        <f t="shared" ca="1" si="7"/>
        <v>61.115263873907402</v>
      </c>
    </row>
    <row r="8" spans="1:29" x14ac:dyDescent="0.35">
      <c r="A8" s="7" t="s">
        <v>133</v>
      </c>
      <c r="B8" s="5" t="s">
        <v>133</v>
      </c>
      <c r="C8" s="7" t="s">
        <v>134</v>
      </c>
      <c r="D8" s="831">
        <v>764</v>
      </c>
      <c r="E8" s="831">
        <v>931</v>
      </c>
      <c r="F8" s="831">
        <v>851</v>
      </c>
      <c r="G8" s="260">
        <f t="shared" si="0"/>
        <v>2546</v>
      </c>
      <c r="H8" s="261">
        <f t="shared" ca="1" si="1"/>
        <v>0.33333333333333331</v>
      </c>
      <c r="I8" s="261">
        <f t="shared" ca="1" si="1"/>
        <v>0</v>
      </c>
      <c r="J8" s="261">
        <f t="shared" ca="1" si="1"/>
        <v>0</v>
      </c>
      <c r="K8" s="260">
        <f t="shared" ca="1" si="8"/>
        <v>179812.33333333331</v>
      </c>
      <c r="L8" s="260">
        <f t="shared" ca="1" si="2"/>
        <v>539437</v>
      </c>
      <c r="M8" s="169">
        <f t="shared" ca="1" si="9"/>
        <v>4.7197355761655206</v>
      </c>
      <c r="N8" s="7"/>
      <c r="O8" s="7"/>
      <c r="P8" s="7"/>
      <c r="Q8" s="7"/>
      <c r="R8" s="7"/>
      <c r="S8" s="7">
        <v>94</v>
      </c>
      <c r="T8" s="26">
        <v>102</v>
      </c>
      <c r="U8" s="26"/>
      <c r="V8" s="260">
        <f t="shared" si="3"/>
        <v>196</v>
      </c>
      <c r="W8" s="6">
        <f t="shared" ca="1" si="4"/>
        <v>0.33333333333333331</v>
      </c>
      <c r="X8" s="6">
        <f t="shared" ca="1" si="4"/>
        <v>0</v>
      </c>
      <c r="Y8" s="6">
        <f t="shared" ca="1" si="4"/>
        <v>0</v>
      </c>
      <c r="Z8" s="260">
        <f t="shared" ca="1" si="5"/>
        <v>45294</v>
      </c>
      <c r="AA8" s="260">
        <f t="shared" ca="1" si="6"/>
        <v>90588</v>
      </c>
      <c r="AB8" s="169">
        <f t="shared" ca="1" si="7"/>
        <v>2.1636419834856713</v>
      </c>
    </row>
    <row r="9" spans="1:29" x14ac:dyDescent="0.35">
      <c r="A9" s="7" t="s">
        <v>135</v>
      </c>
      <c r="B9" s="5" t="s">
        <v>269</v>
      </c>
      <c r="C9" s="7" t="s">
        <v>136</v>
      </c>
      <c r="D9" s="831">
        <v>70</v>
      </c>
      <c r="E9" s="831">
        <v>137</v>
      </c>
      <c r="F9" s="831">
        <v>158</v>
      </c>
      <c r="G9" s="260">
        <f t="shared" si="0"/>
        <v>365</v>
      </c>
      <c r="H9" s="261">
        <f t="shared" ca="1" si="1"/>
        <v>1</v>
      </c>
      <c r="I9" s="261">
        <f t="shared" ca="1" si="1"/>
        <v>0</v>
      </c>
      <c r="J9" s="261">
        <f t="shared" ca="1" si="1"/>
        <v>0</v>
      </c>
      <c r="K9" s="260">
        <f t="shared" ca="1" si="8"/>
        <v>539437</v>
      </c>
      <c r="L9" s="260">
        <f t="shared" ca="1" si="2"/>
        <v>1618311</v>
      </c>
      <c r="M9" s="169">
        <f t="shared" ca="1" si="9"/>
        <v>0.22554379226242668</v>
      </c>
      <c r="N9" s="7"/>
      <c r="O9" s="7"/>
      <c r="P9" s="7"/>
      <c r="Q9" s="7"/>
      <c r="R9" s="7"/>
      <c r="S9" s="7">
        <v>2</v>
      </c>
      <c r="T9" s="26">
        <v>1</v>
      </c>
      <c r="U9" s="26"/>
      <c r="V9" s="260">
        <f t="shared" si="3"/>
        <v>3</v>
      </c>
      <c r="W9" s="6">
        <f t="shared" ca="1" si="4"/>
        <v>1</v>
      </c>
      <c r="X9" s="6">
        <f t="shared" ca="1" si="4"/>
        <v>0</v>
      </c>
      <c r="Y9" s="6">
        <f t="shared" ca="1" si="4"/>
        <v>0</v>
      </c>
      <c r="Z9" s="260">
        <f t="shared" ca="1" si="5"/>
        <v>135882</v>
      </c>
      <c r="AA9" s="260">
        <f t="shared" ca="1" si="6"/>
        <v>271764</v>
      </c>
      <c r="AB9" s="169">
        <f t="shared" ca="1" si="7"/>
        <v>1.1038989711661588E-2</v>
      </c>
    </row>
    <row r="10" spans="1:29" x14ac:dyDescent="0.35">
      <c r="A10" s="7" t="s">
        <v>137</v>
      </c>
      <c r="B10" s="5" t="s">
        <v>278</v>
      </c>
      <c r="C10" s="7" t="s">
        <v>138</v>
      </c>
      <c r="D10" s="831">
        <v>7176</v>
      </c>
      <c r="E10" s="831">
        <v>8700</v>
      </c>
      <c r="F10" s="831">
        <v>9874</v>
      </c>
      <c r="G10" s="260">
        <f t="shared" si="0"/>
        <v>25750</v>
      </c>
      <c r="H10" s="261">
        <f t="shared" ca="1" si="1"/>
        <v>1.4492753623188406E-2</v>
      </c>
      <c r="I10" s="261">
        <f t="shared" ca="1" si="1"/>
        <v>7.246376811594203E-3</v>
      </c>
      <c r="J10" s="261">
        <f t="shared" ca="1" si="1"/>
        <v>0</v>
      </c>
      <c r="K10" s="260">
        <f ca="1">H10*HHProps_SSW</f>
        <v>7817.927536231884</v>
      </c>
      <c r="L10" s="260">
        <f t="shared" ca="1" si="2"/>
        <v>23453.782608695652</v>
      </c>
      <c r="M10" s="169">
        <f t="shared" ca="1" si="9"/>
        <v>1097.9039257596346</v>
      </c>
      <c r="N10" s="7"/>
      <c r="O10" s="7"/>
      <c r="P10" s="7"/>
      <c r="Q10" s="7"/>
      <c r="R10" s="7"/>
      <c r="S10" s="7">
        <v>1597</v>
      </c>
      <c r="T10" s="26">
        <v>1171</v>
      </c>
      <c r="U10" s="26"/>
      <c r="V10" s="260">
        <f t="shared" si="3"/>
        <v>2768</v>
      </c>
      <c r="W10" s="6">
        <f t="shared" ca="1" si="4"/>
        <v>2.5190839694656488E-2</v>
      </c>
      <c r="X10" s="6">
        <f t="shared" ca="1" si="4"/>
        <v>1.2213740458015267E-2</v>
      </c>
      <c r="Y10" s="6">
        <f t="shared" ca="1" si="4"/>
        <v>0</v>
      </c>
      <c r="Z10" s="260">
        <f t="shared" ca="1" si="5"/>
        <v>3422.9816793893128</v>
      </c>
      <c r="AA10" s="260">
        <f t="shared" ca="1" si="6"/>
        <v>6845.9633587786257</v>
      </c>
      <c r="AB10" s="169">
        <f t="shared" ca="1" si="7"/>
        <v>404.32585670365512</v>
      </c>
    </row>
    <row r="11" spans="1:29" x14ac:dyDescent="0.35">
      <c r="A11" s="7" t="s">
        <v>139</v>
      </c>
      <c r="B11" s="5" t="s">
        <v>139</v>
      </c>
      <c r="C11" s="7" t="s">
        <v>140</v>
      </c>
      <c r="D11" s="831">
        <v>2554</v>
      </c>
      <c r="E11" s="831">
        <v>3335</v>
      </c>
      <c r="F11" s="831">
        <v>3730</v>
      </c>
      <c r="G11" s="260">
        <f t="shared" si="0"/>
        <v>9619</v>
      </c>
      <c r="H11" s="261">
        <f t="shared" ca="1" si="1"/>
        <v>0.10163043478260869</v>
      </c>
      <c r="I11" s="261">
        <f t="shared" ca="1" si="1"/>
        <v>5.0905797101449275E-2</v>
      </c>
      <c r="J11" s="261">
        <f t="shared" ca="1" si="1"/>
        <v>2.5362318840579712E-2</v>
      </c>
      <c r="K11" s="260">
        <f t="shared" ca="1" si="8"/>
        <v>54823.216847826086</v>
      </c>
      <c r="L11" s="260">
        <f t="shared" ca="1" si="2"/>
        <v>164469.65054347826</v>
      </c>
      <c r="M11" s="169">
        <f t="shared" ca="1" si="9"/>
        <v>58.484954325705068</v>
      </c>
      <c r="N11" s="7"/>
      <c r="O11" s="7"/>
      <c r="P11" s="7"/>
      <c r="Q11" s="7"/>
      <c r="R11" s="7"/>
      <c r="S11" s="7">
        <v>486</v>
      </c>
      <c r="T11" s="26">
        <v>541</v>
      </c>
      <c r="U11" s="26"/>
      <c r="V11" s="260">
        <f t="shared" si="3"/>
        <v>1027</v>
      </c>
      <c r="W11" s="6">
        <f t="shared" ca="1" si="4"/>
        <v>9.3129770992366412E-2</v>
      </c>
      <c r="X11" s="6">
        <f t="shared" ca="1" si="4"/>
        <v>4.6564885496183206E-2</v>
      </c>
      <c r="Y11" s="6">
        <f t="shared" ca="1" si="4"/>
        <v>2.2900763358778626E-2</v>
      </c>
      <c r="Z11" s="260">
        <f t="shared" ca="1" si="5"/>
        <v>12654.659541984733</v>
      </c>
      <c r="AA11" s="260">
        <f t="shared" ca="1" si="6"/>
        <v>25309.319083969465</v>
      </c>
      <c r="AB11" s="169">
        <f t="shared" ca="1" si="7"/>
        <v>40.577938766060527</v>
      </c>
    </row>
    <row r="12" spans="1:29" s="739" customFormat="1" x14ac:dyDescent="0.35">
      <c r="A12" s="739" t="s">
        <v>158</v>
      </c>
      <c r="B12" s="739" t="s">
        <v>669</v>
      </c>
      <c r="C12" s="739" t="s">
        <v>159</v>
      </c>
      <c r="D12" s="831">
        <v>174</v>
      </c>
      <c r="E12" s="831">
        <v>191</v>
      </c>
      <c r="F12" s="831">
        <v>229</v>
      </c>
      <c r="G12" s="740">
        <f t="shared" si="0"/>
        <v>594</v>
      </c>
      <c r="H12" s="741">
        <f t="shared" ca="1" si="1"/>
        <v>608.33333333333337</v>
      </c>
      <c r="I12" s="741">
        <f t="shared" ca="1" si="1"/>
        <v>365</v>
      </c>
      <c r="J12" s="741">
        <f t="shared" ca="1" si="1"/>
        <v>243.33333333333334</v>
      </c>
      <c r="K12" s="740"/>
      <c r="L12" s="740"/>
      <c r="M12" s="742"/>
      <c r="S12" s="739">
        <v>48</v>
      </c>
      <c r="T12" s="740">
        <v>28</v>
      </c>
      <c r="U12" s="740"/>
      <c r="V12" s="740">
        <f t="shared" si="3"/>
        <v>76</v>
      </c>
      <c r="W12" s="743">
        <f t="shared" ca="1" si="4"/>
        <v>365</v>
      </c>
      <c r="X12" s="743">
        <f t="shared" ca="1" si="4"/>
        <v>243.33333333333334</v>
      </c>
      <c r="Y12" s="743">
        <f t="shared" ca="1" si="4"/>
        <v>121.66666666666667</v>
      </c>
      <c r="Z12" s="740"/>
      <c r="AA12" s="740"/>
      <c r="AB12" s="744"/>
    </row>
    <row r="13" spans="1:29" x14ac:dyDescent="0.35">
      <c r="A13" s="7" t="s">
        <v>141</v>
      </c>
      <c r="B13" s="5" t="s">
        <v>268</v>
      </c>
      <c r="C13" s="7" t="s">
        <v>142</v>
      </c>
      <c r="D13" s="831">
        <v>105</v>
      </c>
      <c r="E13" s="831">
        <v>106</v>
      </c>
      <c r="F13" s="831">
        <v>157</v>
      </c>
      <c r="G13" s="260">
        <f t="shared" si="0"/>
        <v>368</v>
      </c>
      <c r="H13" s="261">
        <f t="shared" ca="1" si="1"/>
        <v>1.2500000000000001E-2</v>
      </c>
      <c r="I13" s="261">
        <f t="shared" ca="1" si="1"/>
        <v>8.3333333333333332E-3</v>
      </c>
      <c r="J13" s="261">
        <f t="shared" ca="1" si="1"/>
        <v>0</v>
      </c>
      <c r="K13" s="260"/>
      <c r="L13" s="260"/>
      <c r="M13" s="169"/>
      <c r="N13" s="7"/>
      <c r="O13" s="7"/>
      <c r="P13" s="7"/>
      <c r="Q13" s="7"/>
      <c r="R13" s="7"/>
      <c r="S13" s="7">
        <v>4</v>
      </c>
      <c r="T13" s="26">
        <v>5</v>
      </c>
      <c r="U13" s="26"/>
      <c r="V13" s="260">
        <f t="shared" si="3"/>
        <v>9</v>
      </c>
      <c r="W13" s="6">
        <f t="shared" ca="1" si="4"/>
        <v>1.2500000000000001E-2</v>
      </c>
      <c r="X13" s="6">
        <f t="shared" ca="1" si="4"/>
        <v>8.3333333333333332E-3</v>
      </c>
      <c r="Y13" s="6">
        <f t="shared" ca="1" si="4"/>
        <v>0</v>
      </c>
      <c r="Z13" s="260"/>
      <c r="AA13" s="260"/>
      <c r="AB13" s="263"/>
    </row>
    <row r="14" spans="1:29" x14ac:dyDescent="0.35">
      <c r="A14" s="7" t="s">
        <v>670</v>
      </c>
      <c r="B14" s="5" t="s">
        <v>265</v>
      </c>
      <c r="C14" s="7" t="s">
        <v>40</v>
      </c>
      <c r="D14" s="831">
        <v>4968</v>
      </c>
      <c r="E14" s="831">
        <v>5613</v>
      </c>
      <c r="F14" s="831">
        <v>5797</v>
      </c>
      <c r="G14" s="260">
        <f t="shared" si="0"/>
        <v>16378</v>
      </c>
      <c r="H14" s="262">
        <f ca="1">INDEX(INDIRECT("SSW_WTPCore_DCE_"&amp;$C14&amp;"_Levels"),MATCH("COMBINED-HH",WTPCore_Group,0),MATCH(H$5,WTPCore_AttLevels,0))</f>
        <v>70.5</v>
      </c>
      <c r="I14" s="262">
        <f t="shared" ca="1" si="1"/>
        <v>35.25</v>
      </c>
      <c r="J14" s="262">
        <f t="shared" ca="1" si="1"/>
        <v>17.625</v>
      </c>
      <c r="K14" s="260"/>
      <c r="L14" s="260"/>
      <c r="M14" s="169"/>
      <c r="N14" s="7"/>
      <c r="O14" s="7"/>
      <c r="P14" s="7"/>
      <c r="Q14" s="7"/>
      <c r="R14" s="7"/>
      <c r="S14" s="7">
        <v>188</v>
      </c>
      <c r="T14" s="26">
        <v>211</v>
      </c>
      <c r="U14" s="26"/>
      <c r="V14" s="260">
        <f t="shared" si="3"/>
        <v>399</v>
      </c>
      <c r="W14" s="95">
        <f ca="1">INDEX(INDIRECT("CAM_WTPCore_"&amp;$C14&amp;"_Levels"),MATCH("COMBINED-HH",WTPCore_Group,0),MATCH(W$5,WTPCore_AttLevels,0))</f>
        <v>13.5</v>
      </c>
      <c r="X14" s="95">
        <f t="shared" ca="1" si="4"/>
        <v>6.75</v>
      </c>
      <c r="Y14" s="95">
        <f t="shared" ca="1" si="4"/>
        <v>3.375</v>
      </c>
      <c r="Z14" s="260"/>
      <c r="AA14" s="260"/>
      <c r="AB14" s="263"/>
    </row>
    <row r="15" spans="1:29" x14ac:dyDescent="0.35">
      <c r="A15" s="7" t="s">
        <v>125</v>
      </c>
      <c r="B15" s="5" t="s">
        <v>263</v>
      </c>
      <c r="C15" s="7" t="s">
        <v>126</v>
      </c>
      <c r="D15" s="831">
        <v>108</v>
      </c>
      <c r="E15" s="831">
        <v>116</v>
      </c>
      <c r="F15" s="831">
        <v>109</v>
      </c>
      <c r="G15" s="260">
        <f t="shared" si="0"/>
        <v>333</v>
      </c>
      <c r="H15" s="421">
        <f ca="1">INDEX(INDIRECT("SSW_WTPCore_DCE_"&amp;$C15&amp;"_Levels"),MATCH("COMBINED-HH",WTPCore_Group,0),MATCH(H$5,WTPCore_AttLevels,0))</f>
        <v>1.2500000000000001E-2</v>
      </c>
      <c r="I15" s="421">
        <f t="shared" ca="1" si="1"/>
        <v>8.3333333333333332E-3</v>
      </c>
      <c r="J15" s="421">
        <f t="shared" ca="1" si="1"/>
        <v>0</v>
      </c>
      <c r="K15" s="260">
        <f ca="1">H15*HHProps_SSW</f>
        <v>6742.9625000000005</v>
      </c>
      <c r="L15" s="260">
        <f ca="1">K15*3</f>
        <v>20228.887500000001</v>
      </c>
      <c r="M15" s="169">
        <f ca="1">1000*G15/L15</f>
        <v>16.46160719416725</v>
      </c>
      <c r="N15" s="7"/>
      <c r="O15" s="7"/>
      <c r="P15" s="7"/>
      <c r="Q15" s="7"/>
      <c r="R15" s="7"/>
      <c r="S15" s="7">
        <v>15</v>
      </c>
      <c r="T15" s="26">
        <v>20</v>
      </c>
      <c r="U15" s="26"/>
      <c r="V15" s="260">
        <f t="shared" si="3"/>
        <v>35</v>
      </c>
      <c r="W15" s="422">
        <f ca="1">INDEX(INDIRECT("CAM_WTPCore_"&amp;$C15&amp;"_Levels"),MATCH("COMBINED-HH",WTPCore_Group,0),MATCH(W$5,WTPCore_AttLevels,0))</f>
        <v>1.2500000000000001E-2</v>
      </c>
      <c r="X15" s="422">
        <f t="shared" ca="1" si="4"/>
        <v>8.3333333333333332E-3</v>
      </c>
      <c r="Y15" s="422">
        <f t="shared" ca="1" si="4"/>
        <v>0</v>
      </c>
      <c r="Z15" s="260">
        <f ca="1">W15*HHProps_CAM</f>
        <v>1698.5250000000001</v>
      </c>
      <c r="AA15" s="260">
        <f ca="1">Z15*2</f>
        <v>3397.05</v>
      </c>
      <c r="AB15" s="169">
        <f ca="1">1000*V15/AA15</f>
        <v>10.303057064217482</v>
      </c>
    </row>
    <row r="16" spans="1:29" x14ac:dyDescent="0.35">
      <c r="A16" s="5" t="s">
        <v>261</v>
      </c>
      <c r="B16" s="5" t="s">
        <v>261</v>
      </c>
      <c r="C16" s="5" t="s">
        <v>261</v>
      </c>
      <c r="D16" s="831">
        <v>377365</v>
      </c>
      <c r="E16" s="831">
        <v>387696</v>
      </c>
      <c r="F16" s="831">
        <v>325691</v>
      </c>
      <c r="G16" s="260"/>
      <c r="H16" s="421"/>
      <c r="I16" s="421"/>
      <c r="J16" s="421"/>
      <c r="K16" s="260"/>
      <c r="L16" s="260"/>
      <c r="M16" s="169"/>
      <c r="N16" s="7"/>
      <c r="O16" s="7"/>
      <c r="P16" s="7"/>
      <c r="Q16" s="7"/>
      <c r="R16" s="7"/>
      <c r="S16" s="7"/>
      <c r="T16" s="26"/>
      <c r="U16" s="26"/>
      <c r="V16" s="260"/>
      <c r="W16" s="422"/>
      <c r="X16" s="422"/>
      <c r="Y16" s="422"/>
      <c r="Z16" s="260"/>
      <c r="AA16" s="260"/>
      <c r="AB16" s="169"/>
    </row>
    <row r="17" spans="1:34" x14ac:dyDescent="0.35">
      <c r="A17" s="5" t="s">
        <v>41</v>
      </c>
      <c r="B17" s="5" t="s">
        <v>266</v>
      </c>
      <c r="C17" s="5" t="s">
        <v>149</v>
      </c>
      <c r="D17" s="831">
        <v>35548</v>
      </c>
      <c r="E17" s="831">
        <v>36507</v>
      </c>
      <c r="F17" s="831">
        <v>34330</v>
      </c>
      <c r="G17" s="260">
        <f t="shared" ref="G17" si="10">D17+E17+F17</f>
        <v>106385</v>
      </c>
      <c r="H17" s="421">
        <f ca="1">INDEX(INDIRECT("SSW_WTPCore_DCE_"&amp;$C17&amp;"_Levels"),MATCH("COMBINED-HH",WTPCore_Group,0),MATCH(H$5,WTPCore_AttLevels,0))</f>
        <v>0.33</v>
      </c>
      <c r="I17" s="421">
        <f t="shared" ca="1" si="1"/>
        <v>0.65</v>
      </c>
      <c r="J17" s="421">
        <f t="shared" ca="1" si="1"/>
        <v>0.9</v>
      </c>
      <c r="K17" s="260">
        <f ca="1">H17*HHProps_SSW</f>
        <v>178014.21000000002</v>
      </c>
      <c r="L17" s="260">
        <f ca="1">K17*3</f>
        <v>534042.63000000012</v>
      </c>
      <c r="M17" s="169">
        <f ca="1">1000*G17/L17</f>
        <v>199.20694346067461</v>
      </c>
      <c r="N17" s="7"/>
      <c r="O17" s="7"/>
      <c r="P17" s="7"/>
      <c r="Q17" s="7"/>
      <c r="R17" s="7"/>
      <c r="S17" s="7"/>
      <c r="T17" s="26"/>
      <c r="U17" s="26"/>
      <c r="V17" s="260"/>
      <c r="W17" s="422"/>
      <c r="X17" s="422"/>
      <c r="Y17" s="422"/>
      <c r="Z17" s="260"/>
      <c r="AA17" s="260"/>
      <c r="AB17" s="169"/>
    </row>
    <row r="18" spans="1:34" x14ac:dyDescent="0.35">
      <c r="A18" s="5" t="s">
        <v>143</v>
      </c>
      <c r="B18" s="5" t="s">
        <v>283</v>
      </c>
      <c r="C18" s="5" t="s">
        <v>143</v>
      </c>
      <c r="D18" s="5">
        <v>0</v>
      </c>
      <c r="E18" s="5">
        <v>0</v>
      </c>
      <c r="F18" s="5">
        <v>0</v>
      </c>
      <c r="G18" s="260"/>
      <c r="H18" s="421"/>
      <c r="I18" s="421"/>
      <c r="J18" s="421"/>
      <c r="K18" s="260"/>
      <c r="L18" s="260"/>
      <c r="M18" s="169"/>
      <c r="N18" s="7"/>
      <c r="O18" s="7"/>
      <c r="P18" s="7"/>
      <c r="Q18" s="7"/>
      <c r="R18" s="7"/>
      <c r="S18" s="7"/>
      <c r="T18" s="26"/>
      <c r="U18" s="26"/>
      <c r="V18" s="260"/>
      <c r="W18" s="422"/>
      <c r="X18" s="422"/>
      <c r="Y18" s="422"/>
      <c r="Z18" s="260"/>
      <c r="AA18" s="260"/>
      <c r="AB18" s="169"/>
    </row>
    <row r="19" spans="1:34" x14ac:dyDescent="0.35">
      <c r="A19" s="7" t="s">
        <v>146</v>
      </c>
      <c r="B19" s="738" t="s">
        <v>283</v>
      </c>
      <c r="C19" s="5" t="s">
        <v>143</v>
      </c>
      <c r="D19" s="5">
        <v>0</v>
      </c>
      <c r="E19" s="5">
        <v>0</v>
      </c>
      <c r="F19" s="5">
        <v>0</v>
      </c>
      <c r="G19" s="260"/>
      <c r="H19" s="421"/>
      <c r="I19" s="421"/>
      <c r="J19" s="421"/>
      <c r="K19" s="260"/>
      <c r="L19" s="260"/>
      <c r="M19" s="169"/>
      <c r="N19" s="7"/>
      <c r="O19" s="7"/>
      <c r="P19" s="7"/>
      <c r="Q19" s="7"/>
      <c r="R19" s="7"/>
      <c r="S19" s="7"/>
      <c r="T19" s="26"/>
      <c r="U19" s="26"/>
      <c r="V19" s="260"/>
      <c r="W19" s="422"/>
      <c r="X19" s="422"/>
      <c r="Y19" s="422"/>
      <c r="Z19" s="260"/>
      <c r="AA19" s="260"/>
      <c r="AB19" s="169"/>
    </row>
    <row r="20" spans="1:34" x14ac:dyDescent="0.35">
      <c r="A20" s="7" t="s">
        <v>153</v>
      </c>
      <c r="B20" s="738" t="s">
        <v>271</v>
      </c>
      <c r="C20" s="5"/>
      <c r="D20" s="5">
        <v>0</v>
      </c>
      <c r="E20" s="5">
        <v>0</v>
      </c>
      <c r="F20" s="5">
        <v>0</v>
      </c>
      <c r="G20" s="260"/>
      <c r="H20" s="421"/>
      <c r="I20" s="421"/>
      <c r="J20" s="421"/>
      <c r="K20" s="260"/>
      <c r="L20" s="260"/>
      <c r="M20" s="169"/>
      <c r="N20" s="7"/>
      <c r="O20" s="7"/>
      <c r="P20" s="7"/>
      <c r="Q20" s="7"/>
      <c r="R20" s="7"/>
      <c r="S20" s="7"/>
      <c r="T20" s="26"/>
      <c r="U20" s="26"/>
      <c r="V20" s="260"/>
      <c r="W20" s="422"/>
      <c r="X20" s="422"/>
      <c r="Y20" s="422"/>
      <c r="Z20" s="260"/>
      <c r="AA20" s="260"/>
      <c r="AB20" s="169"/>
    </row>
    <row r="21" spans="1:34" x14ac:dyDescent="0.35">
      <c r="A21" s="51"/>
      <c r="B21" s="51"/>
      <c r="C21" s="51"/>
      <c r="D21" s="51"/>
      <c r="E21" s="51"/>
      <c r="F21" s="51"/>
      <c r="G21" s="51"/>
      <c r="H21" s="51"/>
      <c r="I21" s="51"/>
      <c r="J21" s="51"/>
      <c r="K21" s="3"/>
      <c r="L21" s="3"/>
      <c r="M21" s="29"/>
      <c r="N21" s="7"/>
      <c r="O21" s="7"/>
      <c r="P21" s="7"/>
      <c r="Q21" s="7"/>
      <c r="R21" s="7"/>
      <c r="S21" s="3"/>
      <c r="T21" s="3"/>
      <c r="U21" s="3"/>
      <c r="V21" s="3"/>
      <c r="W21" s="265"/>
      <c r="X21" s="265"/>
      <c r="Y21" s="194"/>
      <c r="Z21" s="3"/>
      <c r="AA21" s="3"/>
      <c r="AB21" s="264"/>
    </row>
    <row r="22" spans="1:34" x14ac:dyDescent="0.35">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row>
    <row r="23" spans="1:34" x14ac:dyDescent="0.3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x14ac:dyDescent="0.35">
      <c r="A24" s="51" t="s">
        <v>387</v>
      </c>
      <c r="B24" s="7" t="s">
        <v>671</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x14ac:dyDescent="0.35">
      <c r="A25" s="7"/>
      <c r="B25" s="7" t="s">
        <v>672</v>
      </c>
      <c r="C25" s="7"/>
      <c r="D25" s="7"/>
      <c r="E25" s="7"/>
      <c r="F25" s="7"/>
      <c r="G25" s="7"/>
      <c r="H25" s="7"/>
      <c r="I25" s="7"/>
      <c r="J25" s="7"/>
      <c r="K25" s="258"/>
      <c r="L25" s="259"/>
      <c r="M25" s="7"/>
      <c r="N25" s="7"/>
      <c r="O25" s="7"/>
      <c r="P25" s="7"/>
      <c r="Q25" s="7"/>
      <c r="R25" s="7"/>
      <c r="S25" s="7"/>
      <c r="T25" s="7"/>
      <c r="U25" s="7"/>
      <c r="V25" s="7"/>
      <c r="W25" s="7"/>
      <c r="X25" s="7"/>
      <c r="Y25" s="7"/>
      <c r="Z25" s="7"/>
      <c r="AA25" s="7"/>
      <c r="AB25" s="7"/>
      <c r="AC25" s="7"/>
      <c r="AD25" s="7"/>
      <c r="AE25" s="7"/>
      <c r="AF25" s="7"/>
      <c r="AG25" s="7"/>
      <c r="AH25" s="7"/>
    </row>
    <row r="26" spans="1:34" x14ac:dyDescent="0.3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row>
    <row r="27" spans="1:34" ht="15.5" x14ac:dyDescent="0.35">
      <c r="A27" s="257"/>
      <c r="B27" s="257"/>
      <c r="C27" s="257"/>
      <c r="D27" s="257"/>
      <c r="E27" s="257"/>
      <c r="F27" s="257"/>
      <c r="G27" s="257"/>
      <c r="H27" s="257"/>
      <c r="I27" s="257"/>
      <c r="J27" s="257"/>
      <c r="K27" s="257"/>
      <c r="L27" s="257"/>
      <c r="M27" s="7"/>
      <c r="N27" s="7"/>
      <c r="O27" s="7"/>
      <c r="P27" s="7"/>
      <c r="Q27" s="7"/>
      <c r="R27" s="7"/>
      <c r="S27" s="7"/>
      <c r="T27" s="257"/>
      <c r="U27" s="7"/>
      <c r="V27" s="7"/>
      <c r="W27" s="7"/>
      <c r="X27" s="257"/>
      <c r="Y27" s="257"/>
      <c r="Z27" s="257"/>
      <c r="AA27" s="257"/>
      <c r="AB27" s="257"/>
      <c r="AC27" s="257"/>
      <c r="AD27" s="257"/>
      <c r="AE27" s="257"/>
      <c r="AF27" s="257"/>
      <c r="AG27" s="257"/>
      <c r="AH27" s="257"/>
    </row>
    <row r="28" spans="1:34" s="7" customFormat="1" x14ac:dyDescent="0.35">
      <c r="A28" s="50"/>
      <c r="B28" s="50"/>
      <c r="C28" s="50"/>
      <c r="D28" s="52"/>
      <c r="E28" s="52"/>
      <c r="F28" s="52"/>
      <c r="G28" s="52"/>
      <c r="H28" s="52"/>
      <c r="I28" s="52"/>
      <c r="J28" s="84"/>
      <c r="K28" s="52"/>
      <c r="L28" s="52"/>
      <c r="M28" s="52"/>
      <c r="N28" s="52"/>
      <c r="O28" s="52"/>
      <c r="P28" s="52"/>
      <c r="Q28" s="52"/>
      <c r="R28" s="52"/>
      <c r="S28" s="84"/>
      <c r="T28" s="52"/>
      <c r="U28" s="52"/>
      <c r="V28" s="52"/>
      <c r="W28" s="52"/>
      <c r="X28" s="52"/>
      <c r="Y28" s="84"/>
      <c r="Z28" s="52"/>
      <c r="AA28" s="52"/>
      <c r="AB28" s="52"/>
      <c r="AC28" s="52"/>
      <c r="AD28" s="50"/>
      <c r="AE28" s="50"/>
      <c r="AF28" s="50"/>
      <c r="AG28" s="50"/>
    </row>
    <row r="29" spans="1:34" s="7" customFormat="1" ht="19.5" x14ac:dyDescent="0.45">
      <c r="A29" s="85" t="s">
        <v>341</v>
      </c>
      <c r="B29" s="50"/>
      <c r="C29" s="50"/>
      <c r="D29" s="185"/>
      <c r="E29" s="98"/>
      <c r="F29" s="98"/>
      <c r="G29" s="98"/>
      <c r="H29" s="98"/>
      <c r="I29" s="98"/>
      <c r="J29" s="186"/>
      <c r="K29" s="52"/>
      <c r="L29" s="52"/>
      <c r="M29" s="52"/>
      <c r="N29" s="52"/>
      <c r="O29" s="52"/>
      <c r="P29" s="52"/>
      <c r="Q29" s="52"/>
      <c r="R29" s="52"/>
      <c r="S29" s="84"/>
      <c r="T29" s="52"/>
      <c r="U29" s="52"/>
      <c r="V29" s="52"/>
      <c r="W29" s="52"/>
      <c r="X29" s="52"/>
      <c r="Y29" s="186"/>
      <c r="Z29" s="52"/>
      <c r="AA29" s="52"/>
      <c r="AB29" s="52"/>
      <c r="AC29" s="52"/>
      <c r="AD29" s="50"/>
      <c r="AE29" s="50"/>
      <c r="AF29" s="50"/>
      <c r="AG29" s="50"/>
    </row>
    <row r="30" spans="1:34" s="7" customFormat="1" ht="15.75" customHeight="1" thickBot="1" x14ac:dyDescent="0.4">
      <c r="A30" s="50"/>
      <c r="B30" s="52"/>
      <c r="C30" s="188"/>
      <c r="D30" s="98" t="s">
        <v>342</v>
      </c>
      <c r="E30" s="148"/>
      <c r="F30" s="148"/>
      <c r="G30" s="98" t="s">
        <v>343</v>
      </c>
      <c r="H30" s="98"/>
      <c r="I30" s="99"/>
      <c r="J30" s="1007" t="s">
        <v>673</v>
      </c>
      <c r="K30" s="1006" t="s">
        <v>674</v>
      </c>
      <c r="L30" s="50"/>
      <c r="M30" s="50"/>
      <c r="N30" s="50"/>
      <c r="O30" s="50"/>
      <c r="P30" s="1006" t="s">
        <v>346</v>
      </c>
      <c r="Q30" s="50"/>
      <c r="R30" s="50"/>
      <c r="S30" s="98" t="s">
        <v>342</v>
      </c>
      <c r="T30" s="148"/>
      <c r="U30" s="148"/>
      <c r="V30" s="98" t="s">
        <v>343</v>
      </c>
      <c r="W30" s="98"/>
      <c r="X30" s="99"/>
      <c r="Y30" s="1007" t="s">
        <v>673</v>
      </c>
      <c r="Z30" s="1006" t="s">
        <v>674</v>
      </c>
      <c r="AA30" s="50"/>
      <c r="AB30" s="50"/>
      <c r="AC30" s="50"/>
      <c r="AD30" s="50"/>
      <c r="AE30" s="1006" t="s">
        <v>346</v>
      </c>
      <c r="AF30" s="50"/>
      <c r="AG30" s="50"/>
    </row>
    <row r="31" spans="1:34" s="53" customFormat="1" ht="30" customHeight="1" x14ac:dyDescent="0.35">
      <c r="A31" s="54" t="s">
        <v>347</v>
      </c>
      <c r="B31" s="54" t="s">
        <v>348</v>
      </c>
      <c r="C31" s="54" t="s">
        <v>123</v>
      </c>
      <c r="D31" s="88" t="s">
        <v>350</v>
      </c>
      <c r="E31" s="88" t="s">
        <v>351</v>
      </c>
      <c r="F31" s="88" t="s">
        <v>352</v>
      </c>
      <c r="G31" s="88" t="s">
        <v>353</v>
      </c>
      <c r="H31" s="88" t="s">
        <v>354</v>
      </c>
      <c r="I31" s="88" t="s">
        <v>355</v>
      </c>
      <c r="J31" s="1007"/>
      <c r="K31" s="1006"/>
      <c r="L31" s="251" t="s">
        <v>356</v>
      </c>
      <c r="M31" s="251" t="s">
        <v>357</v>
      </c>
      <c r="N31" s="251" t="s">
        <v>358</v>
      </c>
      <c r="O31" s="598" t="s">
        <v>359</v>
      </c>
      <c r="P31" s="1006"/>
      <c r="Q31" s="189" t="s">
        <v>124</v>
      </c>
      <c r="R31" s="268" t="s">
        <v>360</v>
      </c>
      <c r="S31" s="88" t="s">
        <v>350</v>
      </c>
      <c r="T31" s="88" t="s">
        <v>351</v>
      </c>
      <c r="U31" s="88" t="s">
        <v>352</v>
      </c>
      <c r="V31" s="88" t="s">
        <v>353</v>
      </c>
      <c r="W31" s="88" t="s">
        <v>354</v>
      </c>
      <c r="X31" s="88" t="s">
        <v>355</v>
      </c>
      <c r="Y31" s="1007"/>
      <c r="Z31" s="1006"/>
      <c r="AA31" s="251" t="s">
        <v>356</v>
      </c>
      <c r="AB31" s="251" t="s">
        <v>357</v>
      </c>
      <c r="AC31" s="251" t="s">
        <v>358</v>
      </c>
      <c r="AD31" s="598" t="s">
        <v>359</v>
      </c>
      <c r="AE31" s="1006"/>
      <c r="AF31" s="189" t="s">
        <v>124</v>
      </c>
      <c r="AG31" s="268" t="s">
        <v>360</v>
      </c>
    </row>
    <row r="32" spans="1:34" s="133" customFormat="1" x14ac:dyDescent="0.35">
      <c r="A32" s="7" t="str">
        <f>A6</f>
        <v>Taste and smell of water</v>
      </c>
      <c r="B32" s="7" t="s">
        <v>131</v>
      </c>
      <c r="C32" s="7" t="s">
        <v>132</v>
      </c>
      <c r="D32" s="423">
        <f ca="1">INDEX(INDIRECT("SSW_WTPCore2_"&amp;$C32&amp;"_Levels"),1,MATCH(D$31,WTPCore2_AttLevels,0))</f>
        <v>1.6666666666666666E-2</v>
      </c>
      <c r="E32" s="423"/>
      <c r="F32" s="423">
        <f ca="1">INDEX(INDIRECT("SSW_WTPCore2_"&amp;$C32&amp;"_Levels"),1,MATCH(F$31,WTPCore2_AttLevels,0))</f>
        <v>1.1111111111111112E-2</v>
      </c>
      <c r="G32" s="89">
        <f ca="1">INDEX(INDIRECT("SSW_WTPCore2_"&amp;$C32&amp;"_LevelValues"),1,MATCH("S1 MEAN",WTPCore2_LevelValues,0))</f>
        <v>0.30818609087835352</v>
      </c>
      <c r="H32" s="89">
        <f ca="1">INDEX(INDIRECT("SSW_WTPCore2_"&amp;$C32&amp;"_LevelValues"),1,MATCH("S2 MEAN",WTPCore2_LevelValues,0))</f>
        <v>0.18578205633963885</v>
      </c>
      <c r="I32" s="89">
        <f ca="1">SUM(G32:H32)</f>
        <v>0.49396814721799237</v>
      </c>
      <c r="J32" s="147">
        <f ca="1">VLOOKUP($A32,$A$5:$AB$15,COLUMN($M$5),0)</f>
        <v>215.17495710033484</v>
      </c>
      <c r="K32" s="266">
        <f ca="1">J32*(D32-F32)</f>
        <v>1.1954164283351933</v>
      </c>
      <c r="L32" s="429">
        <f ca="1">INDEX(INDIRECT("SSW_WTPCore_DCE_"&amp;$C32&amp;"_UnitValues"),MATCH("COMBINED-HH",WTPCore_Group,0),MATCH("MEAN",LMH,0))</f>
        <v>173.83878023943072</v>
      </c>
      <c r="M32" s="429">
        <f ca="1">L32*($D32-$F32)*(AllProps_SSW/HHProps_SSW)</f>
        <v>1.0194594594594593</v>
      </c>
      <c r="N32" s="89">
        <f ca="1">INDEX(INDIRECT("SSW_WTPCore2_"&amp;$C32&amp;"_UnitValues"),1,MATCH("MEAN",LMH,0))</f>
        <v>84.231716516748989</v>
      </c>
      <c r="O32" s="429">
        <f ca="1">N32*($D32-$F32)*(AllProps_SSW/HHProps_SSW)</f>
        <v>0.49396814721799237</v>
      </c>
      <c r="P32" s="429">
        <f ca="1">(K32/$K$38)*$N$39</f>
        <v>0.9165011223173225</v>
      </c>
      <c r="Q32" s="23" t="s">
        <v>127</v>
      </c>
      <c r="R32" s="269">
        <f ca="1">(P32*HHProps_SSW)/((D32-F32)*AllProps_SSW)</f>
        <v>156.28226871933637</v>
      </c>
      <c r="S32" s="36">
        <f ca="1">INDEX(INDIRECT("CAM_WTPCore2_"&amp;$C32&amp;"_Levels"),1,MATCH(S$31,WTPCore2_AttLevels,0))</f>
        <v>1.4285714285714285E-2</v>
      </c>
      <c r="T32" s="36"/>
      <c r="U32" s="36">
        <f ca="1">INDEX(INDIRECT("CAM_WTPCore2_"&amp;$C32&amp;"_Levels"),1,MATCH(U$31,WTPCore2_AttLevels,0))</f>
        <v>0.01</v>
      </c>
      <c r="V32" s="89">
        <f ca="1">INDEX(INDIRECT("CAM_WTPCore2_"&amp;$C32&amp;"_LevelValues"),1,MATCH("S1 MEAN",WTPCore2_LevelValues,0))</f>
        <v>4.7204807663126298E-2</v>
      </c>
      <c r="W32" s="89">
        <f ca="1">INDEX(INDIRECT("CAM_WTPCore2_"&amp;$C32&amp;"_LevelValues"),1,MATCH("S2 MEAN",WTPCore2_LevelValues,0))</f>
        <v>0.1217094578997745</v>
      </c>
      <c r="X32" s="89">
        <f ca="1">SUM(V32:W32)</f>
        <v>0.16891426556290079</v>
      </c>
      <c r="Y32" s="147">
        <f ca="1">VLOOKUP($A32,$A$5:$AB$15,COLUMN($AB$5),0)</f>
        <v>30.988021119164316</v>
      </c>
      <c r="Z32" s="266">
        <f ca="1">Y32*(S32-U32)</f>
        <v>0.13280580479641849</v>
      </c>
      <c r="AA32" s="429">
        <f ca="1">INDEX(INDIRECT("CAM_WTPCore_"&amp;$C32&amp;"_UnitValues"),MATCH("COMBINED-HH",WTPCore_Group,0),MATCH("MEAN",LMH,0))</f>
        <v>207.69569571588755</v>
      </c>
      <c r="AB32" s="429">
        <f ca="1">AA32*($S32-$U32)*(AllProps_CAM/HHProps_CAM)</f>
        <v>0.94640816326530586</v>
      </c>
      <c r="AC32" s="89">
        <f ca="1">INDEX(INDIRECT("CAM_WTPCore2_"&amp;$C32&amp;"_UnitValues"),1,MATCH("MEAN",LMH,0))</f>
        <v>37.069382180075451</v>
      </c>
      <c r="AD32" s="429">
        <f ca="1">AC32*($S32-$U32)*(AllProps_CAM/HHProps_CAM)</f>
        <v>0.16891426556290079</v>
      </c>
      <c r="AE32" s="10">
        <f ca="1">Z32*AC$39/Z$38</f>
        <v>0.22279747004829284</v>
      </c>
      <c r="AF32" s="23" t="s">
        <v>127</v>
      </c>
      <c r="AG32" s="269">
        <f ca="1">(AE32*HHProps_CAM)/((S32-U32)*AllProps_CAM)</f>
        <v>48.89441716749841</v>
      </c>
    </row>
    <row r="33" spans="1:38" s="133" customFormat="1" x14ac:dyDescent="0.35">
      <c r="A33" s="7" t="str">
        <f>A7</f>
        <v>Discoloured water</v>
      </c>
      <c r="B33" s="7" t="s">
        <v>129</v>
      </c>
      <c r="C33" s="7" t="s">
        <v>130</v>
      </c>
      <c r="D33" s="423">
        <f ca="1">INDEX(INDIRECT("SSW_WTPCore2_"&amp;$C33&amp;"_Levels"),1,MATCH(D$31,WTPCore2_AttLevels,0))</f>
        <v>6.6666666666666666E-2</v>
      </c>
      <c r="E33" s="423"/>
      <c r="F33" s="423">
        <f ca="1">INDEX(INDIRECT("SSW_WTPCore2_"&amp;$C33&amp;"_Levels"),1,MATCH(F$31,WTPCore2_AttLevels,0))</f>
        <v>0.04</v>
      </c>
      <c r="G33" s="89">
        <f ca="1">INDEX(INDIRECT("SSW_WTPCore2_"&amp;$C33&amp;"_LevelValues"),1,MATCH("S1 MEAN",WTPCore2_LevelValues,0))</f>
        <v>3.3679929677046498</v>
      </c>
      <c r="H33" s="89">
        <f ca="1">INDEX(INDIRECT("SSW_WTPCore2_"&amp;$C33&amp;"_LevelValues"),1,MATCH("S2 MEAN",WTPCore2_LevelValues,0))</f>
        <v>0.60669022375558512</v>
      </c>
      <c r="I33" s="89">
        <f ca="1">SUM(G33:H33)</f>
        <v>3.974683191460235</v>
      </c>
      <c r="J33" s="147">
        <f ca="1">VLOOKUP($A33,$A$5:$AA$15,COLUMN($M$5),0)</f>
        <v>52.239006926092848</v>
      </c>
      <c r="K33" s="266">
        <f ca="1">J33*(D33-F33)</f>
        <v>1.3930401846958091</v>
      </c>
      <c r="L33" s="429">
        <f ca="1">INDEX(INDIRECT("SSW_WTPCore_DCE_"&amp;$C33&amp;"_UnitValues"),MATCH("COMBINED-HH",WTPCore_Group,0),MATCH("MEAN",LMH,0))</f>
        <v>28.111247840776404</v>
      </c>
      <c r="M33" s="429">
        <f ca="1">L33*($D33-$F33)*(AllProps_SSW/HHProps_SSW)</f>
        <v>0.79130635838150276</v>
      </c>
      <c r="N33" s="89">
        <f ca="1">INDEX(INDIRECT("SSW_WTPCore2_"&amp;$C33&amp;"_UnitValues"),1,MATCH("MEAN",LMH,0))</f>
        <v>141.20106972505607</v>
      </c>
      <c r="O33" s="429">
        <f ca="1">N33*($D33-$F33)*(AllProps_SSW/HHProps_SSW)</f>
        <v>3.9746831914602345</v>
      </c>
      <c r="P33" s="429">
        <f t="shared" ref="P33:P36" ca="1" si="11">(K33/$K$38)*$N$39</f>
        <v>1.0680151806888567</v>
      </c>
      <c r="Q33" s="23" t="s">
        <v>127</v>
      </c>
      <c r="R33" s="269">
        <f ca="1">(P33*HHProps_SSW)/((D33-F33)*AllProps_SSW)</f>
        <v>37.941360035908254</v>
      </c>
      <c r="S33" s="36">
        <f ca="1">INDEX(INDIRECT("CAM_WTPCore2_"&amp;$C33&amp;"_Levels"),1,MATCH(S$31,WTPCore2_AttLevels,0))</f>
        <v>2.2222222222222223E-2</v>
      </c>
      <c r="T33" s="36"/>
      <c r="U33" s="36">
        <f ca="1">INDEX(INDIRECT("CAM_WTPCore2_"&amp;$C33&amp;"_Levels"),1,MATCH(U$31,WTPCore2_AttLevels,0))</f>
        <v>1.5384615384615385E-2</v>
      </c>
      <c r="V33" s="89">
        <f ca="1">INDEX(INDIRECT("CAM_WTPCore2_"&amp;$C33&amp;"_LevelValues"),1,MATCH("S1 MEAN",WTPCore2_LevelValues,0))</f>
        <v>3.1155463151224057</v>
      </c>
      <c r="W33" s="89">
        <f ca="1">INDEX(INDIRECT("CAM_WTPCore2_"&amp;$C33&amp;"_LevelValues"),1,MATCH("S2 MEAN",WTPCore2_LevelValues,0))</f>
        <v>1.3419840000849801</v>
      </c>
      <c r="X33" s="89">
        <f ca="1">SUM(V33:W33)</f>
        <v>4.4575303152073857</v>
      </c>
      <c r="Y33" s="147">
        <f ca="1">VLOOKUP($A33,$A$5:$AB$15,COLUMN($AB$5),0)</f>
        <v>61.115263873907402</v>
      </c>
      <c r="Z33" s="266">
        <f ca="1">Y33*(S33-U33)</f>
        <v>0.41788214614637542</v>
      </c>
      <c r="AA33" s="429">
        <f ca="1">INDEX(INDIRECT("CAM_WTPCore_"&amp;$C33&amp;"_UnitValues"),MATCH("COMBINED-HH",WTPCore_Group,0),MATCH("MEAN",LMH,0))</f>
        <v>308.90334405201918</v>
      </c>
      <c r="AB33" s="429">
        <f ca="1">AA33*($S33-$U33)*(AllProps_CAM/HHProps_CAM)</f>
        <v>2.2457142857142856</v>
      </c>
      <c r="AC33" s="89">
        <f ca="1">INDEX(INDIRECT("CAM_WTPCore2_"&amp;$C33&amp;"_UnitValues"),1,MATCH("MEAN",LMH,0))</f>
        <v>613.1439022942551</v>
      </c>
      <c r="AD33" s="429">
        <f ca="1">AC33*($S33-$U33)*(AllProps_CAM/HHProps_CAM)</f>
        <v>4.4575303152073857</v>
      </c>
      <c r="AE33" s="10">
        <f t="shared" ref="AE33:AE36" ca="1" si="12">Z33*AC$39/Z$38</f>
        <v>0.70104680350744897</v>
      </c>
      <c r="AF33" s="23" t="s">
        <v>127</v>
      </c>
      <c r="AG33" s="269">
        <f ca="1">(AE33*HHProps_CAM)/((S33-U33)*AllProps_CAM)</f>
        <v>96.430656080344079</v>
      </c>
    </row>
    <row r="34" spans="1:38" s="133" customFormat="1" x14ac:dyDescent="0.35">
      <c r="A34" s="7" t="str">
        <f>A10</f>
        <v>Unexpected temporary loss of water supply</v>
      </c>
      <c r="B34" s="7" t="s">
        <v>137</v>
      </c>
      <c r="C34" s="7" t="s">
        <v>138</v>
      </c>
      <c r="D34" s="423">
        <f ca="1">INDEX(INDIRECT("SSW_WTPCore2_"&amp;$C34&amp;"_Levels"),1,MATCH(D$31,WTPCore2_AttLevels,0))</f>
        <v>1.4285714285714285E-2</v>
      </c>
      <c r="E34" s="423"/>
      <c r="F34" s="423">
        <f ca="1">INDEX(INDIRECT("SSW_WTPCore2_"&amp;$C34&amp;"_Levels"),1,MATCH(F$31,WTPCore2_AttLevels,0))</f>
        <v>9.5238095238095247E-3</v>
      </c>
      <c r="G34" s="89">
        <f ca="1">INDEX(INDIRECT("SSW_WTPCore2_"&amp;$C34&amp;"_LevelValues"),1,MATCH("S1 MEAN",WTPCore2_LevelValues,0))</f>
        <v>0.39718669024665654</v>
      </c>
      <c r="H34" s="89">
        <f ca="1">INDEX(INDIRECT("SSW_WTPCore2_"&amp;$C34&amp;"_LevelValues"),1,MATCH("S2 MEAN",WTPCore2_LevelValues,0))</f>
        <v>0.53859352958370721</v>
      </c>
      <c r="I34" s="89">
        <f ca="1">SUM(G34:H34)</f>
        <v>0.93578021983036375</v>
      </c>
      <c r="J34" s="147">
        <f ca="1">VLOOKUP($A34,$A$5:$AA$15,COLUMN($M$5),0)</f>
        <v>1097.9039257596346</v>
      </c>
      <c r="K34" s="266">
        <f ca="1">J34*(D34-F34)</f>
        <v>5.2281139321887347</v>
      </c>
      <c r="L34" s="429">
        <f ca="1">INDEX(INDIRECT("SSW_WTPCore_DCE_"&amp;$C34&amp;"_UnitValues"),MATCH("COMBINED-HH",WTPCore_Group,0),MATCH("MEAN",LMH,0))</f>
        <v>162.10819588181059</v>
      </c>
      <c r="M34" s="429">
        <f ca="1">L34*($D34-$F34)*(AllProps_SSW/HHProps_SSW)</f>
        <v>0.8148571428571425</v>
      </c>
      <c r="N34" s="89">
        <f ca="1">INDEX(INDIRECT("SSW_WTPCore2_"&amp;$C34&amp;"_UnitValues"),1,MATCH("MEAN",LMH,0))</f>
        <v>186.16470937063306</v>
      </c>
      <c r="O34" s="429">
        <f ca="1">N34*($D34-$F34)*(AllProps_SSW/HHProps_SSW)</f>
        <v>0.93578021983036375</v>
      </c>
      <c r="P34" s="429">
        <f t="shared" ca="1" si="11"/>
        <v>4.0082871314783821</v>
      </c>
      <c r="Q34" s="23" t="s">
        <v>127</v>
      </c>
      <c r="R34" s="269">
        <f ca="1">(P34*HHProps_SSW)/((D34-F34)*AllProps_SSW)</f>
        <v>797.41117956200367</v>
      </c>
      <c r="S34" s="36">
        <f ca="1">INDEX(INDIRECT("CAM_WTPCore2_"&amp;$C34&amp;"_Levels"),1,MATCH(S$31,WTPCore2_AttLevels,0))</f>
        <v>2.5000000000000001E-2</v>
      </c>
      <c r="T34" s="36"/>
      <c r="U34" s="36">
        <f ca="1">INDEX(INDIRECT("CAM_WTPCore2_"&amp;$C34&amp;"_Levels"),1,MATCH(U$31,WTPCore2_AttLevels,0))</f>
        <v>1.6666666666666666E-2</v>
      </c>
      <c r="V34" s="89">
        <f ca="1">INDEX(INDIRECT("CAM_WTPCore2_"&amp;$C34&amp;"_LevelValues"),1,MATCH("S1 MEAN",WTPCore2_LevelValues,0))</f>
        <v>5.3490671066612649E-2</v>
      </c>
      <c r="W34" s="89">
        <f ca="1">INDEX(INDIRECT("CAM_WTPCore2_"&amp;$C34&amp;"_LevelValues"),1,MATCH("S2 MEAN",WTPCore2_LevelValues,0))</f>
        <v>0.33457681646237136</v>
      </c>
      <c r="X34" s="89">
        <f ca="1">SUM(V34:W34)</f>
        <v>0.38806748752898401</v>
      </c>
      <c r="Y34" s="147">
        <f ca="1">VLOOKUP($A34,$A$5:$AB$15,COLUMN($AB$5),0)</f>
        <v>404.32585670365512</v>
      </c>
      <c r="Z34" s="266">
        <f ca="1">Y34*(S34-U34)</f>
        <v>3.3693821391971266</v>
      </c>
      <c r="AA34" s="429">
        <f ca="1">INDEX(INDIRECT("CAM_WTPCore_"&amp;$C34&amp;"_UnitValues"),MATCH("COMBINED-HH",WTPCore_Group,0),MATCH("MEAN",LMH,0))</f>
        <v>28.26566546881222</v>
      </c>
      <c r="AB34" s="429">
        <f ca="1">AA34*($S34-$U34)*(AllProps_CAM/HHProps_CAM)</f>
        <v>0.25044117647058828</v>
      </c>
      <c r="AC34" s="89">
        <f ca="1">INDEX(INDIRECT("CAM_WTPCore2_"&amp;$C34&amp;"_UnitValues"),1,MATCH("MEAN",LMH,0))</f>
        <v>43.79865138952065</v>
      </c>
      <c r="AD34" s="429">
        <f ca="1">AC34*($S34-$U34)*(AllProps_CAM/HHProps_CAM)</f>
        <v>0.3880674875289839</v>
      </c>
      <c r="AE34" s="10">
        <f t="shared" ca="1" si="12"/>
        <v>5.6525376837991148</v>
      </c>
      <c r="AF34" s="23" t="s">
        <v>127</v>
      </c>
      <c r="AG34" s="269">
        <f ca="1">(AE34*HHProps_CAM)/((S34-U34)*AllProps_CAM)</f>
        <v>637.96513605215421</v>
      </c>
    </row>
    <row r="35" spans="1:38" s="133" customFormat="1" x14ac:dyDescent="0.35">
      <c r="A35" s="769" t="str">
        <f>A11</f>
        <v>Low water pressure</v>
      </c>
      <c r="B35" s="7" t="str">
        <f t="shared" ref="B35:C35" si="13">B11</f>
        <v>Low water pressure</v>
      </c>
      <c r="C35" s="7" t="str">
        <f t="shared" si="13"/>
        <v>LowPressure</v>
      </c>
      <c r="D35" s="423">
        <f ca="1">INDEX(INDIRECT("SSW_WTPCore2_"&amp;$C35&amp;"_Levels"),1,MATCH(D$31,WTPCore2_AttLevels,0))</f>
        <v>0.1</v>
      </c>
      <c r="E35" s="423"/>
      <c r="F35" s="423">
        <f ca="1">INDEX(INDIRECT("SSW_WTPCore2_"&amp;$C35&amp;"_Levels"),1,MATCH(F$31,WTPCore2_AttLevels,0))</f>
        <v>6.6666666666666666E-2</v>
      </c>
      <c r="G35" s="89">
        <f ca="1">INDEX(INDIRECT("SSW_WTPCore2_"&amp;$C35&amp;"_LevelValues"),1,MATCH("S1 MEAN",WTPCore2_LevelValues,0))</f>
        <v>0.78010561855806027</v>
      </c>
      <c r="H35" s="89">
        <f ca="1">INDEX(INDIRECT("SSW_WTPCore2_"&amp;$C35&amp;"_LevelValues"),1,MATCH("S2 MEAN",WTPCore2_LevelValues,0))</f>
        <v>0.37050953266002729</v>
      </c>
      <c r="I35" s="89">
        <f ca="1">SUM(G35:H35)</f>
        <v>1.1506151512180876</v>
      </c>
      <c r="J35" s="147">
        <f ca="1">VLOOKUP($A35,$A$5:$AA$15,COLUMN($M$5),0)</f>
        <v>58.484954325705068</v>
      </c>
      <c r="K35" s="266">
        <f ca="1">J35*(D35-F35)</f>
        <v>1.9494984775235027</v>
      </c>
      <c r="L35" s="429">
        <f ca="1">INDEX(INDIRECT("SSW_WTPCore_DCE_"&amp;$C35&amp;"_UnitValues"),MATCH("COMBINED-HH",WTPCore_Group,0),MATCH("MEAN",LMH,0))</f>
        <v>41.08733075345431</v>
      </c>
      <c r="M35" s="429">
        <f ca="1">L35*($D35-$F35)*(AllProps_SSW/HHProps_SSW)</f>
        <v>1.4457142857142862</v>
      </c>
      <c r="N35" s="89">
        <f ca="1">INDEX(INDIRECT("SSW_WTPCore2_"&amp;$C35&amp;"_UnitValues"),1,MATCH("MEAN",LMH,0))</f>
        <v>32.700586661683175</v>
      </c>
      <c r="O35" s="429">
        <f ca="1">N35*($D35-$F35)*(AllProps_SSW/HHProps_SSW)</f>
        <v>1.1506151512180876</v>
      </c>
      <c r="P35" s="429">
        <f t="shared" ref="P35" ca="1" si="14">(K35/$K$38)*$N$39</f>
        <v>1.4946402778607357</v>
      </c>
      <c r="Q35" s="23" t="s">
        <v>127</v>
      </c>
      <c r="R35" s="269">
        <f ca="1">(P35*HHProps_SSW)/((D35-F35)*AllProps_SSW)</f>
        <v>42.4778118752265</v>
      </c>
      <c r="S35" s="36">
        <f ca="1">INDEX(INDIRECT("CAM_WTPCore2_"&amp;$C35&amp;"_Levels"),1,MATCH(S$31,WTPCore2_AttLevels,0))</f>
        <v>9.0909090909090912E-2</v>
      </c>
      <c r="T35" s="36"/>
      <c r="U35" s="36">
        <f ca="1">INDEX(INDIRECT("CAM_WTPCore2_"&amp;$C35&amp;"_Levels"),1,MATCH(U$31,WTPCore2_AttLevels,0))</f>
        <v>6.6666666666666666E-2</v>
      </c>
      <c r="V35" s="89">
        <f ca="1">INDEX(INDIRECT("CAM_WTPCore2_"&amp;$C35&amp;"_LevelValues"),1,MATCH("S1 MEAN",WTPCore2_LevelValues,0))</f>
        <v>2.1416418362159599</v>
      </c>
      <c r="W35" s="89">
        <f ca="1">INDEX(INDIRECT("CAM_WTPCore2_"&amp;$C35&amp;"_LevelValues"),1,MATCH("S2 MEAN",WTPCore2_LevelValues,0))</f>
        <v>0.84070533256091329</v>
      </c>
      <c r="X35" s="89">
        <f ca="1">SUM(V35:W35)</f>
        <v>2.9823471687768732</v>
      </c>
      <c r="Y35" s="147">
        <f ca="1">VLOOKUP($A35,$A$5:$AB$15,COLUMN($AB$5),0)</f>
        <v>40.577938766060527</v>
      </c>
      <c r="Z35" s="266">
        <f ca="1">Y35*(S35-U35)</f>
        <v>0.98370760644995225</v>
      </c>
      <c r="AA35" s="429">
        <f ca="1">INDEX(INDIRECT("CAM_WTPCore_"&amp;$C35&amp;"_UnitValues"),MATCH("COMBINED-HH",WTPCore_Group,0),MATCH("MEAN",LMH,0))</f>
        <v>18.582387891224172</v>
      </c>
      <c r="AB35" s="429">
        <f ca="1">AA35*($S35-$U35)*(AllProps_CAM/HHProps_CAM)</f>
        <v>0.47896671634376553</v>
      </c>
      <c r="AC35" s="89">
        <f ca="1">INDEX(INDIRECT("CAM_WTPCore2_"&amp;$C35&amp;"_UnitValues"),1,MATCH("MEAN",LMH,0))</f>
        <v>115.70560129846363</v>
      </c>
      <c r="AD35" s="429">
        <f ca="1">AC35*($S35-$U35)*(AllProps_CAM/HHProps_CAM)</f>
        <v>2.9823471687768732</v>
      </c>
      <c r="AE35" s="10">
        <f t="shared" ref="AE35" ca="1" si="15">Z35*AC$39/Z$38</f>
        <v>1.650286042242497</v>
      </c>
      <c r="AF35" s="23" t="s">
        <v>127</v>
      </c>
      <c r="AG35" s="269">
        <f ca="1">(AE35*HHProps_CAM)/((S35-U35)*AllProps_CAM)</f>
        <v>64.02585883736721</v>
      </c>
    </row>
    <row r="36" spans="1:38" s="133" customFormat="1" ht="15" thickBot="1" x14ac:dyDescent="0.4">
      <c r="A36" s="7" t="str">
        <f>A15</f>
        <v>Water not safe to drink</v>
      </c>
      <c r="B36" s="7" t="s">
        <v>125</v>
      </c>
      <c r="C36" s="7" t="s">
        <v>126</v>
      </c>
      <c r="D36" s="423">
        <f ca="1">INDEX(INDIRECT("SSW_WTPCore2_"&amp;$C36&amp;"_Levels"),1,MATCH(D$31,WTPCore2_AttLevels,0))</f>
        <v>1.2500000000000001E-2</v>
      </c>
      <c r="E36" s="423"/>
      <c r="F36" s="423">
        <f ca="1">INDEX(INDIRECT("SSW_WTPCore2_"&amp;$C36&amp;"_Levels"),1,MATCH(F$31,WTPCore2_AttLevels,0))</f>
        <v>8.3333333333333332E-3</v>
      </c>
      <c r="G36" s="89">
        <f ca="1">INDEX(INDIRECT("SSW_WTPCore2_"&amp;$C36&amp;"_LevelValues"),1,MATCH("S1 MEAN",WTPCore2_LevelValues,0))</f>
        <v>0.88929876177631462</v>
      </c>
      <c r="H36" s="89">
        <f ca="1">INDEX(INDIRECT("SSW_WTPCore2_"&amp;$C36&amp;"_LevelValues"),1,MATCH("S2 MEAN",WTPCore2_LevelValues,0))</f>
        <v>0.22437782965097952</v>
      </c>
      <c r="I36" s="89">
        <f ca="1">SUM(G36:H36)</f>
        <v>1.1136765914272941</v>
      </c>
      <c r="J36" s="147">
        <f ca="1">VLOOKUP($A36,$A$5:$AA$15,COLUMN($M$5),0)</f>
        <v>16.46160719416725</v>
      </c>
      <c r="K36" s="266">
        <f ca="1">J36*(D36-F36)</f>
        <v>6.8590029975696895E-2</v>
      </c>
      <c r="L36" s="429">
        <f ca="1">INDEX(INDIRECT("SSW_WTPCore_DCE_"&amp;$C36&amp;"_UnitValues"),MATCH("COMBINED-HH",WTPCore_Group,0),MATCH("MEAN",LMH,0))</f>
        <v>759.38481661325</v>
      </c>
      <c r="M36" s="429">
        <f ca="1">L36*($D36-$F36)*(AllProps_SSW/HHProps_SSW)</f>
        <v>3.34</v>
      </c>
      <c r="N36" s="89">
        <f ca="1">INDEX(INDIRECT("SSW_WTPCore2_"&amp;$C36&amp;"_UnitValues"),1,MATCH("MEAN",LMH,0))</f>
        <v>253.20631561301954</v>
      </c>
      <c r="O36" s="429">
        <f ca="1">N36*($D36-$F36)*(AllProps_SSW/HHProps_SSW)</f>
        <v>1.1136765914272941</v>
      </c>
      <c r="P36" s="429">
        <f t="shared" ca="1" si="11"/>
        <v>5.2586561437884406E-2</v>
      </c>
      <c r="Q36" s="23" t="s">
        <v>127</v>
      </c>
      <c r="R36" s="270">
        <f ca="1">(P36*HHProps_SSW)/((D36-F36)*AllProps_SSW)</f>
        <v>11.956118656835109</v>
      </c>
      <c r="S36" s="36">
        <f ca="1">INDEX(INDIRECT("CAM_WTPCore2_"&amp;$C36&amp;"_Levels"),1,MATCH(S$31,WTPCore2_AttLevels,0))</f>
        <v>1.2500000000000001E-2</v>
      </c>
      <c r="T36" s="423"/>
      <c r="U36" s="36">
        <f ca="1">INDEX(INDIRECT("CAM_WTPCore2_"&amp;$C36&amp;"_Levels"),1,MATCH(U$31,WTPCore2_AttLevels,0))</f>
        <v>8.3333333333333332E-3</v>
      </c>
      <c r="V36" s="89">
        <f ca="1">INDEX(INDIRECT("CAM_WTPCore2_"&amp;$C36&amp;"_LevelValues"),1,MATCH("S1 MEAN",WTPCore2_LevelValues,0))</f>
        <v>1.0483009561625427</v>
      </c>
      <c r="W36" s="89">
        <f ca="1">INDEX(INDIRECT("CAM_WTPCore2_"&amp;$C36&amp;"_LevelValues"),1,MATCH("S2 MEAN",WTPCore2_LevelValues,0))</f>
        <v>1.4106837870846367</v>
      </c>
      <c r="X36" s="89">
        <f ca="1">SUM(V36:W36)</f>
        <v>2.4589847432471794</v>
      </c>
      <c r="Y36" s="147">
        <f ca="1">VLOOKUP($A36,$A$5:$AB$15,COLUMN($AB$5),0)</f>
        <v>10.303057064217482</v>
      </c>
      <c r="Z36" s="266">
        <f ca="1">Y36*(S36-U36)</f>
        <v>4.2929404434239517E-2</v>
      </c>
      <c r="AA36" s="429">
        <f ca="1">INDEX(INDIRECT("CAM_WTPCore_"&amp;$C36&amp;"_UnitValues"),MATCH("COMBINED-HH",WTPCore_Group,0),MATCH("MEAN",LMH,0))</f>
        <v>501.11390007890685</v>
      </c>
      <c r="AB36" s="429">
        <f ca="1">AA36*($S36-$U36)*(AllProps_CAM/HHProps_CAM)</f>
        <v>2.2200000000000002</v>
      </c>
      <c r="AC36" s="89">
        <f ca="1">INDEX(INDIRECT("CAM_WTPCore2_"&amp;$C36&amp;"_UnitValues"),1,MATCH("MEAN",LMH,0))</f>
        <v>555.0592049203259</v>
      </c>
      <c r="AD36" s="429">
        <f ca="1">AC36*($S36-$U36)*(AllProps_CAM/HHProps_CAM)</f>
        <v>2.4589847432471794</v>
      </c>
      <c r="AE36" s="10">
        <f t="shared" ca="1" si="12"/>
        <v>7.2019161461280248E-2</v>
      </c>
      <c r="AF36" s="23" t="s">
        <v>127</v>
      </c>
      <c r="AG36" s="270">
        <f ca="1">(AE36*HHProps_CAM)/((S36-U36)*AllProps_CAM)</f>
        <v>16.256667964087679</v>
      </c>
    </row>
    <row r="37" spans="1:38" x14ac:dyDescent="0.35">
      <c r="A37" s="7"/>
      <c r="B37" s="7"/>
      <c r="C37" s="7"/>
      <c r="D37" s="7"/>
      <c r="E37" s="7"/>
      <c r="F37" s="7"/>
      <c r="G37" s="7"/>
      <c r="H37" s="7"/>
      <c r="L37" s="429"/>
      <c r="M37" s="429"/>
      <c r="N37" s="89"/>
      <c r="O37" s="429"/>
      <c r="Q37" s="7"/>
      <c r="R37" s="7"/>
      <c r="S37" s="7"/>
      <c r="T37" s="7"/>
      <c r="U37" s="7"/>
      <c r="V37" s="7"/>
      <c r="W37" s="7"/>
      <c r="AD37" s="7"/>
      <c r="AF37" s="7"/>
      <c r="AG37" s="7"/>
      <c r="AH37" s="7"/>
      <c r="AI37" s="7"/>
      <c r="AJ37" s="7"/>
      <c r="AK37" s="7"/>
      <c r="AL37" s="7"/>
    </row>
    <row r="38" spans="1:38" s="133" customFormat="1" x14ac:dyDescent="0.35">
      <c r="A38" s="134"/>
      <c r="B38" s="134"/>
      <c r="C38" s="134"/>
      <c r="D38" s="92"/>
      <c r="E38" s="92"/>
      <c r="F38" s="92"/>
      <c r="G38" s="4"/>
      <c r="H38" s="4"/>
      <c r="I38" s="92">
        <f ca="1">SUM(I32:I36)</f>
        <v>7.6687233011539728</v>
      </c>
      <c r="J38" s="267">
        <f ca="1">SUM(J32:J36)</f>
        <v>1440.2644513059347</v>
      </c>
      <c r="K38" s="267">
        <f ca="1">SUM(K32:K36)</f>
        <v>9.834659052718937</v>
      </c>
      <c r="L38" s="92"/>
      <c r="M38" s="34">
        <f ca="1">SUM(M32:M36)</f>
        <v>7.4113372464123906</v>
      </c>
      <c r="N38" s="33"/>
      <c r="O38" s="34">
        <f ca="1">SUM(O32:O36)</f>
        <v>7.6687233011539728</v>
      </c>
      <c r="P38" s="92">
        <f ca="1">SUM(P32:P36)</f>
        <v>7.5400302737831817</v>
      </c>
      <c r="Q38" s="33"/>
      <c r="R38" s="33"/>
      <c r="S38" s="32"/>
      <c r="T38" s="33"/>
      <c r="U38" s="33"/>
      <c r="V38" s="33"/>
      <c r="W38" s="34"/>
      <c r="X38" s="92">
        <f ca="1">SUM(X32:X36)</f>
        <v>10.455843980323323</v>
      </c>
      <c r="Y38" s="267">
        <f ca="1">SUM(Y32:Y36)</f>
        <v>547.31013752700483</v>
      </c>
      <c r="Z38" s="267">
        <f ca="1">SUM(Z32:Z36)</f>
        <v>4.9467071010241126</v>
      </c>
      <c r="AA38" s="92"/>
      <c r="AB38" s="34">
        <f ca="1">SUM(AB32:AB36)</f>
        <v>6.1415303417939455</v>
      </c>
      <c r="AC38" s="34"/>
      <c r="AD38" s="92">
        <f ca="1">SUM(AD32:AD36)</f>
        <v>10.455843980323323</v>
      </c>
      <c r="AE38" s="92">
        <f ca="1">SUM(AE32:AE36)</f>
        <v>8.2986871610586341</v>
      </c>
      <c r="AF38" s="134"/>
      <c r="AG38" s="134"/>
    </row>
    <row r="39" spans="1:38" x14ac:dyDescent="0.35">
      <c r="A39" s="7"/>
      <c r="B39" s="7"/>
      <c r="C39" s="7"/>
      <c r="D39" s="7"/>
      <c r="E39" s="7"/>
      <c r="F39" s="7"/>
      <c r="G39" s="7"/>
      <c r="H39" s="7"/>
      <c r="I39" s="7"/>
      <c r="J39" s="7"/>
      <c r="K39" s="7"/>
      <c r="L39" s="7"/>
      <c r="M39" s="3" t="s">
        <v>641</v>
      </c>
      <c r="N39" s="194">
        <f ca="1">AVERAGE(M38,O38)</f>
        <v>7.5400302737831817</v>
      </c>
      <c r="O39" s="7"/>
      <c r="P39" s="7"/>
      <c r="Q39" s="7"/>
      <c r="R39" s="7"/>
      <c r="S39" s="7"/>
      <c r="T39" s="7"/>
      <c r="U39" s="7"/>
      <c r="V39" s="7"/>
      <c r="W39" s="7"/>
      <c r="X39" s="7"/>
      <c r="Y39" s="7"/>
      <c r="Z39" s="7"/>
      <c r="AA39" s="7"/>
      <c r="AB39" s="3" t="s">
        <v>641</v>
      </c>
      <c r="AC39" s="194">
        <f ca="1">AVERAGE(AB38,AD38)</f>
        <v>8.2986871610586341</v>
      </c>
      <c r="AD39" s="7"/>
      <c r="AE39" s="7"/>
      <c r="AF39" s="7"/>
      <c r="AG39" s="7"/>
      <c r="AH39" s="7"/>
      <c r="AI39" s="7"/>
      <c r="AJ39" s="7"/>
      <c r="AK39" s="7"/>
      <c r="AL39" s="7"/>
    </row>
    <row r="40" spans="1:38" x14ac:dyDescent="0.35">
      <c r="A40" s="51" t="s">
        <v>655</v>
      </c>
      <c r="B40" s="51" t="s">
        <v>675</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row>
    <row r="41" spans="1:38" x14ac:dyDescent="0.35">
      <c r="A41" s="7" t="s">
        <v>131</v>
      </c>
      <c r="B41" s="7" t="s">
        <v>442</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row>
    <row r="42" spans="1:38" x14ac:dyDescent="0.35">
      <c r="A42" s="7" t="s">
        <v>129</v>
      </c>
      <c r="B42" s="7" t="s">
        <v>441</v>
      </c>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row>
    <row r="43" spans="1:38" x14ac:dyDescent="0.35">
      <c r="A43" s="7" t="s">
        <v>137</v>
      </c>
      <c r="B43" s="7" t="s">
        <v>446</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row>
    <row r="44" spans="1:38" x14ac:dyDescent="0.35">
      <c r="A44" s="7" t="s">
        <v>125</v>
      </c>
      <c r="B44" s="7" t="s">
        <v>431</v>
      </c>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row>
    <row r="45" spans="1:38" x14ac:dyDescent="0.35">
      <c r="A45" s="5"/>
    </row>
    <row r="46" spans="1:38" x14ac:dyDescent="0.35"/>
    <row r="47" spans="1:38" x14ac:dyDescent="0.35"/>
    <row r="48" spans="1:3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sheetData>
  <mergeCells count="6">
    <mergeCell ref="AE30:AE31"/>
    <mergeCell ref="J30:J31"/>
    <mergeCell ref="K30:K31"/>
    <mergeCell ref="P30:P31"/>
    <mergeCell ref="Y30:Y31"/>
    <mergeCell ref="Z30:Z31"/>
  </mergeCell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86852-B91E-441D-9AE6-9083FC5CE06E}">
  <sheetPr codeName="Sheet19">
    <tabColor rgb="FFC00000"/>
  </sheetPr>
  <dimension ref="A1:AU52"/>
  <sheetViews>
    <sheetView zoomScale="70" zoomScaleNormal="70" workbookViewId="0">
      <pane xSplit="1" ySplit="3" topLeftCell="B4" activePane="bottomRight" state="frozen"/>
      <selection pane="topRight" activeCell="C49" sqref="C49"/>
      <selection pane="bottomLeft" activeCell="C49" sqref="C49"/>
      <selection pane="bottomRight" activeCell="U25" sqref="U25"/>
    </sheetView>
  </sheetViews>
  <sheetFormatPr defaultColWidth="0" defaultRowHeight="14.5" zeroHeight="1" x14ac:dyDescent="0.35"/>
  <cols>
    <col min="1" max="2" width="55.81640625" customWidth="1"/>
    <col min="3" max="3" width="27" customWidth="1"/>
    <col min="4" max="4" width="21.7265625" customWidth="1"/>
    <col min="5" max="10" width="13.54296875" customWidth="1"/>
    <col min="11" max="11" width="15" customWidth="1"/>
    <col min="12" max="16" width="17.1796875" customWidth="1"/>
    <col min="17" max="17" width="17.26953125" customWidth="1"/>
    <col min="18" max="18" width="18.81640625" customWidth="1"/>
    <col min="19" max="19" width="17" customWidth="1"/>
    <col min="20" max="20" width="23.81640625" customWidth="1"/>
    <col min="21" max="26" width="13.1796875" customWidth="1"/>
    <col min="27" max="27" width="15" customWidth="1"/>
    <col min="28" max="32" width="18" customWidth="1"/>
    <col min="33" max="33" width="21.26953125" customWidth="1"/>
    <col min="34" max="34" width="18.81640625" customWidth="1"/>
    <col min="35" max="35" width="17" customWidth="1"/>
    <col min="36" max="36" width="9.1796875" customWidth="1"/>
    <col min="37" max="39" width="9.1796875" hidden="1" customWidth="1"/>
    <col min="40" max="47" width="0" hidden="1" customWidth="1"/>
    <col min="48" max="16384" width="9.1796875" hidden="1"/>
  </cols>
  <sheetData>
    <row r="1" spans="1:37" s="228" customFormat="1" ht="28.5" x14ac:dyDescent="0.65">
      <c r="A1" s="76" t="s">
        <v>213</v>
      </c>
      <c r="B1" s="76"/>
      <c r="C1" s="76"/>
      <c r="D1" s="76"/>
      <c r="E1" s="76"/>
      <c r="F1" s="76"/>
      <c r="G1" s="76"/>
      <c r="H1" s="76"/>
      <c r="I1" s="76"/>
      <c r="J1" s="76"/>
      <c r="K1" s="76"/>
      <c r="L1" s="76"/>
      <c r="M1" s="76"/>
      <c r="N1" s="76"/>
      <c r="O1" s="76"/>
      <c r="P1" s="76"/>
      <c r="Q1" s="76"/>
      <c r="R1" s="76"/>
      <c r="S1" s="76"/>
      <c r="T1" s="835" t="s">
        <v>643</v>
      </c>
      <c r="U1" s="76"/>
      <c r="V1" s="76"/>
      <c r="W1" s="76"/>
      <c r="X1" s="76"/>
      <c r="Y1" s="76"/>
      <c r="Z1" s="76"/>
      <c r="AA1" s="76"/>
      <c r="AB1" s="76"/>
      <c r="AC1" s="76"/>
      <c r="AD1" s="76"/>
      <c r="AE1" s="76"/>
      <c r="AF1" s="76"/>
      <c r="AG1" s="76"/>
      <c r="AH1" s="76"/>
      <c r="AI1" s="76"/>
    </row>
    <row r="2" spans="1:37" ht="24" customHeight="1" x14ac:dyDescent="0.45">
      <c r="A2" s="311"/>
      <c r="B2" s="311"/>
      <c r="C2" s="311"/>
      <c r="D2" s="126" t="s">
        <v>294</v>
      </c>
      <c r="E2" s="126"/>
      <c r="F2" s="126"/>
      <c r="G2" s="126"/>
      <c r="H2" s="126"/>
      <c r="I2" s="126"/>
      <c r="J2" s="126"/>
      <c r="K2" s="126"/>
      <c r="L2" s="126"/>
      <c r="M2" s="126"/>
      <c r="N2" s="126"/>
      <c r="O2" s="126"/>
      <c r="P2" s="126"/>
      <c r="Q2" s="126"/>
      <c r="R2" s="126"/>
      <c r="S2" s="126"/>
      <c r="T2" s="233" t="s">
        <v>295</v>
      </c>
      <c r="U2" s="233"/>
      <c r="V2" s="233"/>
      <c r="W2" s="233"/>
      <c r="X2" s="233"/>
      <c r="Y2" s="233"/>
      <c r="Z2" s="233"/>
      <c r="AA2" s="233"/>
      <c r="AB2" s="233"/>
      <c r="AC2" s="233"/>
      <c r="AD2" s="233"/>
      <c r="AE2" s="233"/>
      <c r="AF2" s="233"/>
      <c r="AG2" s="233"/>
      <c r="AH2" s="233"/>
      <c r="AI2" s="233"/>
      <c r="AJ2" s="7"/>
      <c r="AK2" s="7"/>
    </row>
    <row r="3" spans="1:37" ht="16.5" customHeight="1" x14ac:dyDescent="0.45">
      <c r="A3" s="85" t="s">
        <v>676</v>
      </c>
      <c r="B3" s="85"/>
      <c r="C3" s="311"/>
      <c r="D3" s="312"/>
      <c r="E3" s="148" t="s">
        <v>677</v>
      </c>
      <c r="F3" s="148"/>
      <c r="G3" s="148"/>
      <c r="H3" s="148" t="s">
        <v>678</v>
      </c>
      <c r="I3" s="313"/>
      <c r="J3" s="313"/>
      <c r="K3" s="320"/>
      <c r="L3" s="314"/>
      <c r="M3" s="314"/>
      <c r="N3" s="314"/>
      <c r="O3" s="314"/>
      <c r="P3" s="314"/>
      <c r="Q3" s="314"/>
      <c r="R3" s="313"/>
      <c r="S3" s="313"/>
      <c r="T3" s="316"/>
      <c r="U3" s="148" t="s">
        <v>677</v>
      </c>
      <c r="V3" s="148"/>
      <c r="W3" s="148"/>
      <c r="X3" s="148" t="s">
        <v>678</v>
      </c>
      <c r="Y3" s="148"/>
      <c r="Z3" s="148"/>
      <c r="AA3" s="320"/>
      <c r="AB3" s="313"/>
      <c r="AC3" s="313"/>
      <c r="AD3" s="313"/>
      <c r="AE3" s="313"/>
      <c r="AF3" s="313"/>
      <c r="AG3" s="313"/>
      <c r="AH3" s="313"/>
      <c r="AI3" s="313"/>
      <c r="AJ3" s="7"/>
      <c r="AK3" s="7"/>
    </row>
    <row r="4" spans="1:37" ht="27.75" customHeight="1" x14ac:dyDescent="0.45">
      <c r="A4" s="85"/>
      <c r="B4" s="85"/>
      <c r="C4" s="311"/>
      <c r="D4" s="834" t="s">
        <v>679</v>
      </c>
      <c r="E4" s="88" t="s">
        <v>350</v>
      </c>
      <c r="F4" s="88" t="s">
        <v>351</v>
      </c>
      <c r="G4" s="88" t="s">
        <v>352</v>
      </c>
      <c r="H4" s="88" t="s">
        <v>353</v>
      </c>
      <c r="I4" s="88" t="s">
        <v>354</v>
      </c>
      <c r="J4" s="88" t="s">
        <v>355</v>
      </c>
      <c r="K4" s="251" t="s">
        <v>680</v>
      </c>
      <c r="L4" s="88" t="s">
        <v>674</v>
      </c>
      <c r="M4" s="600" t="s">
        <v>356</v>
      </c>
      <c r="N4" s="600" t="s">
        <v>357</v>
      </c>
      <c r="O4" s="600" t="s">
        <v>358</v>
      </c>
      <c r="P4" s="598" t="s">
        <v>359</v>
      </c>
      <c r="Q4" s="88" t="s">
        <v>346</v>
      </c>
      <c r="R4" s="189" t="s">
        <v>124</v>
      </c>
      <c r="S4" s="88" t="s">
        <v>681</v>
      </c>
      <c r="T4" s="88" t="s">
        <v>682</v>
      </c>
      <c r="U4" s="88" t="s">
        <v>350</v>
      </c>
      <c r="V4" s="88" t="s">
        <v>351</v>
      </c>
      <c r="W4" s="88" t="s">
        <v>352</v>
      </c>
      <c r="X4" s="88" t="s">
        <v>353</v>
      </c>
      <c r="Y4" s="88" t="s">
        <v>354</v>
      </c>
      <c r="Z4" s="88" t="s">
        <v>355</v>
      </c>
      <c r="AA4" s="251" t="s">
        <v>680</v>
      </c>
      <c r="AB4" s="88" t="s">
        <v>674</v>
      </c>
      <c r="AC4" s="598" t="s">
        <v>356</v>
      </c>
      <c r="AD4" s="598" t="s">
        <v>357</v>
      </c>
      <c r="AE4" s="598" t="s">
        <v>358</v>
      </c>
      <c r="AF4" s="598" t="s">
        <v>359</v>
      </c>
      <c r="AG4" s="88" t="s">
        <v>346</v>
      </c>
      <c r="AH4" s="189" t="s">
        <v>124</v>
      </c>
      <c r="AI4" s="88" t="s">
        <v>681</v>
      </c>
      <c r="AJ4" s="7"/>
      <c r="AK4" s="7"/>
    </row>
    <row r="5" spans="1:37" x14ac:dyDescent="0.35">
      <c r="A5" s="52" t="s">
        <v>683</v>
      </c>
      <c r="B5" s="52"/>
      <c r="C5" s="52" t="s">
        <v>123</v>
      </c>
      <c r="D5" s="836" t="s">
        <v>684</v>
      </c>
      <c r="E5" s="838"/>
      <c r="F5" s="838"/>
      <c r="G5" s="838"/>
      <c r="H5" s="838"/>
      <c r="I5" s="838"/>
      <c r="J5" s="86"/>
      <c r="K5" s="187"/>
      <c r="L5" s="54"/>
      <c r="M5" s="54"/>
      <c r="N5" s="54"/>
      <c r="O5" s="54"/>
      <c r="P5" s="54"/>
      <c r="Q5" s="54"/>
      <c r="R5" s="189"/>
      <c r="S5" s="86"/>
      <c r="T5" s="322" t="s">
        <v>685</v>
      </c>
      <c r="U5" s="86"/>
      <c r="V5" s="86"/>
      <c r="W5" s="86"/>
      <c r="X5" s="86"/>
      <c r="Y5" s="86"/>
      <c r="Z5" s="86"/>
      <c r="AA5" s="86"/>
      <c r="AB5" s="86"/>
      <c r="AC5" s="86"/>
      <c r="AD5" s="86"/>
      <c r="AE5" s="86"/>
      <c r="AF5" s="86"/>
      <c r="AG5" s="86"/>
      <c r="AH5" s="210"/>
      <c r="AI5" s="86"/>
      <c r="AJ5" s="7"/>
      <c r="AK5" s="7"/>
    </row>
    <row r="6" spans="1:37" x14ac:dyDescent="0.35">
      <c r="A6" s="7" t="s">
        <v>129</v>
      </c>
      <c r="B6" s="5" t="s">
        <v>275</v>
      </c>
      <c r="C6" s="7" t="s">
        <v>130</v>
      </c>
      <c r="D6" s="837">
        <v>0.77</v>
      </c>
      <c r="E6" s="323">
        <f ca="1">INDEX(INDIRECT("SSW_WTPCore2_"&amp;$C6&amp;"_Levels"),1,MATCH(E$4,WTPCore2_AttLevels,0))</f>
        <v>6.6666666666666666E-2</v>
      </c>
      <c r="F6" s="323"/>
      <c r="G6" s="323">
        <f ca="1">INDEX(INDIRECT("SSW_WTPCore2_"&amp;$C6&amp;"_Levels"),1,MATCH(G$4,WTPCore2_AttLevels,0))</f>
        <v>0.04</v>
      </c>
      <c r="H6" s="324">
        <f ca="1">INDEX(INDIRECT("SSW_WTPCore2_"&amp;$C6&amp;"_LevelValues"),1,MATCH("S1 MEAN",WTPCore2_LevelValues,0))</f>
        <v>3.3679929677046498</v>
      </c>
      <c r="I6" s="324">
        <f ca="1">INDEX(INDIRECT("SSW_WTPCore2_"&amp;$C6&amp;"_LevelValues"),1,MATCH("S2 MEAN",WTPCore2_LevelValues,0))</f>
        <v>0.60669022375558512</v>
      </c>
      <c r="J6" s="324">
        <f ca="1">SUM(H6:I6)</f>
        <v>3.974683191460235</v>
      </c>
      <c r="K6" s="746">
        <f>MAX(D6,0)</f>
        <v>0.77</v>
      </c>
      <c r="L6" s="231">
        <f ca="1">100*K6*(E6-G6)</f>
        <v>2.0533333333333332</v>
      </c>
      <c r="M6" s="429">
        <f ca="1">INDEX(INDIRECT("SSW_WTPCore_DCE_"&amp;$C6&amp;"_UnitValues"),MATCH("COMBINED-HH",WTPCore_Group,0),MATCH("MEAN",LMH,0))</f>
        <v>28.111247840776404</v>
      </c>
      <c r="N6" s="429">
        <f ca="1">M6*($E6-$G6)*(AllProps_SSW/HHProps_SSW)</f>
        <v>0.79130635838150276</v>
      </c>
      <c r="O6" s="89">
        <f ca="1">INDEX(INDIRECT("SSW_WTPCore2_"&amp;$C6&amp;"_UnitValues"),1,MATCH("MEAN",LMH,0))</f>
        <v>141.20106972505607</v>
      </c>
      <c r="P6" s="429">
        <f ca="1">O6*($E6-$G6)*(AllProps_SSW/HHProps_SSW)</f>
        <v>3.9746831914602345</v>
      </c>
      <c r="Q6" s="324">
        <f ca="1">L6*O$14/L$13</f>
        <v>2.3048003564034572</v>
      </c>
      <c r="R6" s="133" t="s">
        <v>127</v>
      </c>
      <c r="S6" s="367">
        <f ca="1">(Q6*HHProps_SSW)/((E6-G6)*AllProps_SSW)</f>
        <v>81.87829322499968</v>
      </c>
      <c r="T6" s="119">
        <v>-0.38</v>
      </c>
      <c r="U6" s="323">
        <f ca="1">INDEX(INDIRECT("CAM_WTPCore2_"&amp;$C6&amp;"_Levels"),1,MATCH(U$4,WTPCore2_AttLevels,0))</f>
        <v>2.2222222222222223E-2</v>
      </c>
      <c r="V6" s="323"/>
      <c r="W6" s="323">
        <f ca="1">INDEX(INDIRECT("CAM_WTPCore2_"&amp;$C6&amp;"_Levels"),1,MATCH(W$4,WTPCore2_AttLevels,0))</f>
        <v>1.5384615384615385E-2</v>
      </c>
      <c r="X6" s="324">
        <f ca="1">INDEX(INDIRECT("CAM_WTPCore2_"&amp;$C6&amp;"_LevelValues"),1,MATCH("S1 MEAN",WTPCore2_LevelValues,0))</f>
        <v>3.1155463151224057</v>
      </c>
      <c r="Y6" s="324">
        <f ca="1">INDEX(INDIRECT("CAM_WTPCore2_"&amp;$C6&amp;"_LevelValues"),1,MATCH("S2 MEAN",WTPCore2_LevelValues,0))</f>
        <v>1.3419840000849801</v>
      </c>
      <c r="Z6" s="324">
        <f ca="1">SUM(X6:Y6)</f>
        <v>4.4575303152073857</v>
      </c>
      <c r="AA6" s="72">
        <f>MAX(-T6,0)</f>
        <v>0.38</v>
      </c>
      <c r="AB6" s="231">
        <f ca="1">100*AA6*(U6-W6)</f>
        <v>0.25982905982905985</v>
      </c>
      <c r="AC6" s="429">
        <f ca="1">INDEX(INDIRECT("CAM_WTPCore_"&amp;$C6&amp;"_UnitValues"),MATCH("COMBINED-HH",WTPCore_Group,0),MATCH("MEAN",LMH,0))</f>
        <v>308.90334405201918</v>
      </c>
      <c r="AD6" s="429">
        <f ca="1">AC6*($U6-$W6)*(AllProps_CAM/HHProps_CAM)</f>
        <v>2.2457142857142856</v>
      </c>
      <c r="AE6" s="89">
        <f ca="1">INDEX(INDIRECT("CAM_WTPCore2_"&amp;$C6&amp;"_UnitValues"),1,MATCH("MEAN",LMH,0))</f>
        <v>613.1439022942551</v>
      </c>
      <c r="AF6" s="429">
        <f ca="1">AE6*($U6-$W6)*(AllProps_CAM/HHProps_CAM)</f>
        <v>4.4575303152073857</v>
      </c>
      <c r="AG6" s="324">
        <f ca="1">AB6*AF$14/AB$13</f>
        <v>1.4772252749934793</v>
      </c>
      <c r="AH6" s="133" t="s">
        <v>127</v>
      </c>
      <c r="AI6" s="367">
        <f ca="1">(AG6*HHProps_CAM)/((U6-W6)*AllProps_CAM)</f>
        <v>203.19585187948766</v>
      </c>
      <c r="AJ6" s="7"/>
      <c r="AK6" s="7"/>
    </row>
    <row r="7" spans="1:37" x14ac:dyDescent="0.35">
      <c r="A7" s="7" t="s">
        <v>686</v>
      </c>
      <c r="B7" s="738" t="s">
        <v>275</v>
      </c>
      <c r="C7" s="7" t="s">
        <v>132</v>
      </c>
      <c r="D7" s="837">
        <v>0.77</v>
      </c>
      <c r="E7" s="323">
        <f ca="1">INDEX(INDIRECT("SSW_WTPCore2_"&amp;$C7&amp;"_Levels"),1,MATCH(E$4,WTPCore2_AttLevels,0))</f>
        <v>1.6666666666666666E-2</v>
      </c>
      <c r="F7" s="323"/>
      <c r="G7" s="323">
        <f ca="1">INDEX(INDIRECT("SSW_WTPCore2_"&amp;$C7&amp;"_Levels"),1,MATCH(G$4,WTPCore2_AttLevels,0))</f>
        <v>1.1111111111111112E-2</v>
      </c>
      <c r="H7" s="324">
        <f ca="1">INDEX(INDIRECT("SSW_WTPCore2_"&amp;$C7&amp;"_LevelValues"),1,MATCH("S1 MEAN",WTPCore2_LevelValues,0))</f>
        <v>0.30818609087835352</v>
      </c>
      <c r="I7" s="324">
        <f ca="1">INDEX(INDIRECT("SSW_WTPCore2_"&amp;$C7&amp;"_LevelValues"),1,MATCH("S2 MEAN",WTPCore2_LevelValues,0))</f>
        <v>0.18578205633963885</v>
      </c>
      <c r="J7" s="324">
        <f ca="1">SUM(H7:I7)</f>
        <v>0.49396814721799237</v>
      </c>
      <c r="K7" s="746">
        <f t="shared" ref="K7:K9" si="0">MAX(D7,0)</f>
        <v>0.77</v>
      </c>
      <c r="L7" s="231">
        <f ca="1">100*K7*(E7-G7)</f>
        <v>0.4277777777777777</v>
      </c>
      <c r="M7" s="429">
        <f ca="1">INDEX(INDIRECT("SSW_WTPCore_DCE_"&amp;$C7&amp;"_UnitValues"),MATCH("COMBINED-HH",WTPCore_Group,0),MATCH("MEAN",LMH,0))</f>
        <v>173.83878023943072</v>
      </c>
      <c r="N7" s="429">
        <f ca="1">M7*($E7-$G7)*(AllProps_SSW/HHProps_SSW)</f>
        <v>1.0194594594594593</v>
      </c>
      <c r="O7" s="89">
        <f ca="1">INDEX(INDIRECT("SSW_WTPCore2_"&amp;$C7&amp;"_UnitValues"),1,MATCH("MEAN",LMH,0))</f>
        <v>84.231716516748989</v>
      </c>
      <c r="P7" s="429">
        <f ca="1">O7*($E7-$G7)*(AllProps_SSW/HHProps_SSW)</f>
        <v>0.49396814721799237</v>
      </c>
      <c r="Q7" s="324">
        <f ca="1">L7*O$14/L$13</f>
        <v>0.48016674091738692</v>
      </c>
      <c r="R7" s="133" t="s">
        <v>127</v>
      </c>
      <c r="S7" s="367">
        <f ca="1">(Q7*HHProps_SSW)/((E7-G7)*AllProps_SSW)</f>
        <v>81.87829322499968</v>
      </c>
      <c r="T7" s="119">
        <v>-7.0000000000000007E-2</v>
      </c>
      <c r="U7" s="323">
        <f ca="1">INDEX(INDIRECT("CAM_WTPCore2_"&amp;$C7&amp;"_Levels"),1,MATCH(U$4,WTPCore2_AttLevels,0))</f>
        <v>1.4285714285714285E-2</v>
      </c>
      <c r="V7" s="323"/>
      <c r="W7" s="323">
        <f ca="1">INDEX(INDIRECT("CAM_WTPCore2_"&amp;$C7&amp;"_Levels"),1,MATCH(W$4,WTPCore2_AttLevels,0))</f>
        <v>0.01</v>
      </c>
      <c r="X7" s="324">
        <f ca="1">INDEX(INDIRECT("CAM_WTPCore2_"&amp;$C7&amp;"_LevelValues"),1,MATCH("S1 MEAN",WTPCore2_LevelValues,0))</f>
        <v>4.7204807663126298E-2</v>
      </c>
      <c r="Y7" s="324">
        <f ca="1">INDEX(INDIRECT("CAM_WTPCore2_"&amp;$C7&amp;"_LevelValues"),1,MATCH("S2 MEAN",WTPCore2_LevelValues,0))</f>
        <v>0.1217094578997745</v>
      </c>
      <c r="Z7" s="324">
        <f ca="1">SUM(X7:Y7)</f>
        <v>0.16891426556290079</v>
      </c>
      <c r="AA7" s="145">
        <f>MAX(-T7,0)</f>
        <v>7.0000000000000007E-2</v>
      </c>
      <c r="AB7" s="231">
        <f ca="1">100*AA7*(U7-W7)</f>
        <v>0.03</v>
      </c>
      <c r="AC7" s="429">
        <f ca="1">INDEX(INDIRECT("CAM_WTPCore_"&amp;$C7&amp;"_UnitValues"),MATCH("COMBINED-HH",WTPCore_Group,0),MATCH("MEAN",LMH,0))</f>
        <v>207.69569571588755</v>
      </c>
      <c r="AD7" s="429">
        <f ca="1">AC7*($U7-$W7)*(AllProps_CAM/HHProps_CAM)</f>
        <v>0.94640816326530586</v>
      </c>
      <c r="AE7" s="89">
        <f ca="1">INDEX(INDIRECT("CAM_WTPCore2_"&amp;$C7&amp;"_UnitValues"),1,MATCH("MEAN",LMH,0))</f>
        <v>37.069382180075451</v>
      </c>
      <c r="AF7" s="429">
        <f ca="1">AE7*($U7-$W7)*(AllProps_CAM/HHProps_CAM)</f>
        <v>0.16891426556290079</v>
      </c>
      <c r="AG7" s="324">
        <f ca="1">AB7*AF$14/AB$13</f>
        <v>0.17056120773773395</v>
      </c>
      <c r="AH7" s="133" t="s">
        <v>127</v>
      </c>
      <c r="AI7" s="367">
        <f ca="1">(AG7*HHProps_CAM)/((U7-W7)*AllProps_CAM)</f>
        <v>37.430814819905635</v>
      </c>
      <c r="AJ7" s="7"/>
      <c r="AK7" s="7"/>
    </row>
    <row r="8" spans="1:37" x14ac:dyDescent="0.35">
      <c r="A8" s="123" t="s">
        <v>687</v>
      </c>
      <c r="B8" s="5" t="s">
        <v>278</v>
      </c>
      <c r="C8" s="123" t="s">
        <v>138</v>
      </c>
      <c r="D8" s="837">
        <v>0.53</v>
      </c>
      <c r="E8" s="323">
        <f ca="1">INDEX(INDIRECT("SSW_WTPCore2_"&amp;$C8&amp;"_Levels"),1,MATCH(E$4,WTPCore2_AttLevels,0))</f>
        <v>1.4285714285714285E-2</v>
      </c>
      <c r="F8" s="323"/>
      <c r="G8" s="323">
        <f ca="1">INDEX(INDIRECT("SSW_WTPCore2_"&amp;$C8&amp;"_Levels"),1,MATCH(G$4,WTPCore2_AttLevels,0))</f>
        <v>9.5238095238095247E-3</v>
      </c>
      <c r="H8" s="324">
        <f ca="1">INDEX(INDIRECT("SSW_WTPCore2_"&amp;$C8&amp;"_LevelValues"),1,MATCH("S1 MEAN",WTPCore2_LevelValues,0))</f>
        <v>0.39718669024665654</v>
      </c>
      <c r="I8" s="324">
        <f ca="1">INDEX(INDIRECT("SSW_WTPCore2_"&amp;$C8&amp;"_LevelValues"),1,MATCH("S2 MEAN",WTPCore2_LevelValues,0))</f>
        <v>0.53859352958370721</v>
      </c>
      <c r="J8" s="324">
        <f ca="1">SUM(H8:I8)</f>
        <v>0.93578021983036375</v>
      </c>
      <c r="K8" s="746">
        <f t="shared" si="0"/>
        <v>0.53</v>
      </c>
      <c r="L8" s="231">
        <f ca="1">100*K8*(E8-G8)</f>
        <v>0.25238095238095232</v>
      </c>
      <c r="M8" s="429">
        <f ca="1">INDEX(INDIRECT("SSW_WTPCore_DCE_"&amp;$C8&amp;"_UnitValues"),MATCH("COMBINED-HH",WTPCore_Group,0),MATCH("MEAN",LMH,0))</f>
        <v>162.10819588181059</v>
      </c>
      <c r="N8" s="429">
        <f ca="1">M8*($E8-$G8)*(AllProps_SSW/HHProps_SSW)</f>
        <v>0.8148571428571425</v>
      </c>
      <c r="O8" s="89">
        <f ca="1">INDEX(INDIRECT("SSW_WTPCore2_"&amp;$C8&amp;"_UnitValues"),1,MATCH("MEAN",LMH,0))</f>
        <v>186.16470937063306</v>
      </c>
      <c r="P8" s="429">
        <f ca="1">O8*($E8-$G8)*(AllProps_SSW/HHProps_SSW)</f>
        <v>0.93578021983036375</v>
      </c>
      <c r="Q8" s="324">
        <f ca="1">L8*O$14/L$13</f>
        <v>0.28328946866740073</v>
      </c>
      <c r="R8" s="133" t="s">
        <v>127</v>
      </c>
      <c r="S8" s="367">
        <f ca="1">(Q8*HHProps_SSW)/((E8-G8)*AllProps_SSW)</f>
        <v>56.357786245778996</v>
      </c>
      <c r="T8" s="119">
        <v>-0.27</v>
      </c>
      <c r="U8" s="323">
        <f ca="1">INDEX(INDIRECT("CAM_WTPCore2_"&amp;$C8&amp;"_Levels"),1,MATCH(U$4,WTPCore2_AttLevels,0))</f>
        <v>2.5000000000000001E-2</v>
      </c>
      <c r="V8" s="323"/>
      <c r="W8" s="323">
        <f ca="1">INDEX(INDIRECT("CAM_WTPCore2_"&amp;$C8&amp;"_Levels"),1,MATCH(W$4,WTPCore2_AttLevels,0))</f>
        <v>1.6666666666666666E-2</v>
      </c>
      <c r="X8" s="324">
        <f ca="1">INDEX(INDIRECT("CAM_WTPCore2_"&amp;$C8&amp;"_LevelValues"),1,MATCH("S1 MEAN",WTPCore2_LevelValues,0))</f>
        <v>5.3490671066612649E-2</v>
      </c>
      <c r="Y8" s="324">
        <f ca="1">INDEX(INDIRECT("CAM_WTPCore2_"&amp;$C8&amp;"_LevelValues"),1,MATCH("S2 MEAN",WTPCore2_LevelValues,0))</f>
        <v>0.33457681646237136</v>
      </c>
      <c r="Z8" s="324">
        <f ca="1">SUM(X8:Y8)</f>
        <v>0.38806748752898401</v>
      </c>
      <c r="AA8" s="145">
        <f>MAX(-T8,0)</f>
        <v>0.27</v>
      </c>
      <c r="AB8" s="231">
        <f ca="1">100*AA8*(U8-W8)</f>
        <v>0.22500000000000003</v>
      </c>
      <c r="AC8" s="429">
        <f ca="1">INDEX(INDIRECT("CAM_WTPCore_"&amp;$C8&amp;"_UnitValues"),MATCH("COMBINED-HH",WTPCore_Group,0),MATCH("MEAN",LMH,0))</f>
        <v>28.26566546881222</v>
      </c>
      <c r="AD8" s="429">
        <f ca="1">AC8*($U8-$W8)*(AllProps_CAM/HHProps_CAM)</f>
        <v>0.25044117647058828</v>
      </c>
      <c r="AE8" s="89">
        <f ca="1">INDEX(INDIRECT("CAM_WTPCore2_"&amp;$C8&amp;"_UnitValues"),1,MATCH("MEAN",LMH,0))</f>
        <v>43.79865138952065</v>
      </c>
      <c r="AF8" s="429">
        <f ca="1">AE8*($U8-$W8)*(AllProps_CAM/HHProps_CAM)</f>
        <v>0.3880674875289839</v>
      </c>
      <c r="AG8" s="324">
        <f ca="1">AB8*AF$14/AB$13</f>
        <v>1.2792090580330047</v>
      </c>
      <c r="AH8" s="133" t="s">
        <v>127</v>
      </c>
      <c r="AI8" s="367">
        <f ca="1">(AG8*HHProps_CAM)/((U8-W8)*AllProps_CAM)</f>
        <v>144.37600001963597</v>
      </c>
      <c r="AJ8" s="7"/>
      <c r="AK8" s="7"/>
    </row>
    <row r="9" spans="1:37" x14ac:dyDescent="0.35">
      <c r="A9" s="7" t="s">
        <v>688</v>
      </c>
      <c r="B9" s="5" t="s">
        <v>139</v>
      </c>
      <c r="C9" s="7" t="s">
        <v>140</v>
      </c>
      <c r="D9" s="837">
        <v>0.6</v>
      </c>
      <c r="E9" s="323">
        <f ca="1">INDEX(INDIRECT("SSW_WTPCore2_"&amp;$C9&amp;"_Levels"),1,MATCH(E$4,WTPCore2_AttLevels,0))</f>
        <v>0.1</v>
      </c>
      <c r="F9" s="323"/>
      <c r="G9" s="323">
        <f ca="1">INDEX(INDIRECT("SSW_WTPCore2_"&amp;$C9&amp;"_Levels"),1,MATCH(G$4,WTPCore2_AttLevels,0))</f>
        <v>6.6666666666666666E-2</v>
      </c>
      <c r="H9" s="324">
        <f ca="1">INDEX(INDIRECT("SSW_WTPCore2_"&amp;$C9&amp;"_LevelValues"),1,MATCH("S1 MEAN",WTPCore2_LevelValues,0))</f>
        <v>0.78010561855806027</v>
      </c>
      <c r="I9" s="324">
        <f ca="1">INDEX(INDIRECT("SSW_WTPCore2_"&amp;$C9&amp;"_LevelValues"),1,MATCH("S2 MEAN",WTPCore2_LevelValues,0))</f>
        <v>0.37050953266002729</v>
      </c>
      <c r="J9" s="324">
        <f ca="1">SUM(H9:I9)</f>
        <v>1.1506151512180876</v>
      </c>
      <c r="K9" s="746">
        <f t="shared" si="0"/>
        <v>0.6</v>
      </c>
      <c r="L9" s="231">
        <f ca="1">100*K9*(E9-G9)</f>
        <v>2.0000000000000004</v>
      </c>
      <c r="M9" s="429">
        <f ca="1">INDEX(INDIRECT("SSW_WTPCore_DCE_"&amp;$C9&amp;"_UnitValues"),MATCH("COMBINED-HH",WTPCore_Group,0),MATCH("MEAN",LMH,0))</f>
        <v>41.08733075345431</v>
      </c>
      <c r="N9" s="429">
        <f ca="1">M9*($E9-$G9)*(AllProps_SSW/HHProps_SSW)</f>
        <v>1.4457142857142862</v>
      </c>
      <c r="O9" s="89">
        <f ca="1">INDEX(INDIRECT("SSW_WTPCore2_"&amp;$C9&amp;"_UnitValues"),1,MATCH("MEAN",LMH,0))</f>
        <v>32.700586661683175</v>
      </c>
      <c r="P9" s="429">
        <f ca="1">O9*($E9-$G9)*(AllProps_SSW/HHProps_SSW)</f>
        <v>1.1506151512180876</v>
      </c>
      <c r="Q9" s="324">
        <f ca="1">L9*O$14/L$13</f>
        <v>2.2449354120812899</v>
      </c>
      <c r="R9" s="133" t="s">
        <v>127</v>
      </c>
      <c r="S9" s="367">
        <f ca="1">(Q9*HHProps_SSW)/((E9-G9)*AllProps_SSW)</f>
        <v>63.801267448051696</v>
      </c>
      <c r="T9" s="119">
        <v>-0.22</v>
      </c>
      <c r="U9" s="323">
        <f ca="1">INDEX(INDIRECT("CAM_WTPCore2_"&amp;$C9&amp;"_Levels"),1,MATCH(U$4,WTPCore2_AttLevels,0))</f>
        <v>9.0909090909090912E-2</v>
      </c>
      <c r="V9" s="332"/>
      <c r="W9" s="323">
        <f ca="1">INDEX(INDIRECT("CAM_WTPCore2_"&amp;$C9&amp;"_Levels"),1,MATCH(W$4,WTPCore2_AttLevels,0))</f>
        <v>6.6666666666666666E-2</v>
      </c>
      <c r="X9" s="324">
        <f ca="1">INDEX(INDIRECT("CAM_WTPCore2_"&amp;$C9&amp;"_LevelValues"),1,MATCH("S1 MEAN",WTPCore2_LevelValues,0))</f>
        <v>2.1416418362159599</v>
      </c>
      <c r="Y9" s="324">
        <f ca="1">INDEX(INDIRECT("CAM_WTPCore2_"&amp;$C9&amp;"_LevelValues"),1,MATCH("S2 MEAN",WTPCore2_LevelValues,0))</f>
        <v>0.84070533256091329</v>
      </c>
      <c r="Z9" s="324">
        <f ca="1">SUM(X9:Y9)</f>
        <v>2.9823471687768732</v>
      </c>
      <c r="AA9" s="145">
        <f>MAX(-T9,0)</f>
        <v>0.22</v>
      </c>
      <c r="AB9" s="231">
        <f ca="1">100*AA9*(U9-W9)</f>
        <v>0.53333333333333344</v>
      </c>
      <c r="AC9" s="429">
        <f ca="1">INDEX(INDIRECT("CAM_WTPCore_"&amp;$C9&amp;"_UnitValues"),MATCH("COMBINED-HH",WTPCore_Group,0),MATCH("MEAN",LMH,0))</f>
        <v>18.582387891224172</v>
      </c>
      <c r="AD9" s="429">
        <f ca="1">AC9*($U9-$W9)*(AllProps_CAM/HHProps_CAM)</f>
        <v>0.47896671634376553</v>
      </c>
      <c r="AE9" s="89">
        <f ca="1">INDEX(INDIRECT("CAM_WTPCore2_"&amp;$C9&amp;"_UnitValues"),1,MATCH("MEAN",LMH,0))</f>
        <v>115.70560129846363</v>
      </c>
      <c r="AF9" s="429">
        <f ca="1">AE9*($U9-$W9)*(AllProps_CAM/HHProps_CAM)</f>
        <v>2.9823471687768732</v>
      </c>
      <c r="AG9" s="324">
        <f ca="1">AB9*AF$14/AB$13</f>
        <v>3.0321992486708265</v>
      </c>
      <c r="AH9" s="133" t="s">
        <v>127</v>
      </c>
      <c r="AI9" s="367">
        <f ca="1">(AG9*HHProps_CAM)/((U9-W9)*AllProps_CAM)</f>
        <v>117.63970371970341</v>
      </c>
      <c r="AJ9" s="7"/>
      <c r="AK9" s="7"/>
    </row>
    <row r="10" spans="1:37" x14ac:dyDescent="0.35">
      <c r="A10" s="7" t="s">
        <v>689</v>
      </c>
      <c r="B10" s="5" t="s">
        <v>265</v>
      </c>
      <c r="C10" s="7" t="s">
        <v>40</v>
      </c>
      <c r="D10" s="837">
        <v>0.81</v>
      </c>
      <c r="E10" s="325">
        <f ca="1">INDEX(INDIRECT("SSW_WTPCore2_"&amp;$C10&amp;"_Levels"),1,MATCH(E$4,WTPCore2_AttLevels,0))</f>
        <v>70.5</v>
      </c>
      <c r="F10" s="325"/>
      <c r="G10" s="325">
        <f ca="1">INDEX(INDIRECT("SSW_WTPCore2_"&amp;$C10&amp;"_Levels"),1,MATCH(G$4,WTPCore2_AttLevels,0))</f>
        <v>35.25</v>
      </c>
      <c r="H10" s="324"/>
      <c r="I10" s="324"/>
      <c r="J10" s="324"/>
      <c r="K10" s="326"/>
      <c r="L10" s="231"/>
      <c r="M10" s="231"/>
      <c r="N10" s="231"/>
      <c r="O10" s="231"/>
      <c r="P10" s="231"/>
      <c r="Q10" s="324"/>
      <c r="R10" s="327"/>
      <c r="S10" s="324"/>
      <c r="T10" s="119">
        <v>0.18</v>
      </c>
      <c r="U10" s="323"/>
      <c r="V10" s="323"/>
      <c r="W10" s="323"/>
      <c r="X10" s="324"/>
      <c r="Y10" s="324"/>
      <c r="Z10" s="324"/>
      <c r="AA10" s="138"/>
      <c r="AB10" s="138"/>
      <c r="AC10" s="138"/>
      <c r="AD10" s="138"/>
      <c r="AE10" s="138"/>
      <c r="AF10" s="138"/>
      <c r="AG10" s="324"/>
      <c r="AH10" s="329"/>
      <c r="AI10" s="324"/>
      <c r="AJ10" s="7"/>
      <c r="AK10" s="7"/>
    </row>
    <row r="11" spans="1:37" x14ac:dyDescent="0.35">
      <c r="A11" s="7" t="s">
        <v>690</v>
      </c>
      <c r="B11" s="5" t="s">
        <v>261</v>
      </c>
      <c r="C11" s="7" t="s">
        <v>691</v>
      </c>
      <c r="D11" s="837">
        <v>0.69</v>
      </c>
      <c r="E11" s="325"/>
      <c r="F11" s="325"/>
      <c r="G11" s="325"/>
      <c r="H11" s="138"/>
      <c r="I11" s="328"/>
      <c r="J11" s="138"/>
      <c r="K11" s="138"/>
      <c r="L11" s="231"/>
      <c r="M11" s="231"/>
      <c r="N11" s="231"/>
      <c r="O11" s="231"/>
      <c r="P11" s="231"/>
      <c r="Q11" s="138"/>
      <c r="R11" s="329"/>
      <c r="S11" s="138"/>
      <c r="T11" s="119"/>
      <c r="U11" s="323"/>
      <c r="V11" s="323"/>
      <c r="W11" s="323"/>
      <c r="X11" s="324"/>
      <c r="Y11" s="324"/>
      <c r="Z11" s="324"/>
      <c r="AA11" s="138"/>
      <c r="AB11" s="138"/>
      <c r="AC11" s="138"/>
      <c r="AD11" s="138"/>
      <c r="AE11" s="138"/>
      <c r="AF11" s="138"/>
      <c r="AG11" s="138"/>
      <c r="AH11" s="329"/>
      <c r="AI11" s="138"/>
    </row>
    <row r="12" spans="1:37" x14ac:dyDescent="0.35">
      <c r="A12" s="7"/>
      <c r="B12" s="5" t="s">
        <v>266</v>
      </c>
      <c r="C12" s="7"/>
      <c r="D12" s="837">
        <v>0.64</v>
      </c>
      <c r="E12" s="325"/>
      <c r="F12" s="325"/>
      <c r="G12" s="325"/>
      <c r="H12" s="138"/>
      <c r="I12" s="328"/>
      <c r="J12" s="138"/>
      <c r="K12" s="138"/>
      <c r="L12" s="231"/>
      <c r="M12" s="231"/>
      <c r="N12" s="231"/>
      <c r="O12" s="231"/>
      <c r="P12" s="231"/>
      <c r="Q12" s="138"/>
      <c r="R12" s="329"/>
      <c r="S12" s="138"/>
      <c r="T12" s="119"/>
      <c r="U12" s="323"/>
      <c r="V12" s="323"/>
      <c r="W12" s="323"/>
      <c r="X12" s="324"/>
      <c r="Y12" s="324"/>
      <c r="Z12" s="324"/>
      <c r="AA12" s="138"/>
      <c r="AB12" s="138"/>
      <c r="AC12" s="138"/>
      <c r="AD12" s="138"/>
      <c r="AE12" s="138"/>
      <c r="AF12" s="138"/>
      <c r="AG12" s="138"/>
      <c r="AH12" s="329"/>
      <c r="AI12" s="138"/>
    </row>
    <row r="13" spans="1:37" s="4" customFormat="1" x14ac:dyDescent="0.35">
      <c r="A13" s="52"/>
      <c r="B13" s="52"/>
      <c r="C13" s="52"/>
      <c r="D13" s="205"/>
      <c r="E13" s="601"/>
      <c r="F13" s="601"/>
      <c r="G13" s="601"/>
      <c r="H13" s="410"/>
      <c r="I13" s="410"/>
      <c r="J13" s="410">
        <f ca="1">SUM(J6:J11)</f>
        <v>6.5550467097266782</v>
      </c>
      <c r="K13" s="75">
        <f>SUM(K6:K11)</f>
        <v>2.6700000000000004</v>
      </c>
      <c r="L13" s="602">
        <f ca="1">SUM(L6:L11)</f>
        <v>4.7334920634920632</v>
      </c>
      <c r="M13" s="602"/>
      <c r="N13" s="410">
        <f ca="1">SUM(N6:N9)</f>
        <v>4.0713372464123907</v>
      </c>
      <c r="O13" s="602"/>
      <c r="P13" s="410">
        <f ca="1">SUM(P6:P9)</f>
        <v>6.5550467097266782</v>
      </c>
      <c r="Q13" s="410">
        <f ca="1">SUM(Q6:Q11)</f>
        <v>5.3131919780695345</v>
      </c>
      <c r="R13" s="603"/>
      <c r="S13" s="410"/>
      <c r="T13" s="205"/>
      <c r="U13" s="601"/>
      <c r="V13" s="601"/>
      <c r="W13" s="601"/>
      <c r="X13" s="410"/>
      <c r="Y13" s="410"/>
      <c r="Z13" s="410">
        <f ca="1">SUM(Z6:Z11)</f>
        <v>7.9968592370761433</v>
      </c>
      <c r="AA13" s="75">
        <f>SUM(AA7:AA10)</f>
        <v>0.56000000000000005</v>
      </c>
      <c r="AB13" s="602">
        <f ca="1">SUM(AB6:AB11)</f>
        <v>1.0481623931623933</v>
      </c>
      <c r="AC13" s="602"/>
      <c r="AD13" s="410">
        <f ca="1">SUM(AD6:AD9)</f>
        <v>3.9215303417939453</v>
      </c>
      <c r="AE13" s="410"/>
      <c r="AF13" s="410">
        <f ca="1">SUM(AF6:AF9)</f>
        <v>7.9968592370761433</v>
      </c>
      <c r="AG13" s="410">
        <f ca="1">SUM(AG6:AG11)</f>
        <v>5.9591947894350445</v>
      </c>
      <c r="AH13" s="604"/>
      <c r="AI13" s="410"/>
      <c r="AJ13" s="52"/>
      <c r="AK13" s="52"/>
    </row>
    <row r="14" spans="1:37" s="4" customFormat="1" x14ac:dyDescent="0.35">
      <c r="A14" s="52"/>
      <c r="B14" s="52"/>
      <c r="C14" s="52"/>
      <c r="D14" s="205"/>
      <c r="E14" s="601"/>
      <c r="F14" s="601"/>
      <c r="G14" s="601"/>
      <c r="H14" s="410"/>
      <c r="I14" s="410"/>
      <c r="J14" s="410"/>
      <c r="K14" s="75"/>
      <c r="L14" s="602"/>
      <c r="M14" s="602"/>
      <c r="N14" s="603" t="s">
        <v>641</v>
      </c>
      <c r="O14" s="410">
        <f ca="1">AVERAGE(N13,P13)</f>
        <v>5.3131919780695345</v>
      </c>
      <c r="R14" s="603"/>
      <c r="S14" s="410"/>
      <c r="T14" s="205"/>
      <c r="U14" s="601"/>
      <c r="V14" s="601"/>
      <c r="W14" s="601"/>
      <c r="X14" s="410"/>
      <c r="Y14" s="410"/>
      <c r="Z14" s="410"/>
      <c r="AA14" s="75"/>
      <c r="AB14" s="602"/>
      <c r="AC14" s="602"/>
      <c r="AD14" s="602"/>
      <c r="AE14" s="603" t="s">
        <v>641</v>
      </c>
      <c r="AF14" s="410">
        <f ca="1">AVERAGE(AD13,AF13)</f>
        <v>5.9591947894350445</v>
      </c>
      <c r="AG14" s="410"/>
      <c r="AH14" s="604"/>
      <c r="AI14" s="410"/>
      <c r="AJ14" s="52"/>
      <c r="AK14" s="52"/>
    </row>
    <row r="15" spans="1:37" x14ac:dyDescent="0.35">
      <c r="A15" s="52" t="s">
        <v>10</v>
      </c>
      <c r="B15" s="52"/>
      <c r="C15" s="50"/>
      <c r="D15" s="250"/>
      <c r="E15" s="250"/>
      <c r="F15" s="250"/>
      <c r="G15" s="250"/>
      <c r="H15" s="250"/>
      <c r="I15" s="250"/>
      <c r="J15" s="250"/>
      <c r="K15" s="250"/>
      <c r="L15" s="250"/>
      <c r="M15" s="250"/>
      <c r="N15" s="250"/>
      <c r="O15" s="250"/>
      <c r="P15" s="250"/>
      <c r="Q15" s="250"/>
      <c r="R15" s="50"/>
      <c r="S15" s="250"/>
      <c r="T15" s="250"/>
      <c r="U15" s="250"/>
      <c r="V15" s="250"/>
      <c r="W15" s="250"/>
      <c r="X15" s="250"/>
      <c r="Y15" s="250"/>
      <c r="Z15" s="250"/>
      <c r="AA15" s="250"/>
      <c r="AB15" s="50"/>
      <c r="AC15" s="50"/>
      <c r="AD15" s="50"/>
      <c r="AE15" s="50"/>
      <c r="AF15" s="50"/>
      <c r="AG15" s="250"/>
      <c r="AH15" s="50"/>
      <c r="AI15" s="250"/>
      <c r="AJ15" s="7"/>
      <c r="AK15" s="7"/>
    </row>
    <row r="16" spans="1:37" x14ac:dyDescent="0.35">
      <c r="A16" s="7" t="s">
        <v>692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1:37" x14ac:dyDescent="0.35">
      <c r="A17" s="5" t="s">
        <v>693</v>
      </c>
      <c r="B17" s="5"/>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37" x14ac:dyDescent="0.35">
      <c r="A18" s="7" t="s">
        <v>694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x14ac:dyDescent="0.35">
      <c r="A19" s="7" t="s">
        <v>695</v>
      </c>
      <c r="B19" s="7"/>
      <c r="AB19" s="7"/>
      <c r="AC19" s="7"/>
      <c r="AD19" s="7"/>
      <c r="AE19" s="7"/>
      <c r="AF19" s="7"/>
      <c r="AH19" s="7"/>
      <c r="AJ19" s="7"/>
      <c r="AK19" s="7"/>
    </row>
    <row r="20" spans="1:37" ht="15" thickBot="1" x14ac:dyDescent="0.4">
      <c r="AB20" s="7"/>
      <c r="AC20" s="7"/>
      <c r="AD20" s="7"/>
      <c r="AE20" s="7"/>
      <c r="AF20" s="7"/>
      <c r="AH20" s="7"/>
      <c r="AJ20" s="7"/>
      <c r="AK20" s="7"/>
    </row>
    <row r="21" spans="1:37" x14ac:dyDescent="0.35">
      <c r="A21" s="52"/>
      <c r="B21" s="52"/>
      <c r="C21" s="11"/>
      <c r="D21" s="11"/>
      <c r="E21" s="11"/>
      <c r="F21" s="11"/>
      <c r="G21" s="11"/>
      <c r="H21" s="11"/>
      <c r="I21" s="11"/>
      <c r="J21" s="11"/>
      <c r="K21" s="11"/>
      <c r="L21" s="11"/>
      <c r="M21" s="11"/>
      <c r="N21" s="11"/>
      <c r="O21" s="11"/>
      <c r="P21" s="11"/>
      <c r="Q21" s="11"/>
      <c r="R21" s="11"/>
      <c r="S21" s="336"/>
      <c r="T21" s="11"/>
      <c r="U21" s="11"/>
      <c r="V21" s="11"/>
      <c r="W21" s="11"/>
      <c r="X21" s="11"/>
      <c r="Y21" s="11"/>
      <c r="Z21" s="11"/>
      <c r="AA21" s="11"/>
      <c r="AB21" s="50"/>
      <c r="AC21" s="50"/>
      <c r="AD21" s="50"/>
      <c r="AE21" s="50"/>
      <c r="AF21" s="50"/>
      <c r="AG21" s="11"/>
      <c r="AH21" s="50"/>
      <c r="AI21" s="336"/>
      <c r="AJ21" s="7"/>
      <c r="AK21" s="7"/>
    </row>
    <row r="22" spans="1:37" ht="19.5" x14ac:dyDescent="0.45">
      <c r="A22" s="85" t="s">
        <v>696</v>
      </c>
      <c r="B22" s="85"/>
      <c r="C22" s="52"/>
      <c r="D22" s="50"/>
      <c r="E22" s="50"/>
      <c r="F22" s="50"/>
      <c r="G22" s="50"/>
      <c r="H22" s="50"/>
      <c r="I22" s="50"/>
      <c r="J22" s="50"/>
      <c r="K22" s="50"/>
      <c r="L22" s="50"/>
      <c r="M22" s="50"/>
      <c r="N22" s="50"/>
      <c r="O22" s="50"/>
      <c r="P22" s="50"/>
      <c r="Q22" s="50"/>
      <c r="R22" s="50"/>
      <c r="S22" s="237" t="s">
        <v>681</v>
      </c>
      <c r="T22" s="50"/>
      <c r="U22" s="50"/>
      <c r="V22" s="50"/>
      <c r="W22" s="50"/>
      <c r="X22" s="50"/>
      <c r="Y22" s="50"/>
      <c r="Z22" s="50"/>
      <c r="AA22" s="50"/>
      <c r="AB22" s="50"/>
      <c r="AC22" s="50"/>
      <c r="AD22" s="50"/>
      <c r="AE22" s="50"/>
      <c r="AF22" s="50"/>
      <c r="AG22" s="50"/>
      <c r="AH22" s="50"/>
      <c r="AI22" s="237" t="s">
        <v>681</v>
      </c>
      <c r="AJ22" s="7"/>
      <c r="AK22" s="7"/>
    </row>
    <row r="23" spans="1:37" x14ac:dyDescent="0.35">
      <c r="A23" s="52" t="s">
        <v>697</v>
      </c>
      <c r="B23" s="52"/>
      <c r="C23" s="52" t="s">
        <v>675</v>
      </c>
      <c r="D23" s="52" t="s">
        <v>698</v>
      </c>
      <c r="E23" s="52"/>
      <c r="F23" s="52"/>
      <c r="G23" s="52"/>
      <c r="H23" s="52"/>
      <c r="I23" s="52"/>
      <c r="J23" s="52"/>
      <c r="K23" s="52"/>
      <c r="L23" s="52"/>
      <c r="M23" s="52"/>
      <c r="N23" s="52"/>
      <c r="O23" s="52"/>
      <c r="P23" s="52"/>
      <c r="Q23" s="52"/>
      <c r="R23" s="52"/>
      <c r="S23" s="337"/>
      <c r="T23" s="52"/>
      <c r="U23" s="52"/>
      <c r="V23" s="52"/>
      <c r="W23" s="52"/>
      <c r="X23" s="52"/>
      <c r="Y23" s="52"/>
      <c r="Z23" s="52"/>
      <c r="AA23" s="52"/>
      <c r="AB23" s="50"/>
      <c r="AC23" s="50"/>
      <c r="AD23" s="50"/>
      <c r="AE23" s="50"/>
      <c r="AF23" s="50"/>
      <c r="AG23" s="52"/>
      <c r="AH23" s="50"/>
      <c r="AI23" s="337"/>
      <c r="AJ23" s="7"/>
      <c r="AK23" s="7"/>
    </row>
    <row r="24" spans="1:37" x14ac:dyDescent="0.35">
      <c r="A24" s="7" t="s">
        <v>129</v>
      </c>
      <c r="B24" s="7"/>
      <c r="C24" s="7" t="s">
        <v>129</v>
      </c>
      <c r="D24" s="7" t="s">
        <v>441</v>
      </c>
      <c r="E24" s="7"/>
      <c r="F24" s="7"/>
      <c r="G24" s="7"/>
      <c r="H24" s="7"/>
      <c r="I24" s="7"/>
      <c r="J24" s="7"/>
      <c r="K24" s="7"/>
      <c r="L24" s="7"/>
      <c r="M24" s="7"/>
      <c r="N24" s="7"/>
      <c r="O24" s="7"/>
      <c r="P24" s="7"/>
      <c r="Q24" s="7"/>
      <c r="R24" s="7"/>
      <c r="S24" s="420">
        <f ca="1">S6</f>
        <v>81.87829322499968</v>
      </c>
      <c r="T24" s="7"/>
      <c r="U24" s="7"/>
      <c r="V24" s="7"/>
      <c r="W24" s="7"/>
      <c r="X24" s="7"/>
      <c r="Y24" s="7"/>
      <c r="Z24" s="7"/>
      <c r="AA24" s="7"/>
      <c r="AG24" s="7"/>
      <c r="AI24" s="420">
        <f ca="1">AI6</f>
        <v>203.19585187948766</v>
      </c>
    </row>
    <row r="25" spans="1:37" x14ac:dyDescent="0.35">
      <c r="A25" s="7" t="s">
        <v>686</v>
      </c>
      <c r="B25" s="7"/>
      <c r="C25" s="7" t="s">
        <v>131</v>
      </c>
      <c r="D25" s="7" t="s">
        <v>442</v>
      </c>
      <c r="E25" s="7"/>
      <c r="F25" s="7"/>
      <c r="G25" s="7"/>
      <c r="H25" s="7"/>
      <c r="I25" s="7"/>
      <c r="J25" s="7"/>
      <c r="K25" s="7"/>
      <c r="L25" s="7"/>
      <c r="M25" s="7"/>
      <c r="N25" s="7"/>
      <c r="O25" s="7"/>
      <c r="P25" s="7"/>
      <c r="Q25" s="7"/>
      <c r="R25" s="7"/>
      <c r="S25" s="420">
        <f ca="1">S7</f>
        <v>81.87829322499968</v>
      </c>
      <c r="T25" s="7"/>
      <c r="U25" s="7"/>
      <c r="V25" s="7"/>
      <c r="W25" s="7"/>
      <c r="X25" s="7"/>
      <c r="Y25" s="7"/>
      <c r="Z25" s="7"/>
      <c r="AA25" s="7"/>
      <c r="AG25" s="7"/>
      <c r="AI25" s="420">
        <f ca="1">AI7</f>
        <v>37.430814819905635</v>
      </c>
    </row>
    <row r="26" spans="1:37" x14ac:dyDescent="0.35">
      <c r="A26" s="7" t="s">
        <v>687</v>
      </c>
      <c r="B26" s="7"/>
      <c r="C26" s="7" t="s">
        <v>137</v>
      </c>
      <c r="D26" s="7" t="s">
        <v>446</v>
      </c>
      <c r="E26" s="7"/>
      <c r="F26" s="7"/>
      <c r="G26" s="7"/>
      <c r="H26" s="7"/>
      <c r="I26" s="7"/>
      <c r="J26" s="7"/>
      <c r="K26" s="7"/>
      <c r="L26" s="7"/>
      <c r="M26" s="7"/>
      <c r="N26" s="7"/>
      <c r="O26" s="7"/>
      <c r="P26" s="7"/>
      <c r="Q26" s="7"/>
      <c r="R26" s="7"/>
      <c r="S26" s="334">
        <f ca="1">S8</f>
        <v>56.357786245778996</v>
      </c>
      <c r="T26" s="7"/>
      <c r="U26" s="7"/>
      <c r="V26" s="7"/>
      <c r="W26" s="7"/>
      <c r="X26" s="7"/>
      <c r="Y26" s="7"/>
      <c r="Z26" s="7"/>
      <c r="AA26" s="7"/>
      <c r="AG26" s="7"/>
      <c r="AI26" s="420">
        <f ca="1">AI8</f>
        <v>144.37600001963597</v>
      </c>
    </row>
    <row r="27" spans="1:37" x14ac:dyDescent="0.35">
      <c r="A27" s="7" t="s">
        <v>688</v>
      </c>
      <c r="B27" s="7"/>
      <c r="C27" s="7" t="s">
        <v>139</v>
      </c>
      <c r="D27" s="7" t="s">
        <v>452</v>
      </c>
      <c r="S27" s="420">
        <f ca="1">S9</f>
        <v>63.801267448051696</v>
      </c>
      <c r="AI27" s="420">
        <f ca="1">AI9</f>
        <v>117.63970371970341</v>
      </c>
    </row>
    <row r="28" spans="1:37" x14ac:dyDescent="0.35">
      <c r="I28" s="171"/>
      <c r="S28" s="338"/>
      <c r="AI28" s="338"/>
    </row>
    <row r="29" spans="1:37" ht="15" thickBot="1" x14ac:dyDescent="0.4">
      <c r="S29" s="335"/>
      <c r="AI29" s="335"/>
    </row>
    <row r="30" spans="1:37" s="11" customFormat="1" x14ac:dyDescent="0.35">
      <c r="A30" s="52"/>
      <c r="B30" s="52"/>
      <c r="C30" s="50"/>
      <c r="D30" s="83"/>
      <c r="E30" s="139"/>
      <c r="F30" s="139"/>
      <c r="G30" s="139"/>
      <c r="H30" s="409"/>
      <c r="I30" s="409"/>
      <c r="J30" s="410"/>
      <c r="K30" s="411"/>
      <c r="L30" s="411"/>
      <c r="M30" s="411"/>
      <c r="N30" s="411"/>
      <c r="O30" s="411"/>
      <c r="P30" s="411"/>
      <c r="Q30" s="410"/>
      <c r="R30" s="412"/>
      <c r="T30" s="83"/>
      <c r="U30" s="413"/>
      <c r="V30" s="413"/>
      <c r="W30" s="413"/>
      <c r="X30" s="409"/>
      <c r="Y30" s="409"/>
      <c r="Z30" s="409"/>
      <c r="AA30" s="139"/>
      <c r="AB30" s="139"/>
      <c r="AC30" s="139"/>
      <c r="AD30" s="139"/>
      <c r="AE30" s="139"/>
      <c r="AF30" s="139"/>
      <c r="AG30" s="409"/>
      <c r="AH30" s="414"/>
      <c r="AJ30" s="50"/>
      <c r="AK30" s="50"/>
    </row>
    <row r="31" spans="1:37" x14ac:dyDescent="0.35">
      <c r="A31" s="7"/>
      <c r="B31" s="7"/>
      <c r="C31" s="7"/>
      <c r="D31" s="119"/>
      <c r="E31" s="138"/>
      <c r="F31" s="138"/>
      <c r="G31" s="138"/>
      <c r="H31" s="138"/>
      <c r="I31" s="328"/>
      <c r="J31" s="138"/>
      <c r="K31" s="138"/>
      <c r="L31" s="231"/>
      <c r="M31" s="231"/>
      <c r="N31" s="231"/>
      <c r="O31" s="231"/>
      <c r="P31" s="231"/>
      <c r="Q31" s="138"/>
      <c r="R31" s="329"/>
      <c r="T31" s="119"/>
      <c r="U31" s="323"/>
      <c r="V31" s="323"/>
      <c r="W31" s="323"/>
      <c r="X31" s="324"/>
      <c r="Y31" s="324"/>
      <c r="Z31" s="324"/>
      <c r="AA31" s="138"/>
      <c r="AB31" s="138"/>
      <c r="AC31" s="138"/>
      <c r="AD31" s="138"/>
      <c r="AE31" s="138"/>
      <c r="AF31" s="138"/>
      <c r="AG31" s="138"/>
      <c r="AH31" s="329"/>
    </row>
    <row r="32" spans="1:37"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sheetData>
  <pageMargins left="0.7" right="0.7" top="0.75" bottom="0.75" header="0.3" footer="0.3"/>
  <pageSetup paperSize="9"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theme="6"/>
  </sheetPr>
  <dimension ref="A1:AP356"/>
  <sheetViews>
    <sheetView zoomScale="70" zoomScaleNormal="70" workbookViewId="0">
      <pane xSplit="1" ySplit="16" topLeftCell="B314" activePane="bottomRight" state="frozen"/>
      <selection pane="topRight" activeCell="B1" sqref="B1"/>
      <selection pane="bottomLeft" activeCell="A5" sqref="A5"/>
      <selection pane="bottomRight" activeCell="Y337" sqref="Y337"/>
    </sheetView>
  </sheetViews>
  <sheetFormatPr defaultRowHeight="14.5" x14ac:dyDescent="0.35"/>
  <cols>
    <col min="1" max="1" width="25.453125" customWidth="1"/>
    <col min="2" max="2" width="50.26953125" style="481" customWidth="1"/>
    <col min="3" max="3" width="25.26953125" style="481" customWidth="1"/>
    <col min="4" max="4" width="25.1796875" style="481" customWidth="1"/>
    <col min="5" max="5" width="19.1796875" style="481" customWidth="1"/>
    <col min="6" max="6" width="23" style="481" customWidth="1"/>
    <col min="7" max="7" width="19.453125" style="481" customWidth="1"/>
    <col min="8" max="8" width="28.26953125" style="481" customWidth="1"/>
    <col min="9" max="9" width="24.1796875" style="481" customWidth="1"/>
    <col min="10" max="10" width="24" customWidth="1"/>
    <col min="11" max="12" width="11.54296875" customWidth="1"/>
    <col min="13" max="13" width="15.453125" customWidth="1"/>
    <col min="14" max="15" width="11.54296875" customWidth="1"/>
    <col min="16" max="16" width="13.26953125" customWidth="1"/>
    <col min="17" max="17" width="17.7265625" customWidth="1"/>
    <col min="18" max="18" width="26.1796875" customWidth="1"/>
    <col min="19" max="19" width="20.7265625" customWidth="1"/>
    <col min="20" max="20" width="23.1796875" customWidth="1"/>
    <col min="21" max="21" width="16.453125" customWidth="1"/>
    <col min="22" max="22" width="19.26953125" customWidth="1"/>
    <col min="23" max="23" width="26" customWidth="1"/>
    <col min="24" max="24" width="18.1796875" customWidth="1"/>
    <col min="25" max="25" width="21.81640625" customWidth="1"/>
    <col min="27" max="27" width="11.54296875" customWidth="1"/>
    <col min="28" max="28" width="12" customWidth="1"/>
    <col min="29" max="29" width="12.1796875" customWidth="1"/>
    <col min="30" max="30" width="11.26953125" customWidth="1"/>
    <col min="31" max="31" width="15" customWidth="1"/>
    <col min="32" max="32" width="14.26953125" customWidth="1"/>
    <col min="33" max="33" width="17.1796875" customWidth="1"/>
  </cols>
  <sheetData>
    <row r="1" spans="1:33" s="228" customFormat="1" ht="28.5" x14ac:dyDescent="0.65">
      <c r="A1" s="76" t="s">
        <v>699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490"/>
    </row>
    <row r="2" spans="1:33" ht="24" customHeight="1" x14ac:dyDescent="0.45">
      <c r="A2" s="311" t="s">
        <v>292</v>
      </c>
      <c r="B2" s="311"/>
      <c r="C2" s="126" t="s">
        <v>294</v>
      </c>
      <c r="D2" s="126"/>
      <c r="E2" s="126"/>
      <c r="F2" s="126"/>
      <c r="G2" s="126"/>
      <c r="H2" s="126"/>
      <c r="I2" s="126"/>
      <c r="J2" s="126"/>
      <c r="K2" s="126"/>
      <c r="L2" s="126"/>
      <c r="M2" s="126"/>
      <c r="N2" s="126"/>
      <c r="O2" s="126"/>
      <c r="P2" s="233" t="s">
        <v>295</v>
      </c>
      <c r="Q2" s="233"/>
      <c r="R2" s="233"/>
      <c r="S2" s="233"/>
      <c r="T2" s="233"/>
      <c r="U2" s="233"/>
      <c r="V2" s="233"/>
      <c r="W2" s="233"/>
      <c r="X2" s="233"/>
      <c r="Y2" s="233"/>
      <c r="Z2" s="233"/>
      <c r="AA2" s="233"/>
      <c r="AB2" s="233"/>
      <c r="AC2" s="233"/>
      <c r="AD2" s="233"/>
      <c r="AE2" s="233"/>
      <c r="AF2" s="491"/>
      <c r="AG2" s="7"/>
    </row>
    <row r="3" spans="1:33" ht="24" customHeight="1" thickBot="1" x14ac:dyDescent="0.5">
      <c r="A3" s="311"/>
      <c r="B3" s="311"/>
      <c r="C3" s="126"/>
      <c r="D3" s="126"/>
      <c r="E3" s="126"/>
      <c r="F3" s="126"/>
      <c r="G3" s="126"/>
      <c r="H3" s="126"/>
      <c r="I3" s="126"/>
      <c r="J3" s="126"/>
      <c r="K3" s="126"/>
      <c r="L3" s="126"/>
      <c r="M3" s="126"/>
      <c r="N3" s="126"/>
      <c r="O3" s="126"/>
      <c r="P3" s="233"/>
      <c r="Q3" s="233"/>
      <c r="R3" s="233"/>
      <c r="S3" s="233"/>
      <c r="T3" s="233"/>
      <c r="U3" s="233"/>
      <c r="V3" s="233"/>
      <c r="W3" s="233"/>
      <c r="X3" s="233"/>
      <c r="Y3" s="233"/>
      <c r="Z3" s="233"/>
      <c r="AA3" s="233"/>
      <c r="AB3" s="233"/>
      <c r="AC3" s="233"/>
      <c r="AD3" s="233"/>
      <c r="AE3" s="233"/>
      <c r="AF3" s="491"/>
      <c r="AG3" s="7"/>
    </row>
    <row r="4" spans="1:33" ht="24" customHeight="1" x14ac:dyDescent="0.45">
      <c r="A4" s="441"/>
      <c r="B4" s="553" t="s">
        <v>700</v>
      </c>
      <c r="C4" s="558"/>
      <c r="D4" s="559"/>
      <c r="E4" s="550"/>
      <c r="F4" s="550"/>
      <c r="G4" s="550"/>
      <c r="H4" s="550"/>
      <c r="I4" s="550"/>
      <c r="J4" s="550"/>
      <c r="K4" s="550"/>
      <c r="L4" s="550"/>
      <c r="M4" s="550"/>
      <c r="N4" s="550"/>
      <c r="O4" s="550"/>
      <c r="P4" s="549"/>
      <c r="Q4" s="549"/>
      <c r="R4" s="549"/>
      <c r="S4" s="549"/>
      <c r="T4" s="549"/>
      <c r="U4" s="549"/>
      <c r="V4" s="549"/>
      <c r="W4" s="549"/>
      <c r="X4" s="549"/>
      <c r="Y4" s="549"/>
      <c r="Z4" s="549"/>
      <c r="AA4" s="549"/>
      <c r="AB4" s="549"/>
      <c r="AC4" s="549"/>
      <c r="AD4" s="549"/>
      <c r="AE4" s="549"/>
      <c r="AF4" s="7"/>
      <c r="AG4" s="7"/>
    </row>
    <row r="5" spans="1:33" ht="24" customHeight="1" thickBot="1" x14ac:dyDescent="0.5">
      <c r="A5" s="441"/>
      <c r="B5" s="555"/>
      <c r="C5" s="560" t="s">
        <v>24</v>
      </c>
      <c r="D5" s="561" t="s">
        <v>26</v>
      </c>
      <c r="E5" s="550"/>
      <c r="F5"/>
      <c r="G5" s="550"/>
      <c r="H5" s="550"/>
      <c r="I5" s="550"/>
      <c r="J5" s="550"/>
      <c r="K5" s="550"/>
      <c r="L5" s="550"/>
      <c r="M5" s="550"/>
      <c r="N5" s="550"/>
      <c r="O5" s="550"/>
      <c r="P5" s="549"/>
      <c r="Q5" s="549"/>
      <c r="R5" s="549"/>
      <c r="S5" s="549"/>
      <c r="T5" s="549"/>
      <c r="U5" s="549"/>
      <c r="V5" s="549"/>
      <c r="W5" s="549"/>
      <c r="X5" s="549"/>
      <c r="Y5" s="549"/>
      <c r="Z5" s="549"/>
      <c r="AA5" s="549"/>
      <c r="AB5" s="549"/>
      <c r="AC5" s="549"/>
      <c r="AD5" s="549"/>
      <c r="AE5" s="549"/>
      <c r="AF5" s="7"/>
      <c r="AG5" s="7"/>
    </row>
    <row r="6" spans="1:33" ht="24" customHeight="1" x14ac:dyDescent="0.45">
      <c r="A6" s="441"/>
      <c r="B6" s="551" t="s">
        <v>701</v>
      </c>
      <c r="C6" s="653">
        <v>-0.22</v>
      </c>
      <c r="D6" s="654">
        <v>-0.21</v>
      </c>
      <c r="E6" s="556"/>
      <c r="F6" s="550"/>
      <c r="G6" s="550"/>
      <c r="H6" s="550"/>
      <c r="I6" s="550"/>
      <c r="J6" s="550"/>
      <c r="K6" s="550"/>
      <c r="L6" s="550"/>
      <c r="M6" s="550"/>
      <c r="N6" s="550"/>
      <c r="O6" s="550"/>
      <c r="P6" s="549"/>
      <c r="Q6" s="549"/>
      <c r="R6" s="549"/>
      <c r="S6" s="549"/>
      <c r="T6" s="549"/>
      <c r="U6" s="549"/>
      <c r="V6" s="549"/>
      <c r="W6" s="549"/>
      <c r="X6" s="549"/>
      <c r="Y6" s="549"/>
      <c r="Z6" s="549"/>
      <c r="AA6" s="549"/>
      <c r="AB6" s="549"/>
      <c r="AC6" s="549"/>
      <c r="AD6" s="549"/>
      <c r="AE6" s="549"/>
      <c r="AF6" s="7"/>
      <c r="AG6" s="7"/>
    </row>
    <row r="7" spans="1:33" ht="24" customHeight="1" x14ac:dyDescent="0.45">
      <c r="A7" s="441"/>
      <c r="B7" s="552" t="s">
        <v>702</v>
      </c>
      <c r="C7" s="655">
        <v>250</v>
      </c>
      <c r="D7" s="656">
        <v>250</v>
      </c>
      <c r="E7" s="556"/>
      <c r="F7" s="550"/>
      <c r="G7" s="550"/>
      <c r="H7" s="550"/>
      <c r="I7" s="550"/>
      <c r="J7" s="550"/>
      <c r="K7" s="550"/>
      <c r="L7" s="550"/>
      <c r="M7" s="550"/>
      <c r="N7" s="550"/>
      <c r="O7" s="550"/>
      <c r="P7" s="549"/>
      <c r="Q7" s="549"/>
      <c r="R7" s="549"/>
      <c r="S7" s="549"/>
      <c r="T7" s="549"/>
      <c r="U7" s="549"/>
      <c r="V7" s="549"/>
      <c r="W7" s="549"/>
      <c r="X7" s="549"/>
      <c r="Y7" s="549"/>
      <c r="Z7" s="549"/>
      <c r="AA7" s="549"/>
      <c r="AB7" s="549"/>
      <c r="AC7" s="549"/>
      <c r="AD7" s="549"/>
      <c r="AE7" s="549"/>
      <c r="AF7" s="7"/>
      <c r="AG7" s="7"/>
    </row>
    <row r="8" spans="1:33" ht="24" customHeight="1" x14ac:dyDescent="0.45">
      <c r="A8" s="441"/>
      <c r="B8" s="551" t="s">
        <v>703</v>
      </c>
      <c r="C8" s="655">
        <v>50</v>
      </c>
      <c r="D8" s="656">
        <v>50</v>
      </c>
      <c r="E8" s="556"/>
      <c r="F8" s="550"/>
      <c r="G8" s="550"/>
      <c r="H8" s="550"/>
      <c r="I8" s="550"/>
      <c r="J8" s="550"/>
      <c r="K8" s="550"/>
      <c r="L8" s="550"/>
      <c r="M8" s="550"/>
      <c r="N8" s="550"/>
      <c r="O8" s="550"/>
      <c r="P8" s="549"/>
      <c r="Q8" s="549"/>
      <c r="R8" s="549"/>
      <c r="S8" s="549"/>
      <c r="T8" s="549"/>
      <c r="U8" s="549"/>
      <c r="V8" s="549"/>
      <c r="W8" s="549"/>
      <c r="X8" s="549"/>
      <c r="Y8" s="549"/>
      <c r="Z8" s="549"/>
      <c r="AA8" s="549"/>
      <c r="AB8" s="549"/>
      <c r="AC8" s="549"/>
      <c r="AD8" s="549"/>
      <c r="AE8" s="549"/>
      <c r="AF8" s="7"/>
      <c r="AG8" s="7"/>
    </row>
    <row r="9" spans="1:33" ht="24" customHeight="1" x14ac:dyDescent="0.45">
      <c r="A9" s="441"/>
      <c r="B9" s="551" t="s">
        <v>704</v>
      </c>
      <c r="C9" s="657">
        <v>-0.27</v>
      </c>
      <c r="D9" s="654">
        <v>0</v>
      </c>
      <c r="E9" s="556"/>
      <c r="F9" s="550"/>
      <c r="G9" s="550"/>
      <c r="H9" s="550"/>
      <c r="I9" s="550"/>
      <c r="J9" s="550"/>
      <c r="K9" s="550"/>
      <c r="L9" s="550"/>
      <c r="M9" s="550"/>
      <c r="N9" s="550"/>
      <c r="O9" s="550"/>
      <c r="P9" s="549"/>
      <c r="Q9" s="549"/>
      <c r="R9" s="549"/>
      <c r="S9" s="549"/>
      <c r="T9" s="549"/>
      <c r="U9" s="549"/>
      <c r="V9" s="549"/>
      <c r="W9" s="549"/>
      <c r="X9" s="549"/>
      <c r="Y9" s="549"/>
      <c r="Z9" s="549"/>
      <c r="AA9" s="549"/>
      <c r="AB9" s="549"/>
      <c r="AC9" s="549"/>
      <c r="AD9" s="549"/>
      <c r="AE9" s="549"/>
      <c r="AF9" s="7"/>
      <c r="AG9" s="7"/>
    </row>
    <row r="10" spans="1:33" ht="24" customHeight="1" x14ac:dyDescent="0.45">
      <c r="A10" s="441"/>
      <c r="B10" s="551" t="s">
        <v>705</v>
      </c>
      <c r="C10" s="655">
        <v>80</v>
      </c>
      <c r="D10" s="656">
        <v>15</v>
      </c>
      <c r="E10" s="556"/>
      <c r="F10" s="550"/>
      <c r="G10" s="550"/>
      <c r="H10" s="550"/>
      <c r="I10" s="550"/>
      <c r="J10" s="550"/>
      <c r="K10" s="550"/>
      <c r="L10" s="550"/>
      <c r="M10" s="550"/>
      <c r="N10" s="550"/>
      <c r="O10" s="550"/>
      <c r="P10" s="549"/>
      <c r="Q10" s="549"/>
      <c r="R10" s="549"/>
      <c r="S10" s="549"/>
      <c r="T10" s="549"/>
      <c r="U10" s="549"/>
      <c r="V10" s="549"/>
      <c r="W10" s="549"/>
      <c r="X10" s="549"/>
      <c r="Y10" s="549"/>
      <c r="Z10" s="549"/>
      <c r="AA10" s="549"/>
      <c r="AB10" s="549"/>
      <c r="AC10" s="549"/>
      <c r="AD10" s="549"/>
      <c r="AE10" s="549"/>
      <c r="AF10" s="7"/>
      <c r="AG10" s="7"/>
    </row>
    <row r="11" spans="1:33" ht="24" customHeight="1" x14ac:dyDescent="0.45">
      <c r="A11" s="441"/>
      <c r="B11" s="551" t="s">
        <v>706</v>
      </c>
      <c r="C11" s="655">
        <v>40</v>
      </c>
      <c r="D11" s="656">
        <v>8</v>
      </c>
      <c r="E11" s="556"/>
      <c r="F11" s="550"/>
      <c r="G11" s="550"/>
      <c r="H11" s="550"/>
      <c r="I11" s="550"/>
      <c r="J11" s="550"/>
      <c r="K11" s="550"/>
      <c r="L11" s="550"/>
      <c r="M11" s="550"/>
      <c r="N11" s="550"/>
      <c r="O11" s="550"/>
      <c r="P11" s="549"/>
      <c r="Q11" s="549"/>
      <c r="R11" s="549"/>
      <c r="S11" s="549"/>
      <c r="T11" s="549"/>
      <c r="U11" s="549"/>
      <c r="V11" s="549"/>
      <c r="W11" s="549"/>
      <c r="X11" s="549"/>
      <c r="Y11" s="549"/>
      <c r="Z11" s="549"/>
      <c r="AA11" s="549"/>
      <c r="AB11" s="549"/>
      <c r="AC11" s="549"/>
      <c r="AD11" s="549"/>
      <c r="AE11" s="549"/>
      <c r="AF11" s="7"/>
      <c r="AG11" s="7"/>
    </row>
    <row r="12" spans="1:33" ht="24" customHeight="1" x14ac:dyDescent="0.45">
      <c r="A12" s="441"/>
      <c r="B12" s="551" t="s">
        <v>707</v>
      </c>
      <c r="C12" s="657">
        <v>-6.47</v>
      </c>
      <c r="D12" s="654">
        <v>-6.16</v>
      </c>
      <c r="E12" s="556"/>
      <c r="F12" s="550"/>
      <c r="G12" s="550"/>
      <c r="H12" s="550"/>
      <c r="I12" s="550"/>
      <c r="J12" s="550"/>
      <c r="K12" s="550"/>
      <c r="L12" s="550"/>
      <c r="M12" s="550"/>
      <c r="N12" s="550"/>
      <c r="O12" s="550"/>
      <c r="P12" s="549"/>
      <c r="Q12" s="549"/>
      <c r="R12" s="549"/>
      <c r="S12" s="549"/>
      <c r="T12" s="549"/>
      <c r="U12" s="549"/>
      <c r="V12" s="549"/>
      <c r="W12" s="549"/>
      <c r="X12" s="549"/>
      <c r="Y12" s="549"/>
      <c r="Z12" s="549"/>
      <c r="AA12" s="549"/>
      <c r="AB12" s="549"/>
      <c r="AC12" s="549"/>
      <c r="AD12" s="549"/>
      <c r="AE12" s="549"/>
      <c r="AF12" s="7"/>
      <c r="AG12" s="7"/>
    </row>
    <row r="13" spans="1:33" ht="24" customHeight="1" x14ac:dyDescent="0.45">
      <c r="A13" s="441"/>
      <c r="B13" s="552" t="s">
        <v>708</v>
      </c>
      <c r="C13" s="655">
        <v>14</v>
      </c>
      <c r="D13" s="656">
        <v>14</v>
      </c>
      <c r="E13" s="556"/>
      <c r="F13" s="550"/>
      <c r="G13" s="550"/>
      <c r="H13" s="550"/>
      <c r="I13" s="550"/>
      <c r="J13" s="550"/>
      <c r="K13" s="550"/>
      <c r="L13" s="550"/>
      <c r="M13" s="550"/>
      <c r="N13" s="550"/>
      <c r="O13" s="550"/>
      <c r="P13" s="549"/>
      <c r="Q13" s="549"/>
      <c r="R13" s="549"/>
      <c r="S13" s="549"/>
      <c r="T13" s="549"/>
      <c r="U13" s="549"/>
      <c r="V13" s="549"/>
      <c r="W13" s="549"/>
      <c r="X13" s="549"/>
      <c r="Y13" s="549"/>
      <c r="Z13" s="549"/>
      <c r="AA13" s="549"/>
      <c r="AB13" s="549"/>
      <c r="AC13" s="549"/>
      <c r="AD13" s="549"/>
      <c r="AE13" s="549"/>
      <c r="AF13" s="7"/>
      <c r="AG13" s="7"/>
    </row>
    <row r="14" spans="1:33" ht="24" customHeight="1" thickBot="1" x14ac:dyDescent="0.5">
      <c r="A14" s="441"/>
      <c r="B14" s="557" t="s">
        <v>709</v>
      </c>
      <c r="C14" s="658">
        <v>2</v>
      </c>
      <c r="D14" s="659">
        <v>2</v>
      </c>
      <c r="E14" s="556"/>
      <c r="F14" s="550"/>
      <c r="G14" s="550"/>
      <c r="H14" s="550"/>
      <c r="I14" s="550"/>
      <c r="J14" s="550"/>
      <c r="K14" s="550"/>
      <c r="L14" s="550"/>
      <c r="M14" s="550"/>
      <c r="N14" s="550"/>
      <c r="O14" s="550"/>
      <c r="P14" s="549"/>
      <c r="Q14" s="549"/>
      <c r="R14" s="549"/>
      <c r="S14" s="549"/>
      <c r="T14" s="549"/>
      <c r="U14" s="549"/>
      <c r="V14" s="549"/>
      <c r="W14" s="549"/>
      <c r="X14" s="549"/>
      <c r="Y14" s="549"/>
      <c r="Z14" s="549"/>
      <c r="AA14" s="549"/>
      <c r="AB14" s="549"/>
      <c r="AC14" s="549"/>
      <c r="AD14" s="549"/>
      <c r="AE14" s="549"/>
      <c r="AF14" s="7"/>
      <c r="AG14" s="7"/>
    </row>
    <row r="16" spans="1:33" s="3" customFormat="1" x14ac:dyDescent="0.35">
      <c r="A16" s="424" t="s">
        <v>710</v>
      </c>
      <c r="B16" s="485" t="s">
        <v>711</v>
      </c>
      <c r="C16" s="485" t="s">
        <v>712</v>
      </c>
      <c r="D16" s="486" t="s">
        <v>713</v>
      </c>
      <c r="E16" s="485" t="s">
        <v>714</v>
      </c>
      <c r="F16" s="487" t="s">
        <v>715</v>
      </c>
      <c r="G16" s="488" t="s">
        <v>716</v>
      </c>
      <c r="H16" s="485" t="s">
        <v>717</v>
      </c>
      <c r="I16" s="487" t="s">
        <v>718</v>
      </c>
      <c r="J16" s="489" t="s">
        <v>719</v>
      </c>
      <c r="P16" s="424" t="s">
        <v>710</v>
      </c>
      <c r="Q16" s="424" t="s">
        <v>711</v>
      </c>
      <c r="R16" s="424" t="s">
        <v>720</v>
      </c>
      <c r="S16" s="424" t="s">
        <v>721</v>
      </c>
      <c r="T16" s="424" t="s">
        <v>714</v>
      </c>
      <c r="U16" s="424" t="s">
        <v>715</v>
      </c>
      <c r="V16" s="424" t="s">
        <v>716</v>
      </c>
      <c r="W16" s="424" t="s">
        <v>717</v>
      </c>
      <c r="X16" s="424" t="s">
        <v>718</v>
      </c>
      <c r="Y16" s="424" t="s">
        <v>719</v>
      </c>
    </row>
    <row r="17" spans="1:25" x14ac:dyDescent="0.35">
      <c r="A17" s="23">
        <v>807</v>
      </c>
      <c r="B17" s="459">
        <v>0.2</v>
      </c>
      <c r="C17" s="483">
        <v>143.75</v>
      </c>
      <c r="D17" s="554">
        <f>(B17-Lowest_bill_SSW_protecting_wildlife)/(Highest_servicelevel_SSW_protecting_wildlife-Lowest_servicelevel_SSW_protecting_wildlife)</f>
        <v>2.1000000000000003E-3</v>
      </c>
      <c r="E17" s="459">
        <v>7.0000000000000007E-2</v>
      </c>
      <c r="F17" s="483">
        <v>60</v>
      </c>
      <c r="G17" s="168">
        <f t="shared" ref="G17:G80" si="0">(E17-Lowest_bill_SSW_leakage)/(Highest_servicelevel_SSW_leakage-Lowest_servicelevel_SSW_leakage)</f>
        <v>8.5000000000000006E-3</v>
      </c>
      <c r="H17" s="459">
        <v>-0.01</v>
      </c>
      <c r="I17" s="483">
        <v>6.5</v>
      </c>
      <c r="J17" s="168">
        <f t="shared" ref="J17:J80" si="1">(H17-Lowest_bill_SSW_interruptions)/(Highest_servicelevel_SSW_interruptions-Lowest_servicelevel_SSW_interruptions)</f>
        <v>0.53833333333333333</v>
      </c>
      <c r="P17" s="23">
        <v>809</v>
      </c>
      <c r="Q17" s="459">
        <v>0.44</v>
      </c>
      <c r="R17" s="483">
        <v>206.25</v>
      </c>
      <c r="S17" s="554">
        <f t="shared" ref="S17:S48" si="2">(Q17-Lowest_bill_CAM_protecting_wildlife)/(Highest_servicelevel_CAM_protecting_wildlife-Lowest_servicelevel_CAM_protecting_wildlife)</f>
        <v>3.2500000000000003E-3</v>
      </c>
      <c r="T17" s="459">
        <v>0.41</v>
      </c>
      <c r="U17" s="483">
        <v>9</v>
      </c>
      <c r="V17" s="168">
        <f t="shared" ref="V17:V48" si="3">(T17-Lowest_bill_CAM_leakage)/(Highest_servicelevel_CAM_leakage-Lowest_servicelevel_CAM_leakage)</f>
        <v>5.8571428571428566E-2</v>
      </c>
      <c r="W17" s="459">
        <v>0.68</v>
      </c>
      <c r="X17" s="483">
        <v>4.25</v>
      </c>
      <c r="Y17" s="168">
        <f t="shared" ref="Y17:Y48" si="4">(W17-Lowest_bill_CAM_interruptions)/(Highest_servicelevel_CAM_interruptions-Lowest_servicelevel_CAM_interruptions)</f>
        <v>0.56999999999999995</v>
      </c>
    </row>
    <row r="18" spans="1:25" x14ac:dyDescent="0.35">
      <c r="A18" s="23">
        <v>810</v>
      </c>
      <c r="B18" s="459">
        <v>0.4</v>
      </c>
      <c r="C18" s="483">
        <v>193.75</v>
      </c>
      <c r="D18" s="554">
        <f>(B18-Lowest_bill_SSW_protecting_wildlife)/(Highest_servicelevel_SSW_protecting_wildlife-Lowest_servicelevel_SSW_protecting_wildlife)</f>
        <v>3.0999999999999999E-3</v>
      </c>
      <c r="E18" s="459">
        <v>0.47</v>
      </c>
      <c r="F18" s="483">
        <v>53.75</v>
      </c>
      <c r="G18" s="168">
        <f t="shared" si="0"/>
        <v>1.8499999999999999E-2</v>
      </c>
      <c r="H18" s="459">
        <v>0.6</v>
      </c>
      <c r="I18" s="483">
        <v>4.75</v>
      </c>
      <c r="J18" s="168">
        <f t="shared" si="1"/>
        <v>0.58916666666666662</v>
      </c>
      <c r="P18" s="23">
        <v>951</v>
      </c>
      <c r="Q18" s="459">
        <v>0.2</v>
      </c>
      <c r="R18" s="483">
        <v>143.75</v>
      </c>
      <c r="S18" s="554">
        <f t="shared" si="2"/>
        <v>2.0500000000000002E-3</v>
      </c>
      <c r="T18" s="459">
        <v>0.05</v>
      </c>
      <c r="U18" s="483">
        <v>11</v>
      </c>
      <c r="V18" s="168">
        <f t="shared" si="3"/>
        <v>7.1428571428571435E-3</v>
      </c>
      <c r="W18" s="459">
        <v>0.02</v>
      </c>
      <c r="X18" s="483">
        <v>6</v>
      </c>
      <c r="Y18" s="168">
        <f t="shared" si="4"/>
        <v>0.51500000000000001</v>
      </c>
    </row>
    <row r="19" spans="1:25" x14ac:dyDescent="0.35">
      <c r="A19" s="23">
        <v>812</v>
      </c>
      <c r="B19" s="459">
        <v>0.52</v>
      </c>
      <c r="C19" s="483">
        <v>218.75</v>
      </c>
      <c r="D19" s="554">
        <f t="shared" ref="D19:D80" si="5">(B19-Lowest_bill_SSW_protecting_wildlife)/(Highest_servicelevel_SSW_protecting_wildlife-Lowest_servicelevel_SSW_protecting_wildlife)</f>
        <v>3.7000000000000002E-3</v>
      </c>
      <c r="E19" s="459">
        <v>0.6</v>
      </c>
      <c r="F19" s="483">
        <v>51.25</v>
      </c>
      <c r="G19" s="168">
        <f t="shared" si="0"/>
        <v>2.1749999999999999E-2</v>
      </c>
      <c r="H19" s="459">
        <v>0.71</v>
      </c>
      <c r="I19" s="483">
        <v>4</v>
      </c>
      <c r="J19" s="168">
        <f t="shared" si="1"/>
        <v>0.59833333333333327</v>
      </c>
      <c r="P19" s="23">
        <v>953</v>
      </c>
      <c r="Q19" s="459">
        <v>0.41</v>
      </c>
      <c r="R19" s="483">
        <v>200</v>
      </c>
      <c r="S19" s="554">
        <f t="shared" si="2"/>
        <v>3.0999999999999999E-3</v>
      </c>
      <c r="T19" s="459">
        <v>0.41</v>
      </c>
      <c r="U19" s="483">
        <v>9</v>
      </c>
      <c r="V19" s="168">
        <f t="shared" si="3"/>
        <v>5.8571428571428566E-2</v>
      </c>
      <c r="W19" s="459">
        <v>-6.16</v>
      </c>
      <c r="X19" s="483">
        <v>14</v>
      </c>
      <c r="Y19" s="168">
        <f t="shared" si="4"/>
        <v>0</v>
      </c>
    </row>
    <row r="20" spans="1:25" x14ac:dyDescent="0.35">
      <c r="A20" s="23">
        <v>822</v>
      </c>
      <c r="B20" s="459">
        <v>0.6</v>
      </c>
      <c r="C20" s="483">
        <v>237.5</v>
      </c>
      <c r="D20" s="554">
        <f t="shared" si="5"/>
        <v>4.0999999999999995E-3</v>
      </c>
      <c r="E20" s="459">
        <v>2.02</v>
      </c>
      <c r="F20" s="483">
        <v>47.5</v>
      </c>
      <c r="G20" s="168">
        <f t="shared" si="0"/>
        <v>5.7250000000000002E-2</v>
      </c>
      <c r="H20" s="459">
        <v>0.71</v>
      </c>
      <c r="I20" s="483">
        <v>4</v>
      </c>
      <c r="J20" s="168">
        <f t="shared" si="1"/>
        <v>0.59833333333333327</v>
      </c>
      <c r="P20" s="23">
        <v>956</v>
      </c>
      <c r="Q20" s="459">
        <v>0.41</v>
      </c>
      <c r="R20" s="483">
        <v>200</v>
      </c>
      <c r="S20" s="554">
        <f t="shared" si="2"/>
        <v>3.0999999999999999E-3</v>
      </c>
      <c r="T20" s="459">
        <v>1.55</v>
      </c>
      <c r="U20" s="483">
        <v>9</v>
      </c>
      <c r="V20" s="168">
        <f t="shared" si="3"/>
        <v>0.22142857142857145</v>
      </c>
      <c r="W20" s="459">
        <v>0.68</v>
      </c>
      <c r="X20" s="483">
        <v>4.25</v>
      </c>
      <c r="Y20" s="168">
        <f t="shared" si="4"/>
        <v>0.56999999999999995</v>
      </c>
    </row>
    <row r="21" spans="1:25" x14ac:dyDescent="0.35">
      <c r="A21" s="23">
        <v>825</v>
      </c>
      <c r="B21" s="459">
        <v>0.43</v>
      </c>
      <c r="C21" s="483">
        <v>200</v>
      </c>
      <c r="D21" s="554">
        <f t="shared" si="5"/>
        <v>3.2500000000000003E-3</v>
      </c>
      <c r="E21" s="459">
        <v>0.68</v>
      </c>
      <c r="F21" s="483">
        <v>50</v>
      </c>
      <c r="G21" s="168">
        <f t="shared" si="0"/>
        <v>2.375E-2</v>
      </c>
      <c r="H21" s="459">
        <v>6.47</v>
      </c>
      <c r="I21" s="483">
        <v>2</v>
      </c>
      <c r="J21" s="168">
        <f t="shared" si="1"/>
        <v>1.0783333333333334</v>
      </c>
      <c r="P21" s="23">
        <v>959</v>
      </c>
      <c r="Q21" s="459">
        <v>0.57999999999999996</v>
      </c>
      <c r="R21" s="483">
        <v>237.5</v>
      </c>
      <c r="S21" s="554">
        <f t="shared" si="2"/>
        <v>3.9499999999999995E-3</v>
      </c>
      <c r="T21" s="459">
        <v>0.77</v>
      </c>
      <c r="U21" s="483">
        <v>9</v>
      </c>
      <c r="V21" s="168">
        <f t="shared" si="3"/>
        <v>0.11</v>
      </c>
      <c r="W21" s="459">
        <v>0.68</v>
      </c>
      <c r="X21" s="483">
        <v>4.25</v>
      </c>
      <c r="Y21" s="168">
        <f t="shared" si="4"/>
        <v>0.56999999999999995</v>
      </c>
    </row>
    <row r="22" spans="1:25" x14ac:dyDescent="0.35">
      <c r="A22" s="23">
        <v>849</v>
      </c>
      <c r="B22" s="459">
        <v>0.43</v>
      </c>
      <c r="C22" s="483">
        <v>200</v>
      </c>
      <c r="D22" s="554">
        <f t="shared" si="5"/>
        <v>3.2500000000000003E-3</v>
      </c>
      <c r="E22" s="459">
        <v>0.68</v>
      </c>
      <c r="F22" s="483">
        <v>50</v>
      </c>
      <c r="G22" s="168">
        <f t="shared" si="0"/>
        <v>2.375E-2</v>
      </c>
      <c r="H22" s="459">
        <v>0.71</v>
      </c>
      <c r="I22" s="483">
        <v>4</v>
      </c>
      <c r="J22" s="168">
        <f t="shared" si="1"/>
        <v>0.59833333333333327</v>
      </c>
      <c r="P22" s="23">
        <v>967</v>
      </c>
      <c r="Q22" s="459">
        <v>0.6</v>
      </c>
      <c r="R22" s="483">
        <v>243.75</v>
      </c>
      <c r="S22" s="554">
        <f t="shared" si="2"/>
        <v>4.0499999999999998E-3</v>
      </c>
      <c r="T22" s="459">
        <v>2.4</v>
      </c>
      <c r="U22" s="483">
        <v>8.375</v>
      </c>
      <c r="V22" s="168">
        <f t="shared" si="3"/>
        <v>0.34285714285714286</v>
      </c>
      <c r="W22" s="459">
        <v>1.36</v>
      </c>
      <c r="X22" s="483">
        <v>4.25</v>
      </c>
      <c r="Y22" s="168">
        <f t="shared" si="4"/>
        <v>0.62666666666666671</v>
      </c>
    </row>
    <row r="23" spans="1:25" x14ac:dyDescent="0.35">
      <c r="A23" s="23">
        <v>850</v>
      </c>
      <c r="B23" s="459">
        <v>-0.22</v>
      </c>
      <c r="C23" s="483">
        <v>50</v>
      </c>
      <c r="D23" s="554">
        <f t="shared" si="5"/>
        <v>0</v>
      </c>
      <c r="E23" s="459">
        <v>0.43</v>
      </c>
      <c r="F23" s="483">
        <v>53.75</v>
      </c>
      <c r="G23" s="168">
        <f t="shared" si="0"/>
        <v>1.7499999999999998E-2</v>
      </c>
      <c r="H23" s="459">
        <v>0.71</v>
      </c>
      <c r="I23" s="483">
        <v>4</v>
      </c>
      <c r="J23" s="168">
        <f t="shared" si="1"/>
        <v>0.59833333333333327</v>
      </c>
      <c r="P23" s="23">
        <v>973</v>
      </c>
      <c r="Q23" s="459">
        <v>0.41</v>
      </c>
      <c r="R23" s="483">
        <v>200</v>
      </c>
      <c r="S23" s="554">
        <f t="shared" si="2"/>
        <v>3.0999999999999999E-3</v>
      </c>
      <c r="T23" s="459">
        <v>0.66</v>
      </c>
      <c r="U23" s="483">
        <v>9</v>
      </c>
      <c r="V23" s="168">
        <f t="shared" si="3"/>
        <v>9.4285714285714292E-2</v>
      </c>
      <c r="W23" s="459">
        <v>0.68</v>
      </c>
      <c r="X23" s="483">
        <v>4.25</v>
      </c>
      <c r="Y23" s="168">
        <f t="shared" si="4"/>
        <v>0.56999999999999995</v>
      </c>
    </row>
    <row r="24" spans="1:25" x14ac:dyDescent="0.35">
      <c r="A24" s="23">
        <v>867</v>
      </c>
      <c r="B24" s="459">
        <v>0.65</v>
      </c>
      <c r="C24" s="483">
        <v>250</v>
      </c>
      <c r="D24" s="554">
        <f t="shared" si="5"/>
        <v>4.3499999999999997E-3</v>
      </c>
      <c r="E24" s="459">
        <v>0.39</v>
      </c>
      <c r="F24" s="483">
        <v>55</v>
      </c>
      <c r="G24" s="168">
        <f t="shared" si="0"/>
        <v>1.6500000000000001E-2</v>
      </c>
      <c r="H24" s="459">
        <v>0.55000000000000004</v>
      </c>
      <c r="I24" s="483">
        <v>4.75</v>
      </c>
      <c r="J24" s="168">
        <f t="shared" si="1"/>
        <v>0.58499999999999996</v>
      </c>
      <c r="P24" s="23">
        <v>986</v>
      </c>
      <c r="Q24" s="459">
        <v>0.45</v>
      </c>
      <c r="R24" s="483">
        <v>206.25</v>
      </c>
      <c r="S24" s="554">
        <f t="shared" si="2"/>
        <v>3.3E-3</v>
      </c>
      <c r="T24" s="459">
        <v>1.42</v>
      </c>
      <c r="U24" s="483">
        <v>9</v>
      </c>
      <c r="V24" s="168">
        <f t="shared" si="3"/>
        <v>0.20285714285714285</v>
      </c>
      <c r="W24" s="459">
        <v>0.68</v>
      </c>
      <c r="X24" s="483">
        <v>4.25</v>
      </c>
      <c r="Y24" s="168">
        <f t="shared" si="4"/>
        <v>0.56999999999999995</v>
      </c>
    </row>
    <row r="25" spans="1:25" x14ac:dyDescent="0.35">
      <c r="A25" s="23">
        <v>870</v>
      </c>
      <c r="B25" s="459">
        <v>0.52</v>
      </c>
      <c r="C25" s="483">
        <v>218.75</v>
      </c>
      <c r="D25" s="554">
        <f t="shared" si="5"/>
        <v>3.7000000000000002E-3</v>
      </c>
      <c r="E25" s="459">
        <v>4.38</v>
      </c>
      <c r="F25" s="483">
        <v>40</v>
      </c>
      <c r="G25" s="168">
        <f t="shared" si="0"/>
        <v>0.11625000000000001</v>
      </c>
      <c r="H25" s="459">
        <v>0.36</v>
      </c>
      <c r="I25" s="483">
        <v>5</v>
      </c>
      <c r="J25" s="168">
        <f t="shared" si="1"/>
        <v>0.56916666666666671</v>
      </c>
      <c r="P25" s="23">
        <v>1137</v>
      </c>
      <c r="Q25" s="459">
        <v>0.56000000000000005</v>
      </c>
      <c r="R25" s="483">
        <v>231.25</v>
      </c>
      <c r="S25" s="554">
        <f t="shared" si="2"/>
        <v>3.8500000000000001E-3</v>
      </c>
      <c r="T25" s="459">
        <v>1.37</v>
      </c>
      <c r="U25" s="483">
        <v>9</v>
      </c>
      <c r="V25" s="168">
        <f t="shared" si="3"/>
        <v>0.19571428571428573</v>
      </c>
      <c r="W25" s="459">
        <v>0.68</v>
      </c>
      <c r="X25" s="483">
        <v>4.25</v>
      </c>
      <c r="Y25" s="168">
        <f t="shared" si="4"/>
        <v>0.56999999999999995</v>
      </c>
    </row>
    <row r="26" spans="1:25" x14ac:dyDescent="0.35">
      <c r="A26" s="23">
        <v>872</v>
      </c>
      <c r="B26" s="459">
        <v>0.42</v>
      </c>
      <c r="C26" s="483">
        <v>193.75</v>
      </c>
      <c r="D26" s="554">
        <f t="shared" si="5"/>
        <v>3.2000000000000002E-3</v>
      </c>
      <c r="E26" s="459">
        <v>1.35</v>
      </c>
      <c r="F26" s="483">
        <v>48.75</v>
      </c>
      <c r="G26" s="168">
        <f t="shared" si="0"/>
        <v>4.0500000000000001E-2</v>
      </c>
      <c r="H26" s="459">
        <v>0.64</v>
      </c>
      <c r="I26" s="483">
        <v>4.25</v>
      </c>
      <c r="J26" s="168">
        <f t="shared" si="1"/>
        <v>0.59249999999999992</v>
      </c>
      <c r="P26" s="23">
        <v>1140</v>
      </c>
      <c r="Q26" s="459">
        <v>0.62</v>
      </c>
      <c r="R26" s="483">
        <v>250</v>
      </c>
      <c r="S26" s="554">
        <f t="shared" si="2"/>
        <v>4.15E-3</v>
      </c>
      <c r="T26" s="459">
        <v>1.55</v>
      </c>
      <c r="U26" s="483">
        <v>9</v>
      </c>
      <c r="V26" s="168">
        <f t="shared" si="3"/>
        <v>0.22142857142857145</v>
      </c>
      <c r="W26" s="459">
        <v>0.37</v>
      </c>
      <c r="X26" s="483">
        <v>5.25</v>
      </c>
      <c r="Y26" s="168">
        <f t="shared" si="4"/>
        <v>0.54416666666666669</v>
      </c>
    </row>
    <row r="27" spans="1:25" x14ac:dyDescent="0.35">
      <c r="A27" s="23">
        <v>873</v>
      </c>
      <c r="B27" s="459">
        <v>0.43</v>
      </c>
      <c r="C27" s="483">
        <v>200</v>
      </c>
      <c r="D27" s="554">
        <f t="shared" si="5"/>
        <v>3.2500000000000003E-3</v>
      </c>
      <c r="E27" s="459">
        <v>0.68</v>
      </c>
      <c r="F27" s="483">
        <v>50</v>
      </c>
      <c r="G27" s="168">
        <f t="shared" si="0"/>
        <v>2.375E-2</v>
      </c>
      <c r="H27" s="459">
        <v>0.71</v>
      </c>
      <c r="I27" s="483">
        <v>4</v>
      </c>
      <c r="J27" s="168">
        <f t="shared" si="1"/>
        <v>0.59833333333333327</v>
      </c>
      <c r="P27" s="23">
        <v>1141</v>
      </c>
      <c r="Q27" s="459">
        <v>0.44</v>
      </c>
      <c r="R27" s="483">
        <v>206.25</v>
      </c>
      <c r="S27" s="554">
        <f t="shared" si="2"/>
        <v>3.2500000000000003E-3</v>
      </c>
      <c r="T27" s="459">
        <v>1.61</v>
      </c>
      <c r="U27" s="483">
        <v>9</v>
      </c>
      <c r="V27" s="168">
        <f t="shared" si="3"/>
        <v>0.23</v>
      </c>
      <c r="W27" s="459">
        <v>0.68</v>
      </c>
      <c r="X27" s="483">
        <v>4.25</v>
      </c>
      <c r="Y27" s="168">
        <f t="shared" si="4"/>
        <v>0.56999999999999995</v>
      </c>
    </row>
    <row r="28" spans="1:25" x14ac:dyDescent="0.35">
      <c r="A28" s="23">
        <v>887</v>
      </c>
      <c r="B28" s="459">
        <v>0.43</v>
      </c>
      <c r="C28" s="483">
        <v>200</v>
      </c>
      <c r="D28" s="554">
        <f t="shared" si="5"/>
        <v>3.2500000000000003E-3</v>
      </c>
      <c r="E28" s="459">
        <v>1.25</v>
      </c>
      <c r="F28" s="483">
        <v>48.75</v>
      </c>
      <c r="G28" s="168">
        <f t="shared" si="0"/>
        <v>3.7999999999999999E-2</v>
      </c>
      <c r="H28" s="459">
        <v>0.71</v>
      </c>
      <c r="I28" s="483">
        <v>4</v>
      </c>
      <c r="J28" s="168">
        <f t="shared" si="1"/>
        <v>0.59833333333333327</v>
      </c>
      <c r="P28" s="23">
        <v>1283</v>
      </c>
      <c r="Q28" s="459">
        <v>0.33</v>
      </c>
      <c r="R28" s="483">
        <v>175</v>
      </c>
      <c r="S28" s="554">
        <f t="shared" si="2"/>
        <v>2.7000000000000001E-3</v>
      </c>
      <c r="T28" s="459">
        <v>0.41</v>
      </c>
      <c r="U28" s="483">
        <v>9</v>
      </c>
      <c r="V28" s="168">
        <f t="shared" si="3"/>
        <v>5.8571428571428566E-2</v>
      </c>
      <c r="W28" s="459">
        <v>0.36</v>
      </c>
      <c r="X28" s="483">
        <v>5.25</v>
      </c>
      <c r="Y28" s="168">
        <f t="shared" si="4"/>
        <v>0.54333333333333333</v>
      </c>
    </row>
    <row r="29" spans="1:25" x14ac:dyDescent="0.35">
      <c r="A29" s="23">
        <v>964</v>
      </c>
      <c r="B29" s="459">
        <v>0.5</v>
      </c>
      <c r="C29" s="483">
        <v>212.5</v>
      </c>
      <c r="D29" s="554">
        <f t="shared" si="5"/>
        <v>3.5999999999999999E-3</v>
      </c>
      <c r="E29" s="459">
        <v>1.25</v>
      </c>
      <c r="F29" s="483">
        <v>48.75</v>
      </c>
      <c r="G29" s="168">
        <f t="shared" si="0"/>
        <v>3.7999999999999999E-2</v>
      </c>
      <c r="H29" s="459">
        <v>0.67</v>
      </c>
      <c r="I29" s="483">
        <v>4.25</v>
      </c>
      <c r="J29" s="168">
        <f t="shared" si="1"/>
        <v>0.59499999999999997</v>
      </c>
      <c r="P29" s="23">
        <v>1333</v>
      </c>
      <c r="Q29" s="459">
        <v>0.41</v>
      </c>
      <c r="R29" s="483">
        <v>200</v>
      </c>
      <c r="S29" s="554">
        <f t="shared" si="2"/>
        <v>3.0999999999999999E-3</v>
      </c>
      <c r="T29" s="459">
        <v>0.57999999999999996</v>
      </c>
      <c r="U29" s="483">
        <v>9</v>
      </c>
      <c r="V29" s="168">
        <f t="shared" si="3"/>
        <v>8.2857142857142851E-2</v>
      </c>
      <c r="W29" s="459">
        <v>0.68</v>
      </c>
      <c r="X29" s="483">
        <v>4.25</v>
      </c>
      <c r="Y29" s="168">
        <f t="shared" si="4"/>
        <v>0.56999999999999995</v>
      </c>
    </row>
    <row r="30" spans="1:25" x14ac:dyDescent="0.35">
      <c r="A30" s="23">
        <v>968</v>
      </c>
      <c r="B30" s="459">
        <v>0.43</v>
      </c>
      <c r="C30" s="483">
        <v>200</v>
      </c>
      <c r="D30" s="554">
        <f t="shared" si="5"/>
        <v>3.2500000000000003E-3</v>
      </c>
      <c r="E30" s="459">
        <v>0.68</v>
      </c>
      <c r="F30" s="483">
        <v>50</v>
      </c>
      <c r="G30" s="168">
        <f t="shared" si="0"/>
        <v>2.375E-2</v>
      </c>
      <c r="H30" s="459">
        <v>0.71</v>
      </c>
      <c r="I30" s="483">
        <v>4</v>
      </c>
      <c r="J30" s="168">
        <f t="shared" si="1"/>
        <v>0.59833333333333327</v>
      </c>
      <c r="P30" s="23">
        <v>1376</v>
      </c>
      <c r="Q30" s="459">
        <v>0.41</v>
      </c>
      <c r="R30" s="483">
        <v>200</v>
      </c>
      <c r="S30" s="554">
        <f t="shared" si="2"/>
        <v>3.0999999999999999E-3</v>
      </c>
      <c r="T30" s="459">
        <v>0.41</v>
      </c>
      <c r="U30" s="483">
        <v>9</v>
      </c>
      <c r="V30" s="168">
        <f t="shared" si="3"/>
        <v>5.8571428571428566E-2</v>
      </c>
      <c r="W30" s="459">
        <v>2.66</v>
      </c>
      <c r="X30" s="483">
        <v>4.25</v>
      </c>
      <c r="Y30" s="168">
        <f t="shared" si="4"/>
        <v>0.73499999999999999</v>
      </c>
    </row>
    <row r="31" spans="1:25" x14ac:dyDescent="0.35">
      <c r="A31" s="23">
        <v>970</v>
      </c>
      <c r="B31" s="459">
        <v>0.5</v>
      </c>
      <c r="C31" s="483">
        <v>212.5</v>
      </c>
      <c r="D31" s="554">
        <f t="shared" si="5"/>
        <v>3.5999999999999999E-3</v>
      </c>
      <c r="E31" s="459">
        <v>1.66</v>
      </c>
      <c r="F31" s="483">
        <v>47.5</v>
      </c>
      <c r="G31" s="168">
        <f t="shared" si="0"/>
        <v>4.8250000000000001E-2</v>
      </c>
      <c r="H31" s="459">
        <v>0.71</v>
      </c>
      <c r="I31" s="483">
        <v>4</v>
      </c>
      <c r="J31" s="168">
        <f t="shared" si="1"/>
        <v>0.59833333333333327</v>
      </c>
      <c r="P31" s="23">
        <v>1379</v>
      </c>
      <c r="Q31" s="459">
        <v>0.41</v>
      </c>
      <c r="R31" s="483">
        <v>200</v>
      </c>
      <c r="S31" s="554">
        <f t="shared" si="2"/>
        <v>3.0999999999999999E-3</v>
      </c>
      <c r="T31" s="459">
        <v>1.01</v>
      </c>
      <c r="U31" s="483">
        <v>9</v>
      </c>
      <c r="V31" s="168">
        <f t="shared" si="3"/>
        <v>0.14428571428571429</v>
      </c>
      <c r="W31" s="459">
        <v>0.39</v>
      </c>
      <c r="X31" s="483">
        <v>5.25</v>
      </c>
      <c r="Y31" s="168">
        <f t="shared" si="4"/>
        <v>0.54583333333333328</v>
      </c>
    </row>
    <row r="32" spans="1:25" x14ac:dyDescent="0.35">
      <c r="A32" s="23">
        <v>974</v>
      </c>
      <c r="B32" s="459">
        <v>0.43</v>
      </c>
      <c r="C32" s="483">
        <v>200</v>
      </c>
      <c r="D32" s="554">
        <f t="shared" si="5"/>
        <v>3.2500000000000003E-3</v>
      </c>
      <c r="E32" s="459">
        <v>0.68</v>
      </c>
      <c r="F32" s="483">
        <v>50</v>
      </c>
      <c r="G32" s="168">
        <f t="shared" si="0"/>
        <v>2.375E-2</v>
      </c>
      <c r="H32" s="459">
        <v>0.71</v>
      </c>
      <c r="I32" s="483">
        <v>4</v>
      </c>
      <c r="J32" s="168">
        <f t="shared" si="1"/>
        <v>0.59833333333333327</v>
      </c>
      <c r="P32" s="23">
        <v>1390</v>
      </c>
      <c r="Q32" s="459">
        <v>0.41</v>
      </c>
      <c r="R32" s="483">
        <v>200</v>
      </c>
      <c r="S32" s="554">
        <f t="shared" si="2"/>
        <v>3.0999999999999999E-3</v>
      </c>
      <c r="T32" s="459">
        <v>0.12</v>
      </c>
      <c r="U32" s="483">
        <v>10.5</v>
      </c>
      <c r="V32" s="168">
        <f t="shared" si="3"/>
        <v>1.7142857142857144E-2</v>
      </c>
      <c r="W32" s="459">
        <v>0.44</v>
      </c>
      <c r="X32" s="483">
        <v>5.25</v>
      </c>
      <c r="Y32" s="168">
        <f t="shared" si="4"/>
        <v>0.55000000000000004</v>
      </c>
    </row>
    <row r="33" spans="1:25" x14ac:dyDescent="0.35">
      <c r="A33" s="23">
        <v>976</v>
      </c>
      <c r="B33" s="459">
        <v>0.65</v>
      </c>
      <c r="C33" s="483">
        <v>250</v>
      </c>
      <c r="D33" s="554">
        <f t="shared" si="5"/>
        <v>4.3499999999999997E-3</v>
      </c>
      <c r="E33" s="459">
        <v>4.38</v>
      </c>
      <c r="F33" s="483">
        <v>40</v>
      </c>
      <c r="G33" s="168">
        <f t="shared" si="0"/>
        <v>0.11625000000000001</v>
      </c>
      <c r="H33" s="459">
        <v>6.47</v>
      </c>
      <c r="I33" s="483">
        <v>2</v>
      </c>
      <c r="J33" s="168">
        <f t="shared" si="1"/>
        <v>1.0783333333333334</v>
      </c>
      <c r="P33" s="23">
        <v>1407</v>
      </c>
      <c r="Q33" s="459">
        <v>0.5</v>
      </c>
      <c r="R33" s="483">
        <v>218.75</v>
      </c>
      <c r="S33" s="554">
        <f t="shared" si="2"/>
        <v>3.5499999999999998E-3</v>
      </c>
      <c r="T33" s="459">
        <v>0.89</v>
      </c>
      <c r="U33" s="483">
        <v>9</v>
      </c>
      <c r="V33" s="168">
        <f t="shared" si="3"/>
        <v>0.12714285714285714</v>
      </c>
      <c r="W33" s="459">
        <v>0.68</v>
      </c>
      <c r="X33" s="483">
        <v>4.25</v>
      </c>
      <c r="Y33" s="168">
        <f t="shared" si="4"/>
        <v>0.56999999999999995</v>
      </c>
    </row>
    <row r="34" spans="1:25" x14ac:dyDescent="0.35">
      <c r="A34" s="23">
        <v>977</v>
      </c>
      <c r="B34" s="459">
        <v>0.45</v>
      </c>
      <c r="C34" s="483">
        <v>200</v>
      </c>
      <c r="D34" s="554">
        <f t="shared" si="5"/>
        <v>3.3500000000000001E-3</v>
      </c>
      <c r="E34" s="459">
        <v>0.68</v>
      </c>
      <c r="F34" s="483">
        <v>50</v>
      </c>
      <c r="G34" s="168">
        <f t="shared" si="0"/>
        <v>2.375E-2</v>
      </c>
      <c r="H34" s="459">
        <v>0.01</v>
      </c>
      <c r="I34" s="483">
        <v>6</v>
      </c>
      <c r="J34" s="168">
        <f t="shared" si="1"/>
        <v>0.53999999999999992</v>
      </c>
      <c r="P34" s="23">
        <v>1458</v>
      </c>
      <c r="Q34" s="459">
        <v>0</v>
      </c>
      <c r="R34" s="483">
        <v>100</v>
      </c>
      <c r="S34" s="554">
        <f t="shared" si="2"/>
        <v>1.0499999999999999E-3</v>
      </c>
      <c r="T34" s="459">
        <v>0</v>
      </c>
      <c r="U34" s="483">
        <v>15</v>
      </c>
      <c r="V34" s="168">
        <f t="shared" si="3"/>
        <v>0</v>
      </c>
      <c r="W34" s="459">
        <v>0</v>
      </c>
      <c r="X34" s="483">
        <v>6</v>
      </c>
      <c r="Y34" s="168">
        <f t="shared" si="4"/>
        <v>0.51333333333333331</v>
      </c>
    </row>
    <row r="35" spans="1:25" x14ac:dyDescent="0.35">
      <c r="A35" s="23">
        <v>982</v>
      </c>
      <c r="B35" s="459">
        <v>0.43</v>
      </c>
      <c r="C35" s="483">
        <v>200</v>
      </c>
      <c r="D35" s="554">
        <f t="shared" si="5"/>
        <v>3.2500000000000003E-3</v>
      </c>
      <c r="E35" s="459">
        <v>1.44</v>
      </c>
      <c r="F35" s="483">
        <v>48.75</v>
      </c>
      <c r="G35" s="168">
        <f t="shared" si="0"/>
        <v>4.2749999999999996E-2</v>
      </c>
      <c r="H35" s="459">
        <v>0.71</v>
      </c>
      <c r="I35" s="483">
        <v>4</v>
      </c>
      <c r="J35" s="168">
        <f t="shared" si="1"/>
        <v>0.59833333333333327</v>
      </c>
      <c r="P35" s="23">
        <v>1505</v>
      </c>
      <c r="Q35" s="459">
        <v>0.41</v>
      </c>
      <c r="R35" s="483">
        <v>200</v>
      </c>
      <c r="S35" s="554">
        <f t="shared" si="2"/>
        <v>3.0999999999999999E-3</v>
      </c>
      <c r="T35" s="459">
        <v>0.41</v>
      </c>
      <c r="U35" s="483">
        <v>9</v>
      </c>
      <c r="V35" s="168">
        <f t="shared" si="3"/>
        <v>5.8571428571428566E-2</v>
      </c>
      <c r="W35" s="459">
        <v>0.68</v>
      </c>
      <c r="X35" s="483">
        <v>4.25</v>
      </c>
      <c r="Y35" s="168">
        <f t="shared" si="4"/>
        <v>0.56999999999999995</v>
      </c>
    </row>
    <row r="36" spans="1:25" x14ac:dyDescent="0.35">
      <c r="A36" s="23">
        <v>985</v>
      </c>
      <c r="B36" s="459">
        <v>0.16</v>
      </c>
      <c r="C36" s="483">
        <v>131.25</v>
      </c>
      <c r="D36" s="554">
        <f t="shared" si="5"/>
        <v>1.9E-3</v>
      </c>
      <c r="E36" s="459">
        <v>2.3199999999999998</v>
      </c>
      <c r="F36" s="483">
        <v>46.25</v>
      </c>
      <c r="G36" s="168">
        <f t="shared" si="0"/>
        <v>6.4750000000000002E-2</v>
      </c>
      <c r="H36" s="459">
        <v>0.35</v>
      </c>
      <c r="I36" s="483">
        <v>5.25</v>
      </c>
      <c r="J36" s="168">
        <f t="shared" si="1"/>
        <v>0.56833333333333325</v>
      </c>
      <c r="P36" s="23">
        <v>1548</v>
      </c>
      <c r="Q36" s="459">
        <v>0.54</v>
      </c>
      <c r="R36" s="483">
        <v>231.25</v>
      </c>
      <c r="S36" s="554">
        <f t="shared" si="2"/>
        <v>3.7499999999999999E-3</v>
      </c>
      <c r="T36" s="459">
        <v>2.15</v>
      </c>
      <c r="U36" s="483">
        <v>8.375</v>
      </c>
      <c r="V36" s="168">
        <f t="shared" si="3"/>
        <v>0.30714285714285711</v>
      </c>
      <c r="W36" s="459">
        <v>-0.01</v>
      </c>
      <c r="X36" s="483">
        <v>6.5</v>
      </c>
      <c r="Y36" s="168">
        <f t="shared" si="4"/>
        <v>0.51250000000000007</v>
      </c>
    </row>
    <row r="37" spans="1:25" x14ac:dyDescent="0.35">
      <c r="A37" s="23">
        <v>1187</v>
      </c>
      <c r="B37" s="459">
        <v>0.25</v>
      </c>
      <c r="C37" s="483">
        <v>156.25</v>
      </c>
      <c r="D37" s="554">
        <f t="shared" si="5"/>
        <v>2.3499999999999997E-3</v>
      </c>
      <c r="E37" s="459">
        <v>0.6</v>
      </c>
      <c r="F37" s="483">
        <v>51.25</v>
      </c>
      <c r="G37" s="168">
        <f t="shared" si="0"/>
        <v>2.1749999999999999E-2</v>
      </c>
      <c r="H37" s="459">
        <v>0.31</v>
      </c>
      <c r="I37" s="483">
        <v>5.25</v>
      </c>
      <c r="J37" s="168">
        <f t="shared" si="1"/>
        <v>0.56499999999999995</v>
      </c>
      <c r="P37" s="23">
        <v>1552</v>
      </c>
      <c r="Q37" s="459">
        <v>0.4</v>
      </c>
      <c r="R37" s="483">
        <v>193.75</v>
      </c>
      <c r="S37" s="554">
        <f t="shared" si="2"/>
        <v>3.0499999999999998E-3</v>
      </c>
      <c r="T37" s="459">
        <v>0.38</v>
      </c>
      <c r="U37" s="483">
        <v>9.25</v>
      </c>
      <c r="V37" s="168">
        <f t="shared" si="3"/>
        <v>5.4285714285714284E-2</v>
      </c>
      <c r="W37" s="459">
        <v>0.68</v>
      </c>
      <c r="X37" s="483">
        <v>4.25</v>
      </c>
      <c r="Y37" s="168">
        <f t="shared" si="4"/>
        <v>0.56999999999999995</v>
      </c>
    </row>
    <row r="38" spans="1:25" x14ac:dyDescent="0.35">
      <c r="A38" s="23">
        <v>1231</v>
      </c>
      <c r="B38" s="459">
        <v>0.4</v>
      </c>
      <c r="C38" s="483">
        <v>193.75</v>
      </c>
      <c r="D38" s="554">
        <f t="shared" si="5"/>
        <v>3.0999999999999999E-3</v>
      </c>
      <c r="E38" s="459">
        <v>1.35</v>
      </c>
      <c r="F38" s="483">
        <v>48.75</v>
      </c>
      <c r="G38" s="168">
        <f t="shared" si="0"/>
        <v>4.0500000000000001E-2</v>
      </c>
      <c r="H38" s="459">
        <v>0.5</v>
      </c>
      <c r="I38" s="483">
        <v>4.75</v>
      </c>
      <c r="J38" s="168">
        <f t="shared" si="1"/>
        <v>0.58083333333333331</v>
      </c>
      <c r="P38" s="23">
        <v>1555</v>
      </c>
      <c r="Q38" s="459">
        <v>0.43</v>
      </c>
      <c r="R38" s="483">
        <v>200</v>
      </c>
      <c r="S38" s="554">
        <f t="shared" si="2"/>
        <v>3.2000000000000002E-3</v>
      </c>
      <c r="T38" s="459">
        <v>0.83</v>
      </c>
      <c r="U38" s="483">
        <v>9</v>
      </c>
      <c r="V38" s="168">
        <f t="shared" si="3"/>
        <v>0.11857142857142856</v>
      </c>
      <c r="W38" s="459">
        <v>0.36</v>
      </c>
      <c r="X38" s="483">
        <v>5.25</v>
      </c>
      <c r="Y38" s="168">
        <f t="shared" si="4"/>
        <v>0.54333333333333333</v>
      </c>
    </row>
    <row r="39" spans="1:25" x14ac:dyDescent="0.35">
      <c r="A39" s="23">
        <v>1244</v>
      </c>
      <c r="B39" s="459">
        <v>0.36</v>
      </c>
      <c r="C39" s="483">
        <v>181.25</v>
      </c>
      <c r="D39" s="554">
        <f t="shared" si="5"/>
        <v>2.8999999999999998E-3</v>
      </c>
      <c r="E39" s="459">
        <v>0.81</v>
      </c>
      <c r="F39" s="483">
        <v>50</v>
      </c>
      <c r="G39" s="168">
        <f t="shared" si="0"/>
        <v>2.7000000000000003E-2</v>
      </c>
      <c r="H39" s="459">
        <v>2.12</v>
      </c>
      <c r="I39" s="483">
        <v>3.75</v>
      </c>
      <c r="J39" s="168">
        <f t="shared" si="1"/>
        <v>0.71583333333333332</v>
      </c>
      <c r="P39" s="23">
        <v>1582</v>
      </c>
      <c r="Q39" s="459">
        <v>0.62</v>
      </c>
      <c r="R39" s="483">
        <v>250</v>
      </c>
      <c r="S39" s="554">
        <f t="shared" si="2"/>
        <v>4.15E-3</v>
      </c>
      <c r="T39" s="459">
        <v>0.41</v>
      </c>
      <c r="U39" s="483">
        <v>9</v>
      </c>
      <c r="V39" s="168">
        <f t="shared" si="3"/>
        <v>5.8571428571428566E-2</v>
      </c>
      <c r="W39" s="459">
        <v>-6.16</v>
      </c>
      <c r="X39" s="483">
        <v>14</v>
      </c>
      <c r="Y39" s="168">
        <f t="shared" si="4"/>
        <v>0</v>
      </c>
    </row>
    <row r="40" spans="1:25" x14ac:dyDescent="0.35">
      <c r="A40" s="23">
        <v>1255</v>
      </c>
      <c r="B40" s="459">
        <v>0.43</v>
      </c>
      <c r="C40" s="483">
        <v>200</v>
      </c>
      <c r="D40" s="554">
        <f t="shared" si="5"/>
        <v>3.2500000000000003E-3</v>
      </c>
      <c r="E40" s="459">
        <v>4.38</v>
      </c>
      <c r="F40" s="483">
        <v>40</v>
      </c>
      <c r="G40" s="168">
        <f t="shared" si="0"/>
        <v>0.11625000000000001</v>
      </c>
      <c r="H40" s="459">
        <v>4.53</v>
      </c>
      <c r="I40" s="483">
        <v>3.25</v>
      </c>
      <c r="J40" s="168">
        <f t="shared" si="1"/>
        <v>0.91666666666666663</v>
      </c>
      <c r="P40" s="23">
        <v>1587</v>
      </c>
      <c r="Q40" s="459">
        <v>0.47</v>
      </c>
      <c r="R40" s="483">
        <v>212.5</v>
      </c>
      <c r="S40" s="554">
        <f t="shared" si="2"/>
        <v>3.3999999999999998E-3</v>
      </c>
      <c r="T40" s="459">
        <v>1.25</v>
      </c>
      <c r="U40" s="483">
        <v>9</v>
      </c>
      <c r="V40" s="168">
        <f t="shared" si="3"/>
        <v>0.17857142857142858</v>
      </c>
      <c r="W40" s="459">
        <v>-1.04</v>
      </c>
      <c r="X40" s="483">
        <v>7.5</v>
      </c>
      <c r="Y40" s="168">
        <f t="shared" si="4"/>
        <v>0.42666666666666669</v>
      </c>
    </row>
    <row r="41" spans="1:25" x14ac:dyDescent="0.35">
      <c r="A41" s="23">
        <v>1285</v>
      </c>
      <c r="B41" s="459">
        <v>0.47</v>
      </c>
      <c r="C41" s="483">
        <v>206.25</v>
      </c>
      <c r="D41" s="554">
        <f t="shared" si="5"/>
        <v>3.4499999999999999E-3</v>
      </c>
      <c r="E41" s="459">
        <v>1.06</v>
      </c>
      <c r="F41" s="483">
        <v>50</v>
      </c>
      <c r="G41" s="168">
        <f t="shared" si="0"/>
        <v>3.3250000000000002E-2</v>
      </c>
      <c r="H41" s="459">
        <v>0.63</v>
      </c>
      <c r="I41" s="483">
        <v>4.25</v>
      </c>
      <c r="J41" s="168">
        <f t="shared" si="1"/>
        <v>0.59166666666666667</v>
      </c>
      <c r="P41" s="23">
        <v>1615</v>
      </c>
      <c r="Q41" s="459">
        <v>0.25</v>
      </c>
      <c r="R41" s="483">
        <v>156.25</v>
      </c>
      <c r="S41" s="554">
        <f t="shared" si="2"/>
        <v>2.3E-3</v>
      </c>
      <c r="T41" s="459">
        <v>0.25</v>
      </c>
      <c r="U41" s="483">
        <v>10</v>
      </c>
      <c r="V41" s="168">
        <f t="shared" si="3"/>
        <v>3.5714285714285712E-2</v>
      </c>
      <c r="W41" s="459">
        <v>0.33</v>
      </c>
      <c r="X41" s="483">
        <v>5.25</v>
      </c>
      <c r="Y41" s="168">
        <f t="shared" si="4"/>
        <v>0.54083333333333339</v>
      </c>
    </row>
    <row r="42" spans="1:25" x14ac:dyDescent="0.35">
      <c r="A42" s="23">
        <v>1341</v>
      </c>
      <c r="B42" s="459">
        <v>0.4</v>
      </c>
      <c r="C42" s="483">
        <v>193.75</v>
      </c>
      <c r="D42" s="554">
        <f t="shared" si="5"/>
        <v>3.0999999999999999E-3</v>
      </c>
      <c r="E42" s="459">
        <v>0.96</v>
      </c>
      <c r="F42" s="483">
        <v>50</v>
      </c>
      <c r="G42" s="168">
        <f t="shared" si="0"/>
        <v>3.075E-2</v>
      </c>
      <c r="H42" s="459">
        <v>0.86</v>
      </c>
      <c r="I42" s="483">
        <v>4</v>
      </c>
      <c r="J42" s="168">
        <f t="shared" si="1"/>
        <v>0.61083333333333334</v>
      </c>
      <c r="P42" s="23">
        <v>1619</v>
      </c>
      <c r="Q42" s="459">
        <v>0.3</v>
      </c>
      <c r="R42" s="483">
        <v>168.75</v>
      </c>
      <c r="S42" s="554">
        <f t="shared" si="2"/>
        <v>2.5500000000000002E-3</v>
      </c>
      <c r="T42" s="459">
        <v>0.89</v>
      </c>
      <c r="U42" s="483">
        <v>9</v>
      </c>
      <c r="V42" s="168">
        <f t="shared" si="3"/>
        <v>0.12714285714285714</v>
      </c>
      <c r="W42" s="459">
        <v>0.42</v>
      </c>
      <c r="X42" s="483">
        <v>5.25</v>
      </c>
      <c r="Y42" s="168">
        <f t="shared" si="4"/>
        <v>0.54833333333333334</v>
      </c>
    </row>
    <row r="43" spans="1:25" x14ac:dyDescent="0.35">
      <c r="A43" s="23">
        <v>1346</v>
      </c>
      <c r="B43" s="459">
        <v>0.5</v>
      </c>
      <c r="C43" s="483">
        <v>212.5</v>
      </c>
      <c r="D43" s="554">
        <f t="shared" si="5"/>
        <v>3.5999999999999999E-3</v>
      </c>
      <c r="E43" s="459">
        <v>0.68</v>
      </c>
      <c r="F43" s="483">
        <v>50</v>
      </c>
      <c r="G43" s="168">
        <f t="shared" si="0"/>
        <v>2.375E-2</v>
      </c>
      <c r="H43" s="459">
        <v>0.71</v>
      </c>
      <c r="I43" s="483">
        <v>4</v>
      </c>
      <c r="J43" s="168">
        <f t="shared" si="1"/>
        <v>0.59833333333333327</v>
      </c>
      <c r="P43" s="23">
        <v>1627</v>
      </c>
      <c r="Q43" s="459">
        <v>-7.0000000000000007E-2</v>
      </c>
      <c r="R43" s="483">
        <v>81.25</v>
      </c>
      <c r="S43" s="554">
        <f t="shared" si="2"/>
        <v>6.9999999999999988E-4</v>
      </c>
      <c r="T43" s="459">
        <v>0</v>
      </c>
      <c r="U43" s="483">
        <v>15</v>
      </c>
      <c r="V43" s="168">
        <f t="shared" si="3"/>
        <v>0</v>
      </c>
      <c r="W43" s="459">
        <v>0.68</v>
      </c>
      <c r="X43" s="483">
        <v>4.25</v>
      </c>
      <c r="Y43" s="168">
        <f t="shared" si="4"/>
        <v>0.56999999999999995</v>
      </c>
    </row>
    <row r="44" spans="1:25" x14ac:dyDescent="0.35">
      <c r="A44" s="23">
        <v>1347</v>
      </c>
      <c r="B44" s="459">
        <v>0.16</v>
      </c>
      <c r="C44" s="483">
        <v>131.25</v>
      </c>
      <c r="D44" s="554">
        <f t="shared" si="5"/>
        <v>1.9E-3</v>
      </c>
      <c r="E44" s="459">
        <v>0.09</v>
      </c>
      <c r="F44" s="483">
        <v>58.75</v>
      </c>
      <c r="G44" s="168">
        <f t="shared" si="0"/>
        <v>8.9999999999999993E-3</v>
      </c>
      <c r="H44" s="459">
        <v>0.71</v>
      </c>
      <c r="I44" s="483">
        <v>4</v>
      </c>
      <c r="J44" s="168">
        <f t="shared" si="1"/>
        <v>0.59833333333333327</v>
      </c>
      <c r="P44" s="23">
        <v>1638</v>
      </c>
      <c r="Q44" s="459">
        <v>0.62</v>
      </c>
      <c r="R44" s="483">
        <v>250</v>
      </c>
      <c r="S44" s="554">
        <f t="shared" si="2"/>
        <v>4.15E-3</v>
      </c>
      <c r="T44" s="459">
        <v>0.12</v>
      </c>
      <c r="U44" s="483">
        <v>10.5</v>
      </c>
      <c r="V44" s="168">
        <f t="shared" si="3"/>
        <v>1.7142857142857144E-2</v>
      </c>
      <c r="W44" s="459">
        <v>-2.97</v>
      </c>
      <c r="X44" s="483">
        <v>10</v>
      </c>
      <c r="Y44" s="168">
        <f t="shared" si="4"/>
        <v>0.26583333333333331</v>
      </c>
    </row>
    <row r="45" spans="1:25" x14ac:dyDescent="0.35">
      <c r="A45" s="23">
        <v>1356</v>
      </c>
      <c r="B45" s="459">
        <v>0.5</v>
      </c>
      <c r="C45" s="483">
        <v>212.5</v>
      </c>
      <c r="D45" s="554">
        <f t="shared" si="5"/>
        <v>3.5999999999999999E-3</v>
      </c>
      <c r="E45" s="459">
        <v>4.38</v>
      </c>
      <c r="F45" s="483">
        <v>40</v>
      </c>
      <c r="G45" s="168">
        <f t="shared" si="0"/>
        <v>0.11625000000000001</v>
      </c>
      <c r="H45" s="459">
        <v>-5</v>
      </c>
      <c r="I45" s="483">
        <v>13</v>
      </c>
      <c r="J45" s="168">
        <f t="shared" si="1"/>
        <v>0.12249999999999998</v>
      </c>
      <c r="P45" s="23">
        <v>1662</v>
      </c>
      <c r="Q45" s="459">
        <v>0.39</v>
      </c>
      <c r="R45" s="483">
        <v>193.75</v>
      </c>
      <c r="S45" s="554">
        <f t="shared" si="2"/>
        <v>3.0000000000000001E-3</v>
      </c>
      <c r="T45" s="459">
        <v>2.69</v>
      </c>
      <c r="U45" s="483">
        <v>8.375</v>
      </c>
      <c r="V45" s="168">
        <f t="shared" si="3"/>
        <v>0.38428571428571429</v>
      </c>
      <c r="W45" s="459">
        <v>0.68</v>
      </c>
      <c r="X45" s="483">
        <v>4.25</v>
      </c>
      <c r="Y45" s="168">
        <f t="shared" si="4"/>
        <v>0.56999999999999995</v>
      </c>
    </row>
    <row r="46" spans="1:25" x14ac:dyDescent="0.35">
      <c r="A46" s="23">
        <v>1358</v>
      </c>
      <c r="B46" s="459">
        <v>0.23</v>
      </c>
      <c r="C46" s="483">
        <v>150</v>
      </c>
      <c r="D46" s="554">
        <f t="shared" si="5"/>
        <v>2.2500000000000003E-3</v>
      </c>
      <c r="E46" s="459">
        <v>0.68</v>
      </c>
      <c r="F46" s="483">
        <v>50</v>
      </c>
      <c r="G46" s="168">
        <f t="shared" si="0"/>
        <v>2.375E-2</v>
      </c>
      <c r="H46" s="459">
        <v>0.71</v>
      </c>
      <c r="I46" s="483">
        <v>4</v>
      </c>
      <c r="J46" s="168">
        <f t="shared" si="1"/>
        <v>0.59833333333333327</v>
      </c>
      <c r="P46" s="23">
        <v>1683</v>
      </c>
      <c r="Q46" s="459">
        <v>0.49</v>
      </c>
      <c r="R46" s="483">
        <v>218.75</v>
      </c>
      <c r="S46" s="554">
        <f t="shared" si="2"/>
        <v>3.4999999999999996E-3</v>
      </c>
      <c r="T46" s="459">
        <v>2.0299999999999998</v>
      </c>
      <c r="U46" s="483">
        <v>8.375</v>
      </c>
      <c r="V46" s="168">
        <f t="shared" si="3"/>
        <v>0.28999999999999998</v>
      </c>
      <c r="W46" s="459">
        <v>0.68</v>
      </c>
      <c r="X46" s="483">
        <v>4.25</v>
      </c>
      <c r="Y46" s="168">
        <f t="shared" si="4"/>
        <v>0.56999999999999995</v>
      </c>
    </row>
    <row r="47" spans="1:25" x14ac:dyDescent="0.35">
      <c r="A47" s="23">
        <v>1380</v>
      </c>
      <c r="B47" s="459">
        <v>0.43</v>
      </c>
      <c r="C47" s="483">
        <v>200</v>
      </c>
      <c r="D47" s="554">
        <f t="shared" si="5"/>
        <v>3.2500000000000003E-3</v>
      </c>
      <c r="E47" s="459">
        <v>4.38</v>
      </c>
      <c r="F47" s="483">
        <v>40</v>
      </c>
      <c r="G47" s="168">
        <f t="shared" si="0"/>
        <v>0.11625000000000001</v>
      </c>
      <c r="H47" s="459">
        <v>0.18</v>
      </c>
      <c r="I47" s="483">
        <v>5.5</v>
      </c>
      <c r="J47" s="168">
        <f t="shared" si="1"/>
        <v>0.55416666666666659</v>
      </c>
      <c r="P47" s="23">
        <v>1750</v>
      </c>
      <c r="Q47" s="459">
        <v>0.5</v>
      </c>
      <c r="R47" s="483">
        <v>218.75</v>
      </c>
      <c r="S47" s="554">
        <f t="shared" si="2"/>
        <v>3.5499999999999998E-3</v>
      </c>
      <c r="T47" s="459">
        <v>0.41</v>
      </c>
      <c r="U47" s="483">
        <v>9</v>
      </c>
      <c r="V47" s="168">
        <f t="shared" si="3"/>
        <v>5.8571428571428566E-2</v>
      </c>
      <c r="W47" s="459">
        <v>0.68</v>
      </c>
      <c r="X47" s="483">
        <v>4.25</v>
      </c>
      <c r="Y47" s="168">
        <f t="shared" si="4"/>
        <v>0.56999999999999995</v>
      </c>
    </row>
    <row r="48" spans="1:25" x14ac:dyDescent="0.35">
      <c r="A48" s="23">
        <v>1383</v>
      </c>
      <c r="B48" s="459">
        <v>0.43</v>
      </c>
      <c r="C48" s="483">
        <v>200</v>
      </c>
      <c r="D48" s="554">
        <f t="shared" si="5"/>
        <v>3.2500000000000003E-3</v>
      </c>
      <c r="E48" s="459">
        <v>1.44</v>
      </c>
      <c r="F48" s="483">
        <v>48.75</v>
      </c>
      <c r="G48" s="168">
        <f t="shared" si="0"/>
        <v>4.2749999999999996E-2</v>
      </c>
      <c r="H48" s="459">
        <v>0.71</v>
      </c>
      <c r="I48" s="483">
        <v>4</v>
      </c>
      <c r="J48" s="168">
        <f t="shared" si="1"/>
        <v>0.59833333333333327</v>
      </c>
      <c r="P48" s="23">
        <v>1776</v>
      </c>
      <c r="Q48" s="459">
        <v>0.46</v>
      </c>
      <c r="R48" s="483">
        <v>212.5</v>
      </c>
      <c r="S48" s="554">
        <f t="shared" si="2"/>
        <v>3.3500000000000001E-3</v>
      </c>
      <c r="T48" s="459">
        <v>0.82</v>
      </c>
      <c r="U48" s="483">
        <v>9</v>
      </c>
      <c r="V48" s="168">
        <f t="shared" si="3"/>
        <v>0.11714285714285713</v>
      </c>
      <c r="W48" s="459">
        <v>1.93</v>
      </c>
      <c r="X48" s="483">
        <v>4.25</v>
      </c>
      <c r="Y48" s="168">
        <f t="shared" si="4"/>
        <v>0.67416666666666669</v>
      </c>
    </row>
    <row r="49" spans="1:25" x14ac:dyDescent="0.35">
      <c r="A49" s="23">
        <v>1397</v>
      </c>
      <c r="B49" s="459">
        <v>0.43</v>
      </c>
      <c r="C49" s="483">
        <v>200</v>
      </c>
      <c r="D49" s="554">
        <f t="shared" si="5"/>
        <v>3.2500000000000003E-3</v>
      </c>
      <c r="E49" s="459">
        <v>0.68</v>
      </c>
      <c r="F49" s="483">
        <v>50</v>
      </c>
      <c r="G49" s="168">
        <f t="shared" si="0"/>
        <v>2.375E-2</v>
      </c>
      <c r="H49" s="459">
        <v>0.71</v>
      </c>
      <c r="I49" s="483">
        <v>4</v>
      </c>
      <c r="J49" s="168">
        <f t="shared" si="1"/>
        <v>0.59833333333333327</v>
      </c>
      <c r="P49" s="23">
        <v>1781</v>
      </c>
      <c r="Q49" s="459">
        <v>0.3</v>
      </c>
      <c r="R49" s="483">
        <v>168.75</v>
      </c>
      <c r="S49" s="554">
        <f t="shared" ref="S49:S80" si="6">(Q49-Lowest_bill_CAM_protecting_wildlife)/(Highest_servicelevel_CAM_protecting_wildlife-Lowest_servicelevel_CAM_protecting_wildlife)</f>
        <v>2.5500000000000002E-3</v>
      </c>
      <c r="T49" s="459">
        <v>1.18</v>
      </c>
      <c r="U49" s="483">
        <v>9</v>
      </c>
      <c r="V49" s="168">
        <f t="shared" ref="V49:V80" si="7">(T49-Lowest_bill_CAM_leakage)/(Highest_servicelevel_CAM_leakage-Lowest_servicelevel_CAM_leakage)</f>
        <v>0.16857142857142857</v>
      </c>
      <c r="W49" s="459">
        <v>3.48</v>
      </c>
      <c r="X49" s="483">
        <v>3.25</v>
      </c>
      <c r="Y49" s="168">
        <f t="shared" ref="Y49:Y80" si="8">(W49-Lowest_bill_CAM_interruptions)/(Highest_servicelevel_CAM_interruptions-Lowest_servicelevel_CAM_interruptions)</f>
        <v>0.80333333333333334</v>
      </c>
    </row>
    <row r="50" spans="1:25" x14ac:dyDescent="0.35">
      <c r="A50" s="23">
        <v>1403</v>
      </c>
      <c r="B50" s="459">
        <v>-0.22</v>
      </c>
      <c r="C50" s="483">
        <v>50</v>
      </c>
      <c r="D50" s="554">
        <f t="shared" si="5"/>
        <v>0</v>
      </c>
      <c r="E50" s="459">
        <v>0.68</v>
      </c>
      <c r="F50" s="483">
        <v>50</v>
      </c>
      <c r="G50" s="168">
        <f t="shared" si="0"/>
        <v>2.375E-2</v>
      </c>
      <c r="H50" s="459">
        <v>0.71</v>
      </c>
      <c r="I50" s="483">
        <v>4</v>
      </c>
      <c r="J50" s="168">
        <f t="shared" si="1"/>
        <v>0.59833333333333327</v>
      </c>
      <c r="P50" s="23">
        <v>1794</v>
      </c>
      <c r="Q50" s="459">
        <v>0.3</v>
      </c>
      <c r="R50" s="483">
        <v>168.75</v>
      </c>
      <c r="S50" s="554">
        <f t="shared" si="6"/>
        <v>2.5500000000000002E-3</v>
      </c>
      <c r="T50" s="459">
        <v>0.95</v>
      </c>
      <c r="U50" s="483">
        <v>9</v>
      </c>
      <c r="V50" s="168">
        <f t="shared" si="7"/>
        <v>0.1357142857142857</v>
      </c>
      <c r="W50" s="459">
        <v>0.59</v>
      </c>
      <c r="X50" s="483">
        <v>5.25</v>
      </c>
      <c r="Y50" s="168">
        <f t="shared" si="8"/>
        <v>0.5625</v>
      </c>
    </row>
    <row r="51" spans="1:25" x14ac:dyDescent="0.35">
      <c r="A51" s="23">
        <v>1405</v>
      </c>
      <c r="B51" s="459">
        <v>0.65</v>
      </c>
      <c r="C51" s="483">
        <v>250</v>
      </c>
      <c r="D51" s="554">
        <f t="shared" si="5"/>
        <v>4.3499999999999997E-3</v>
      </c>
      <c r="E51" s="459">
        <v>4.38</v>
      </c>
      <c r="F51" s="483">
        <v>40</v>
      </c>
      <c r="G51" s="168">
        <f t="shared" si="0"/>
        <v>0.11625000000000001</v>
      </c>
      <c r="H51" s="459">
        <v>0.35</v>
      </c>
      <c r="I51" s="483">
        <v>5.25</v>
      </c>
      <c r="J51" s="168">
        <f t="shared" si="1"/>
        <v>0.56833333333333325</v>
      </c>
      <c r="P51" s="23">
        <v>1819</v>
      </c>
      <c r="Q51" s="459">
        <v>0.41</v>
      </c>
      <c r="R51" s="483">
        <v>200</v>
      </c>
      <c r="S51" s="554">
        <f t="shared" si="6"/>
        <v>3.0999999999999999E-3</v>
      </c>
      <c r="T51" s="459">
        <v>1.61</v>
      </c>
      <c r="U51" s="483">
        <v>9</v>
      </c>
      <c r="V51" s="168">
        <f t="shared" si="7"/>
        <v>0.23</v>
      </c>
      <c r="W51" s="459">
        <v>0.68</v>
      </c>
      <c r="X51" s="483">
        <v>4.25</v>
      </c>
      <c r="Y51" s="168">
        <f t="shared" si="8"/>
        <v>0.56999999999999995</v>
      </c>
    </row>
    <row r="52" spans="1:25" x14ac:dyDescent="0.35">
      <c r="A52" s="23">
        <v>1418</v>
      </c>
      <c r="B52" s="459">
        <v>0.65</v>
      </c>
      <c r="C52" s="483">
        <v>250</v>
      </c>
      <c r="D52" s="554">
        <f t="shared" si="5"/>
        <v>4.3499999999999997E-3</v>
      </c>
      <c r="E52" s="459">
        <v>0.68</v>
      </c>
      <c r="F52" s="483">
        <v>50</v>
      </c>
      <c r="G52" s="168">
        <f t="shared" si="0"/>
        <v>2.375E-2</v>
      </c>
      <c r="H52" s="459">
        <v>0.41</v>
      </c>
      <c r="I52" s="483">
        <v>5</v>
      </c>
      <c r="J52" s="168">
        <f t="shared" si="1"/>
        <v>0.57333333333333336</v>
      </c>
      <c r="P52" s="23">
        <v>1829</v>
      </c>
      <c r="Q52" s="459">
        <v>0.62</v>
      </c>
      <c r="R52" s="483">
        <v>250</v>
      </c>
      <c r="S52" s="554">
        <f t="shared" si="6"/>
        <v>4.15E-3</v>
      </c>
      <c r="T52" s="459">
        <v>2.74</v>
      </c>
      <c r="U52" s="483">
        <v>8.375</v>
      </c>
      <c r="V52" s="168">
        <f t="shared" si="7"/>
        <v>0.39142857142857146</v>
      </c>
      <c r="W52" s="459">
        <v>6.16</v>
      </c>
      <c r="X52" s="483">
        <v>2</v>
      </c>
      <c r="Y52" s="168">
        <f t="shared" si="8"/>
        <v>1.0266666666666666</v>
      </c>
    </row>
    <row r="53" spans="1:25" x14ac:dyDescent="0.35">
      <c r="A53" s="23">
        <v>1421</v>
      </c>
      <c r="B53" s="459">
        <v>0.49</v>
      </c>
      <c r="C53" s="483">
        <v>212.5</v>
      </c>
      <c r="D53" s="554">
        <f t="shared" si="5"/>
        <v>3.5499999999999998E-3</v>
      </c>
      <c r="E53" s="459">
        <v>1.73</v>
      </c>
      <c r="F53" s="483">
        <v>47.5</v>
      </c>
      <c r="G53" s="168">
        <f t="shared" si="0"/>
        <v>0.05</v>
      </c>
      <c r="H53" s="459">
        <v>0.71</v>
      </c>
      <c r="I53" s="483">
        <v>4</v>
      </c>
      <c r="J53" s="168">
        <f t="shared" si="1"/>
        <v>0.59833333333333327</v>
      </c>
      <c r="P53" s="23">
        <v>1901</v>
      </c>
      <c r="Q53" s="459">
        <v>0.41</v>
      </c>
      <c r="R53" s="483">
        <v>200</v>
      </c>
      <c r="S53" s="554">
        <f t="shared" si="6"/>
        <v>3.0999999999999999E-3</v>
      </c>
      <c r="T53" s="459">
        <v>0.1</v>
      </c>
      <c r="U53" s="483">
        <v>10.75</v>
      </c>
      <c r="V53" s="168">
        <f t="shared" si="7"/>
        <v>1.4285714285714287E-2</v>
      </c>
      <c r="W53" s="459">
        <v>0.68</v>
      </c>
      <c r="X53" s="483">
        <v>4.25</v>
      </c>
      <c r="Y53" s="168">
        <f t="shared" si="8"/>
        <v>0.56999999999999995</v>
      </c>
    </row>
    <row r="54" spans="1:25" x14ac:dyDescent="0.35">
      <c r="A54" s="23">
        <v>1422</v>
      </c>
      <c r="B54" s="459">
        <v>0.43</v>
      </c>
      <c r="C54" s="483">
        <v>200</v>
      </c>
      <c r="D54" s="554">
        <f t="shared" si="5"/>
        <v>3.2500000000000003E-3</v>
      </c>
      <c r="E54" s="459">
        <v>0.46</v>
      </c>
      <c r="F54" s="483">
        <v>53.75</v>
      </c>
      <c r="G54" s="168">
        <f t="shared" si="0"/>
        <v>1.8249999999999999E-2</v>
      </c>
      <c r="H54" s="459">
        <v>0.71</v>
      </c>
      <c r="I54" s="483">
        <v>4</v>
      </c>
      <c r="J54" s="168">
        <f t="shared" si="1"/>
        <v>0.59833333333333327</v>
      </c>
      <c r="P54" s="23">
        <v>1908</v>
      </c>
      <c r="Q54" s="459">
        <v>0.41</v>
      </c>
      <c r="R54" s="483">
        <v>200</v>
      </c>
      <c r="S54" s="554">
        <f t="shared" si="6"/>
        <v>3.0999999999999999E-3</v>
      </c>
      <c r="T54" s="459">
        <v>0.41</v>
      </c>
      <c r="U54" s="483">
        <v>9</v>
      </c>
      <c r="V54" s="168">
        <f t="shared" si="7"/>
        <v>5.8571428571428566E-2</v>
      </c>
      <c r="W54" s="459">
        <v>0.68</v>
      </c>
      <c r="X54" s="483">
        <v>4.25</v>
      </c>
      <c r="Y54" s="168">
        <f t="shared" si="8"/>
        <v>0.56999999999999995</v>
      </c>
    </row>
    <row r="55" spans="1:25" x14ac:dyDescent="0.35">
      <c r="A55" s="23">
        <v>1428</v>
      </c>
      <c r="B55" s="459">
        <v>0.43</v>
      </c>
      <c r="C55" s="483">
        <v>200</v>
      </c>
      <c r="D55" s="554">
        <f t="shared" si="5"/>
        <v>3.2500000000000003E-3</v>
      </c>
      <c r="E55" s="459">
        <v>1.62</v>
      </c>
      <c r="F55" s="483">
        <v>47.5</v>
      </c>
      <c r="G55" s="168">
        <f t="shared" si="0"/>
        <v>4.725E-2</v>
      </c>
      <c r="H55" s="459">
        <v>0.71</v>
      </c>
      <c r="I55" s="483">
        <v>4</v>
      </c>
      <c r="J55" s="168">
        <f t="shared" si="1"/>
        <v>0.59833333333333327</v>
      </c>
      <c r="P55" s="23">
        <v>1923</v>
      </c>
      <c r="Q55" s="459">
        <v>0.52</v>
      </c>
      <c r="R55" s="483">
        <v>225</v>
      </c>
      <c r="S55" s="554">
        <f t="shared" si="6"/>
        <v>3.65E-3</v>
      </c>
      <c r="T55" s="459">
        <v>1.07</v>
      </c>
      <c r="U55" s="483">
        <v>9</v>
      </c>
      <c r="V55" s="168">
        <f t="shared" si="7"/>
        <v>0.15285714285714286</v>
      </c>
      <c r="W55" s="459">
        <v>0.68</v>
      </c>
      <c r="X55" s="483">
        <v>4.25</v>
      </c>
      <c r="Y55" s="168">
        <f t="shared" si="8"/>
        <v>0.56999999999999995</v>
      </c>
    </row>
    <row r="56" spans="1:25" x14ac:dyDescent="0.35">
      <c r="A56" s="23">
        <v>1434</v>
      </c>
      <c r="B56" s="459">
        <v>0.4</v>
      </c>
      <c r="C56" s="483">
        <v>193.75</v>
      </c>
      <c r="D56" s="554">
        <f t="shared" si="5"/>
        <v>3.0999999999999999E-3</v>
      </c>
      <c r="E56" s="459">
        <v>0.09</v>
      </c>
      <c r="F56" s="483">
        <v>58.75</v>
      </c>
      <c r="G56" s="168">
        <f t="shared" si="0"/>
        <v>8.9999999999999993E-3</v>
      </c>
      <c r="H56" s="459">
        <v>0.46</v>
      </c>
      <c r="I56" s="483">
        <v>4.75</v>
      </c>
      <c r="J56" s="168">
        <f t="shared" si="1"/>
        <v>0.57750000000000001</v>
      </c>
      <c r="P56" s="23">
        <v>1931</v>
      </c>
      <c r="Q56" s="459">
        <v>0.41</v>
      </c>
      <c r="R56" s="483">
        <v>200</v>
      </c>
      <c r="S56" s="554">
        <f t="shared" si="6"/>
        <v>3.0999999999999999E-3</v>
      </c>
      <c r="T56" s="459">
        <v>0.41</v>
      </c>
      <c r="U56" s="483">
        <v>9</v>
      </c>
      <c r="V56" s="168">
        <f t="shared" si="7"/>
        <v>5.8571428571428566E-2</v>
      </c>
      <c r="W56" s="459">
        <v>0.68</v>
      </c>
      <c r="X56" s="483">
        <v>4.25</v>
      </c>
      <c r="Y56" s="168">
        <f t="shared" si="8"/>
        <v>0.56999999999999995</v>
      </c>
    </row>
    <row r="57" spans="1:25" x14ac:dyDescent="0.35">
      <c r="A57" s="23">
        <v>1435</v>
      </c>
      <c r="B57" s="459">
        <v>0.49</v>
      </c>
      <c r="C57" s="483">
        <v>212.5</v>
      </c>
      <c r="D57" s="554">
        <f t="shared" si="5"/>
        <v>3.5499999999999998E-3</v>
      </c>
      <c r="E57" s="459">
        <v>1.64</v>
      </c>
      <c r="F57" s="483">
        <v>47.5</v>
      </c>
      <c r="G57" s="168">
        <f t="shared" si="0"/>
        <v>4.7750000000000001E-2</v>
      </c>
      <c r="H57" s="459">
        <v>0.56999999999999995</v>
      </c>
      <c r="I57" s="483">
        <v>4.75</v>
      </c>
      <c r="J57" s="168">
        <f t="shared" si="1"/>
        <v>0.58666666666666667</v>
      </c>
      <c r="P57" s="23">
        <v>1942</v>
      </c>
      <c r="Q57" s="459">
        <v>0.41</v>
      </c>
      <c r="R57" s="483">
        <v>200</v>
      </c>
      <c r="S57" s="554">
        <f t="shared" si="6"/>
        <v>3.0999999999999999E-3</v>
      </c>
      <c r="T57" s="459">
        <v>0.94</v>
      </c>
      <c r="U57" s="483">
        <v>9</v>
      </c>
      <c r="V57" s="168">
        <f t="shared" si="7"/>
        <v>0.13428571428571429</v>
      </c>
      <c r="W57" s="459">
        <v>0.68</v>
      </c>
      <c r="X57" s="483">
        <v>4.25</v>
      </c>
      <c r="Y57" s="168">
        <f t="shared" si="8"/>
        <v>0.56999999999999995</v>
      </c>
    </row>
    <row r="58" spans="1:25" x14ac:dyDescent="0.35">
      <c r="A58" s="23">
        <v>1439</v>
      </c>
      <c r="B58" s="459">
        <v>0.39</v>
      </c>
      <c r="C58" s="483">
        <v>187.5</v>
      </c>
      <c r="D58" s="554">
        <f t="shared" si="5"/>
        <v>3.0499999999999998E-3</v>
      </c>
      <c r="E58" s="459">
        <v>1.06</v>
      </c>
      <c r="F58" s="483">
        <v>50</v>
      </c>
      <c r="G58" s="168">
        <f t="shared" si="0"/>
        <v>3.3250000000000002E-2</v>
      </c>
      <c r="H58" s="459">
        <v>0.71</v>
      </c>
      <c r="I58" s="483">
        <v>4</v>
      </c>
      <c r="J58" s="168">
        <f t="shared" si="1"/>
        <v>0.59833333333333327</v>
      </c>
      <c r="P58" s="23">
        <v>1952</v>
      </c>
      <c r="Q58" s="459">
        <v>0.32</v>
      </c>
      <c r="R58" s="483">
        <v>175</v>
      </c>
      <c r="S58" s="554">
        <f t="shared" si="6"/>
        <v>2.65E-3</v>
      </c>
      <c r="T58" s="459">
        <v>1.06</v>
      </c>
      <c r="U58" s="483">
        <v>9</v>
      </c>
      <c r="V58" s="168">
        <f t="shared" si="7"/>
        <v>0.15142857142857144</v>
      </c>
      <c r="W58" s="459">
        <v>2.0699999999999998</v>
      </c>
      <c r="X58" s="483">
        <v>4.25</v>
      </c>
      <c r="Y58" s="168">
        <f t="shared" si="8"/>
        <v>0.68583333333333341</v>
      </c>
    </row>
    <row r="59" spans="1:25" x14ac:dyDescent="0.35">
      <c r="A59" s="23">
        <v>1440</v>
      </c>
      <c r="B59" s="459">
        <v>0.43</v>
      </c>
      <c r="C59" s="483">
        <v>200</v>
      </c>
      <c r="D59" s="554">
        <f t="shared" si="5"/>
        <v>3.2500000000000003E-3</v>
      </c>
      <c r="E59" s="459">
        <v>0.68</v>
      </c>
      <c r="F59" s="483">
        <v>50</v>
      </c>
      <c r="G59" s="168">
        <f t="shared" si="0"/>
        <v>2.375E-2</v>
      </c>
      <c r="H59" s="459">
        <v>0.71</v>
      </c>
      <c r="I59" s="483">
        <v>4</v>
      </c>
      <c r="J59" s="168">
        <f t="shared" si="1"/>
        <v>0.59833333333333327</v>
      </c>
      <c r="P59" s="23">
        <v>2003</v>
      </c>
      <c r="Q59" s="459">
        <v>0.41</v>
      </c>
      <c r="R59" s="483">
        <v>200</v>
      </c>
      <c r="S59" s="554">
        <f t="shared" si="6"/>
        <v>3.0999999999999999E-3</v>
      </c>
      <c r="T59" s="459">
        <v>0.41</v>
      </c>
      <c r="U59" s="483">
        <v>9</v>
      </c>
      <c r="V59" s="168">
        <f t="shared" si="7"/>
        <v>5.8571428571428566E-2</v>
      </c>
      <c r="W59" s="459">
        <v>0.68</v>
      </c>
      <c r="X59" s="483">
        <v>4.25</v>
      </c>
      <c r="Y59" s="168">
        <f t="shared" si="8"/>
        <v>0.56999999999999995</v>
      </c>
    </row>
    <row r="60" spans="1:25" x14ac:dyDescent="0.35">
      <c r="A60" s="23">
        <v>1443</v>
      </c>
      <c r="B60" s="459">
        <v>0.35</v>
      </c>
      <c r="C60" s="483">
        <v>181.25</v>
      </c>
      <c r="D60" s="554">
        <f t="shared" si="5"/>
        <v>2.8499999999999997E-3</v>
      </c>
      <c r="E60" s="459">
        <v>0.85</v>
      </c>
      <c r="F60" s="483">
        <v>50</v>
      </c>
      <c r="G60" s="168">
        <f t="shared" si="0"/>
        <v>2.8000000000000004E-2</v>
      </c>
      <c r="H60" s="459">
        <v>0.5</v>
      </c>
      <c r="I60" s="483">
        <v>4.75</v>
      </c>
      <c r="J60" s="168">
        <f t="shared" si="1"/>
        <v>0.58083333333333331</v>
      </c>
      <c r="P60" s="23">
        <v>2015</v>
      </c>
      <c r="Q60" s="459">
        <v>0.41</v>
      </c>
      <c r="R60" s="483">
        <v>200</v>
      </c>
      <c r="S60" s="554">
        <f t="shared" si="6"/>
        <v>3.0999999999999999E-3</v>
      </c>
      <c r="T60" s="459">
        <v>0.41</v>
      </c>
      <c r="U60" s="483">
        <v>9</v>
      </c>
      <c r="V60" s="168">
        <f t="shared" si="7"/>
        <v>5.8571428571428566E-2</v>
      </c>
      <c r="W60" s="459">
        <v>0.68</v>
      </c>
      <c r="X60" s="483">
        <v>4.25</v>
      </c>
      <c r="Y60" s="168">
        <f t="shared" si="8"/>
        <v>0.56999999999999995</v>
      </c>
    </row>
    <row r="61" spans="1:25" x14ac:dyDescent="0.35">
      <c r="A61" s="23">
        <v>1447</v>
      </c>
      <c r="B61" s="459">
        <v>0.43</v>
      </c>
      <c r="C61" s="483">
        <v>200</v>
      </c>
      <c r="D61" s="554">
        <f t="shared" si="5"/>
        <v>3.2500000000000003E-3</v>
      </c>
      <c r="E61" s="459">
        <v>4.38</v>
      </c>
      <c r="F61" s="483">
        <v>40</v>
      </c>
      <c r="G61" s="168">
        <f t="shared" si="0"/>
        <v>0.11625000000000001</v>
      </c>
      <c r="H61" s="459">
        <v>-6.47</v>
      </c>
      <c r="I61" s="483">
        <v>14</v>
      </c>
      <c r="J61" s="168">
        <f t="shared" si="1"/>
        <v>0</v>
      </c>
      <c r="P61" s="23">
        <v>2026</v>
      </c>
      <c r="Q61" s="459">
        <v>0.45</v>
      </c>
      <c r="R61" s="483">
        <v>206.25</v>
      </c>
      <c r="S61" s="554">
        <f t="shared" si="6"/>
        <v>3.3E-3</v>
      </c>
      <c r="T61" s="459">
        <v>0.47</v>
      </c>
      <c r="U61" s="483">
        <v>9</v>
      </c>
      <c r="V61" s="168">
        <f t="shared" si="7"/>
        <v>6.7142857142857143E-2</v>
      </c>
      <c r="W61" s="459">
        <v>0.65</v>
      </c>
      <c r="X61" s="483">
        <v>4.25</v>
      </c>
      <c r="Y61" s="168">
        <f t="shared" si="8"/>
        <v>0.5675</v>
      </c>
    </row>
    <row r="62" spans="1:25" x14ac:dyDescent="0.35">
      <c r="A62" s="23">
        <v>1450</v>
      </c>
      <c r="B62" s="459">
        <v>0.43</v>
      </c>
      <c r="C62" s="483">
        <v>200</v>
      </c>
      <c r="D62" s="554">
        <f t="shared" si="5"/>
        <v>3.2500000000000003E-3</v>
      </c>
      <c r="E62" s="459">
        <v>1.61</v>
      </c>
      <c r="F62" s="483">
        <v>47.5</v>
      </c>
      <c r="G62" s="168">
        <f t="shared" si="0"/>
        <v>4.7E-2</v>
      </c>
      <c r="H62" s="459">
        <v>0.71</v>
      </c>
      <c r="I62" s="483">
        <v>4</v>
      </c>
      <c r="J62" s="168">
        <f t="shared" si="1"/>
        <v>0.59833333333333327</v>
      </c>
      <c r="P62" s="23">
        <v>2063</v>
      </c>
      <c r="Q62" s="459">
        <v>0.62</v>
      </c>
      <c r="R62" s="483">
        <v>250</v>
      </c>
      <c r="S62" s="554">
        <f t="shared" si="6"/>
        <v>4.15E-3</v>
      </c>
      <c r="T62" s="459">
        <v>1.49</v>
      </c>
      <c r="U62" s="483">
        <v>9</v>
      </c>
      <c r="V62" s="168">
        <f t="shared" si="7"/>
        <v>0.21285714285714286</v>
      </c>
      <c r="W62" s="459">
        <v>-1.67</v>
      </c>
      <c r="X62" s="483">
        <v>8.5</v>
      </c>
      <c r="Y62" s="168">
        <f t="shared" si="8"/>
        <v>0.3741666666666667</v>
      </c>
    </row>
    <row r="63" spans="1:25" x14ac:dyDescent="0.35">
      <c r="A63" s="23">
        <v>1452</v>
      </c>
      <c r="B63" s="459">
        <v>0.46</v>
      </c>
      <c r="C63" s="483">
        <v>206.25</v>
      </c>
      <c r="D63" s="554">
        <f t="shared" si="5"/>
        <v>3.4000000000000002E-3</v>
      </c>
      <c r="E63" s="459">
        <v>0.52</v>
      </c>
      <c r="F63" s="483">
        <v>52.5</v>
      </c>
      <c r="G63" s="168">
        <f t="shared" si="0"/>
        <v>1.975E-2</v>
      </c>
      <c r="H63" s="459">
        <v>1.71</v>
      </c>
      <c r="I63" s="483">
        <v>3.75</v>
      </c>
      <c r="J63" s="168">
        <f t="shared" si="1"/>
        <v>0.68166666666666664</v>
      </c>
      <c r="P63" s="23">
        <v>2072</v>
      </c>
      <c r="Q63" s="459">
        <v>0.3</v>
      </c>
      <c r="R63" s="483">
        <v>168.75</v>
      </c>
      <c r="S63" s="554">
        <f t="shared" si="6"/>
        <v>2.5500000000000002E-3</v>
      </c>
      <c r="T63" s="459">
        <v>0.41</v>
      </c>
      <c r="U63" s="483">
        <v>9</v>
      </c>
      <c r="V63" s="168">
        <f t="shared" si="7"/>
        <v>5.8571428571428566E-2</v>
      </c>
      <c r="W63" s="459">
        <v>0.25</v>
      </c>
      <c r="X63" s="483">
        <v>6</v>
      </c>
      <c r="Y63" s="168">
        <f t="shared" si="8"/>
        <v>0.53416666666666668</v>
      </c>
    </row>
    <row r="64" spans="1:25" x14ac:dyDescent="0.35">
      <c r="A64" s="23">
        <v>1453</v>
      </c>
      <c r="B64" s="459">
        <v>0.56000000000000005</v>
      </c>
      <c r="C64" s="483">
        <v>225</v>
      </c>
      <c r="D64" s="554">
        <f t="shared" si="5"/>
        <v>3.9000000000000003E-3</v>
      </c>
      <c r="E64" s="459">
        <v>0.68</v>
      </c>
      <c r="F64" s="483">
        <v>50</v>
      </c>
      <c r="G64" s="168">
        <f t="shared" si="0"/>
        <v>2.375E-2</v>
      </c>
      <c r="H64" s="459">
        <v>0.71</v>
      </c>
      <c r="I64" s="483">
        <v>4</v>
      </c>
      <c r="J64" s="168">
        <f t="shared" si="1"/>
        <v>0.59833333333333327</v>
      </c>
      <c r="P64" s="23">
        <v>2099</v>
      </c>
      <c r="Q64" s="459">
        <v>0.62</v>
      </c>
      <c r="R64" s="483">
        <v>250</v>
      </c>
      <c r="S64" s="554">
        <f t="shared" si="6"/>
        <v>4.15E-3</v>
      </c>
      <c r="T64" s="459">
        <v>0.41</v>
      </c>
      <c r="U64" s="483">
        <v>9</v>
      </c>
      <c r="V64" s="168">
        <f t="shared" si="7"/>
        <v>5.8571428571428566E-2</v>
      </c>
      <c r="W64" s="459">
        <v>0.68</v>
      </c>
      <c r="X64" s="483">
        <v>4.25</v>
      </c>
      <c r="Y64" s="168">
        <f t="shared" si="8"/>
        <v>0.56999999999999995</v>
      </c>
    </row>
    <row r="65" spans="1:25" x14ac:dyDescent="0.35">
      <c r="A65" s="23">
        <v>1454</v>
      </c>
      <c r="B65" s="459">
        <v>0.48</v>
      </c>
      <c r="C65" s="483">
        <v>206.25</v>
      </c>
      <c r="D65" s="554">
        <f t="shared" si="5"/>
        <v>3.4999999999999996E-3</v>
      </c>
      <c r="E65" s="459">
        <v>0.61</v>
      </c>
      <c r="F65" s="483">
        <v>51.25</v>
      </c>
      <c r="G65" s="168">
        <f t="shared" si="0"/>
        <v>2.1999999999999999E-2</v>
      </c>
      <c r="H65" s="459">
        <v>0.71</v>
      </c>
      <c r="I65" s="483">
        <v>4</v>
      </c>
      <c r="J65" s="168">
        <f t="shared" si="1"/>
        <v>0.59833333333333327</v>
      </c>
      <c r="P65" s="23">
        <v>2378</v>
      </c>
      <c r="Q65" s="459">
        <v>0</v>
      </c>
      <c r="R65" s="483">
        <v>100</v>
      </c>
      <c r="S65" s="554">
        <f t="shared" si="6"/>
        <v>1.0499999999999999E-3</v>
      </c>
      <c r="T65" s="459">
        <v>0</v>
      </c>
      <c r="U65" s="483">
        <v>15</v>
      </c>
      <c r="V65" s="168">
        <f t="shared" si="7"/>
        <v>0</v>
      </c>
      <c r="W65" s="459">
        <v>0</v>
      </c>
      <c r="X65" s="483">
        <v>6</v>
      </c>
      <c r="Y65" s="168">
        <f t="shared" si="8"/>
        <v>0.51333333333333331</v>
      </c>
    </row>
    <row r="66" spans="1:25" x14ac:dyDescent="0.35">
      <c r="A66" s="23">
        <v>1459</v>
      </c>
      <c r="B66" s="459">
        <v>0.43</v>
      </c>
      <c r="C66" s="483">
        <v>200</v>
      </c>
      <c r="D66" s="554">
        <f t="shared" si="5"/>
        <v>3.2500000000000003E-3</v>
      </c>
      <c r="E66" s="459">
        <v>1.35</v>
      </c>
      <c r="F66" s="483">
        <v>48.75</v>
      </c>
      <c r="G66" s="168">
        <f t="shared" si="0"/>
        <v>4.0500000000000001E-2</v>
      </c>
      <c r="H66" s="459">
        <v>0.62</v>
      </c>
      <c r="I66" s="483">
        <v>4.25</v>
      </c>
      <c r="J66" s="168">
        <f t="shared" si="1"/>
        <v>0.59083333333333332</v>
      </c>
      <c r="P66" s="23">
        <v>2440</v>
      </c>
      <c r="Q66" s="459">
        <v>0.23</v>
      </c>
      <c r="R66" s="483">
        <v>150</v>
      </c>
      <c r="S66" s="554">
        <f t="shared" si="6"/>
        <v>2.2000000000000001E-3</v>
      </c>
      <c r="T66" s="459">
        <v>2.74</v>
      </c>
      <c r="U66" s="483">
        <v>8.375</v>
      </c>
      <c r="V66" s="168">
        <f t="shared" si="7"/>
        <v>0.39142857142857146</v>
      </c>
      <c r="W66" s="459">
        <v>-6.16</v>
      </c>
      <c r="X66" s="483">
        <v>14</v>
      </c>
      <c r="Y66" s="168">
        <f t="shared" si="8"/>
        <v>0</v>
      </c>
    </row>
    <row r="67" spans="1:25" x14ac:dyDescent="0.35">
      <c r="A67" s="23">
        <v>1460</v>
      </c>
      <c r="B67" s="459">
        <v>0.43</v>
      </c>
      <c r="C67" s="483">
        <v>200</v>
      </c>
      <c r="D67" s="554">
        <f t="shared" si="5"/>
        <v>3.2500000000000003E-3</v>
      </c>
      <c r="E67" s="459">
        <v>0.68</v>
      </c>
      <c r="F67" s="483">
        <v>50</v>
      </c>
      <c r="G67" s="168">
        <f t="shared" si="0"/>
        <v>2.375E-2</v>
      </c>
      <c r="H67" s="459">
        <v>0.71</v>
      </c>
      <c r="I67" s="483">
        <v>4</v>
      </c>
      <c r="J67" s="168">
        <f t="shared" si="1"/>
        <v>0.59833333333333327</v>
      </c>
      <c r="P67" s="23">
        <v>2574</v>
      </c>
      <c r="Q67" s="459">
        <v>0.46</v>
      </c>
      <c r="R67" s="483">
        <v>212.5</v>
      </c>
      <c r="S67" s="554">
        <f t="shared" si="6"/>
        <v>3.3500000000000001E-3</v>
      </c>
      <c r="T67" s="459">
        <v>0.41</v>
      </c>
      <c r="U67" s="483">
        <v>9</v>
      </c>
      <c r="V67" s="168">
        <f t="shared" si="7"/>
        <v>5.8571428571428566E-2</v>
      </c>
      <c r="W67" s="459">
        <v>1.39</v>
      </c>
      <c r="X67" s="483">
        <v>4.25</v>
      </c>
      <c r="Y67" s="168">
        <f t="shared" si="8"/>
        <v>0.62916666666666665</v>
      </c>
    </row>
    <row r="68" spans="1:25" x14ac:dyDescent="0.35">
      <c r="A68" s="23">
        <v>1464</v>
      </c>
      <c r="B68" s="459">
        <v>0.47</v>
      </c>
      <c r="C68" s="483">
        <v>206.25</v>
      </c>
      <c r="D68" s="554">
        <f t="shared" si="5"/>
        <v>3.4499999999999999E-3</v>
      </c>
      <c r="E68" s="459">
        <v>0.26</v>
      </c>
      <c r="F68" s="483">
        <v>56.25</v>
      </c>
      <c r="G68" s="168">
        <f t="shared" si="0"/>
        <v>1.3250000000000001E-2</v>
      </c>
      <c r="H68" s="459">
        <v>0.42</v>
      </c>
      <c r="I68" s="483">
        <v>5</v>
      </c>
      <c r="J68" s="168">
        <f t="shared" si="1"/>
        <v>0.5741666666666666</v>
      </c>
      <c r="P68" s="23">
        <v>2664</v>
      </c>
      <c r="Q68" s="459">
        <v>0.41</v>
      </c>
      <c r="R68" s="483">
        <v>200</v>
      </c>
      <c r="S68" s="554">
        <f t="shared" si="6"/>
        <v>3.0999999999999999E-3</v>
      </c>
      <c r="T68" s="459">
        <v>0.41</v>
      </c>
      <c r="U68" s="483">
        <v>9</v>
      </c>
      <c r="V68" s="168">
        <f t="shared" si="7"/>
        <v>5.8571428571428566E-2</v>
      </c>
      <c r="W68" s="459">
        <v>0.68</v>
      </c>
      <c r="X68" s="483">
        <v>4.25</v>
      </c>
      <c r="Y68" s="168">
        <f t="shared" si="8"/>
        <v>0.56999999999999995</v>
      </c>
    </row>
    <row r="69" spans="1:25" x14ac:dyDescent="0.35">
      <c r="A69" s="23">
        <v>1465</v>
      </c>
      <c r="B69" s="459">
        <v>0.43</v>
      </c>
      <c r="C69" s="483">
        <v>200</v>
      </c>
      <c r="D69" s="554">
        <f t="shared" si="5"/>
        <v>3.2500000000000003E-3</v>
      </c>
      <c r="E69" s="459">
        <v>2.04</v>
      </c>
      <c r="F69" s="483">
        <v>47.5</v>
      </c>
      <c r="G69" s="168">
        <f t="shared" si="0"/>
        <v>5.7750000000000003E-2</v>
      </c>
      <c r="H69" s="459">
        <v>1.75</v>
      </c>
      <c r="I69" s="483">
        <v>3.75</v>
      </c>
      <c r="J69" s="168">
        <f t="shared" si="1"/>
        <v>0.68499999999999994</v>
      </c>
      <c r="P69" s="23">
        <v>2690</v>
      </c>
      <c r="Q69" s="459">
        <v>0.35</v>
      </c>
      <c r="R69" s="483">
        <v>181.25</v>
      </c>
      <c r="S69" s="554">
        <f t="shared" si="6"/>
        <v>2.7999999999999995E-3</v>
      </c>
      <c r="T69" s="459">
        <v>0.41</v>
      </c>
      <c r="U69" s="483">
        <v>9</v>
      </c>
      <c r="V69" s="168">
        <f t="shared" si="7"/>
        <v>5.8571428571428566E-2</v>
      </c>
      <c r="W69" s="459">
        <v>0.68</v>
      </c>
      <c r="X69" s="483">
        <v>4.25</v>
      </c>
      <c r="Y69" s="168">
        <f t="shared" si="8"/>
        <v>0.56999999999999995</v>
      </c>
    </row>
    <row r="70" spans="1:25" x14ac:dyDescent="0.35">
      <c r="A70" s="23">
        <v>1466</v>
      </c>
      <c r="B70" s="459">
        <v>0.43</v>
      </c>
      <c r="C70" s="483">
        <v>200</v>
      </c>
      <c r="D70" s="554">
        <f t="shared" si="5"/>
        <v>3.2500000000000003E-3</v>
      </c>
      <c r="E70" s="459">
        <v>1.06</v>
      </c>
      <c r="F70" s="483">
        <v>50</v>
      </c>
      <c r="G70" s="168">
        <f t="shared" si="0"/>
        <v>3.3250000000000002E-2</v>
      </c>
      <c r="H70" s="459">
        <v>0.6</v>
      </c>
      <c r="I70" s="483">
        <v>4.75</v>
      </c>
      <c r="J70" s="168">
        <f t="shared" si="1"/>
        <v>0.58916666666666662</v>
      </c>
      <c r="P70" s="23">
        <v>2726</v>
      </c>
      <c r="Q70" s="459">
        <v>0.5</v>
      </c>
      <c r="R70" s="483">
        <v>218.75</v>
      </c>
      <c r="S70" s="554">
        <f t="shared" si="6"/>
        <v>3.5499999999999998E-3</v>
      </c>
      <c r="T70" s="459">
        <v>0.71</v>
      </c>
      <c r="U70" s="483">
        <v>9</v>
      </c>
      <c r="V70" s="168">
        <f t="shared" si="7"/>
        <v>0.10142857142857142</v>
      </c>
      <c r="W70" s="459">
        <v>0.49</v>
      </c>
      <c r="X70" s="483">
        <v>5.25</v>
      </c>
      <c r="Y70" s="168">
        <f t="shared" si="8"/>
        <v>0.5541666666666667</v>
      </c>
    </row>
    <row r="71" spans="1:25" x14ac:dyDescent="0.35">
      <c r="A71" s="23">
        <v>1469</v>
      </c>
      <c r="B71" s="459">
        <v>0.43</v>
      </c>
      <c r="C71" s="483">
        <v>200</v>
      </c>
      <c r="D71" s="554">
        <f t="shared" si="5"/>
        <v>3.2500000000000003E-3</v>
      </c>
      <c r="E71" s="459">
        <v>1.83</v>
      </c>
      <c r="F71" s="483">
        <v>47.5</v>
      </c>
      <c r="G71" s="168">
        <f t="shared" si="0"/>
        <v>5.2500000000000005E-2</v>
      </c>
      <c r="H71" s="459">
        <v>0.71</v>
      </c>
      <c r="I71" s="483">
        <v>4</v>
      </c>
      <c r="J71" s="168">
        <f t="shared" si="1"/>
        <v>0.59833333333333327</v>
      </c>
      <c r="P71" s="23">
        <v>2728</v>
      </c>
      <c r="Q71" s="459">
        <v>0.35</v>
      </c>
      <c r="R71" s="483">
        <v>181.25</v>
      </c>
      <c r="S71" s="554">
        <f t="shared" si="6"/>
        <v>2.7999999999999995E-3</v>
      </c>
      <c r="T71" s="459">
        <v>0.95</v>
      </c>
      <c r="U71" s="483">
        <v>9</v>
      </c>
      <c r="V71" s="168">
        <f t="shared" si="7"/>
        <v>0.1357142857142857</v>
      </c>
      <c r="W71" s="459">
        <v>0.54</v>
      </c>
      <c r="X71" s="483">
        <v>5.25</v>
      </c>
      <c r="Y71" s="168">
        <f t="shared" si="8"/>
        <v>0.55833333333333335</v>
      </c>
    </row>
    <row r="72" spans="1:25" x14ac:dyDescent="0.35">
      <c r="A72" s="23">
        <v>1473</v>
      </c>
      <c r="B72" s="459">
        <v>0.6</v>
      </c>
      <c r="C72" s="483">
        <v>237.5</v>
      </c>
      <c r="D72" s="554">
        <f t="shared" si="5"/>
        <v>4.0999999999999995E-3</v>
      </c>
      <c r="E72" s="459">
        <v>0.68</v>
      </c>
      <c r="F72" s="483">
        <v>50</v>
      </c>
      <c r="G72" s="168">
        <f t="shared" si="0"/>
        <v>2.375E-2</v>
      </c>
      <c r="H72" s="459">
        <v>0.71</v>
      </c>
      <c r="I72" s="483">
        <v>4</v>
      </c>
      <c r="J72" s="168">
        <f t="shared" si="1"/>
        <v>0.59833333333333327</v>
      </c>
      <c r="P72" s="23">
        <v>2738</v>
      </c>
      <c r="Q72" s="459">
        <v>0.62</v>
      </c>
      <c r="R72" s="483">
        <v>250</v>
      </c>
      <c r="S72" s="554">
        <f t="shared" si="6"/>
        <v>4.15E-3</v>
      </c>
      <c r="T72" s="459">
        <v>2.0499999999999998</v>
      </c>
      <c r="U72" s="483">
        <v>8.375</v>
      </c>
      <c r="V72" s="168">
        <f t="shared" si="7"/>
        <v>0.29285714285714282</v>
      </c>
      <c r="W72" s="459">
        <v>0.68</v>
      </c>
      <c r="X72" s="483">
        <v>4.25</v>
      </c>
      <c r="Y72" s="168">
        <f t="shared" si="8"/>
        <v>0.56999999999999995</v>
      </c>
    </row>
    <row r="73" spans="1:25" x14ac:dyDescent="0.35">
      <c r="A73" s="23">
        <v>1474</v>
      </c>
      <c r="B73" s="459">
        <v>0.5</v>
      </c>
      <c r="C73" s="483">
        <v>212.5</v>
      </c>
      <c r="D73" s="554">
        <f t="shared" si="5"/>
        <v>3.5999999999999999E-3</v>
      </c>
      <c r="E73" s="459">
        <v>1.73</v>
      </c>
      <c r="F73" s="483">
        <v>47.5</v>
      </c>
      <c r="G73" s="168">
        <f t="shared" si="0"/>
        <v>0.05</v>
      </c>
      <c r="H73" s="459">
        <v>0.62</v>
      </c>
      <c r="I73" s="483">
        <v>4.25</v>
      </c>
      <c r="J73" s="168">
        <f t="shared" si="1"/>
        <v>0.59083333333333332</v>
      </c>
      <c r="P73" s="23">
        <v>2760</v>
      </c>
      <c r="Q73" s="459">
        <v>0.5</v>
      </c>
      <c r="R73" s="483">
        <v>218.75</v>
      </c>
      <c r="S73" s="554">
        <f t="shared" si="6"/>
        <v>3.5499999999999998E-3</v>
      </c>
      <c r="T73" s="459">
        <v>0.95</v>
      </c>
      <c r="U73" s="483">
        <v>9</v>
      </c>
      <c r="V73" s="168">
        <f t="shared" si="7"/>
        <v>0.1357142857142857</v>
      </c>
      <c r="W73" s="459">
        <v>0.68</v>
      </c>
      <c r="X73" s="483">
        <v>4.25</v>
      </c>
      <c r="Y73" s="168">
        <f t="shared" si="8"/>
        <v>0.56999999999999995</v>
      </c>
    </row>
    <row r="74" spans="1:25" x14ac:dyDescent="0.35">
      <c r="A74" s="23">
        <v>1476</v>
      </c>
      <c r="B74" s="459">
        <v>0.43</v>
      </c>
      <c r="C74" s="483">
        <v>200</v>
      </c>
      <c r="D74" s="554">
        <f t="shared" si="5"/>
        <v>3.2500000000000003E-3</v>
      </c>
      <c r="E74" s="459">
        <v>0.68</v>
      </c>
      <c r="F74" s="483">
        <v>50</v>
      </c>
      <c r="G74" s="168">
        <f t="shared" si="0"/>
        <v>2.375E-2</v>
      </c>
      <c r="H74" s="459">
        <v>0.71</v>
      </c>
      <c r="I74" s="483">
        <v>4</v>
      </c>
      <c r="J74" s="168">
        <f t="shared" si="1"/>
        <v>0.59833333333333327</v>
      </c>
      <c r="P74" s="23">
        <v>2792</v>
      </c>
      <c r="Q74" s="459">
        <v>0.62</v>
      </c>
      <c r="R74" s="483">
        <v>250</v>
      </c>
      <c r="S74" s="554">
        <f t="shared" si="6"/>
        <v>4.15E-3</v>
      </c>
      <c r="T74" s="459">
        <v>1.37</v>
      </c>
      <c r="U74" s="483">
        <v>9</v>
      </c>
      <c r="V74" s="168">
        <f t="shared" si="7"/>
        <v>0.19571428571428573</v>
      </c>
      <c r="W74" s="459">
        <v>0.68</v>
      </c>
      <c r="X74" s="483">
        <v>4.25</v>
      </c>
      <c r="Y74" s="168">
        <f t="shared" si="8"/>
        <v>0.56999999999999995</v>
      </c>
    </row>
    <row r="75" spans="1:25" x14ac:dyDescent="0.35">
      <c r="A75" s="23">
        <v>1479</v>
      </c>
      <c r="B75" s="459">
        <v>0.49</v>
      </c>
      <c r="C75" s="483">
        <v>212.5</v>
      </c>
      <c r="D75" s="554">
        <f t="shared" si="5"/>
        <v>3.5499999999999998E-3</v>
      </c>
      <c r="E75" s="459">
        <v>1.44</v>
      </c>
      <c r="F75" s="483">
        <v>48.75</v>
      </c>
      <c r="G75" s="168">
        <f t="shared" si="0"/>
        <v>4.2749999999999996E-2</v>
      </c>
      <c r="H75" s="459">
        <v>0.71</v>
      </c>
      <c r="I75" s="483">
        <v>4</v>
      </c>
      <c r="J75" s="168">
        <f t="shared" si="1"/>
        <v>0.59833333333333327</v>
      </c>
      <c r="P75" s="23">
        <v>2797</v>
      </c>
      <c r="Q75" s="459">
        <v>0.41</v>
      </c>
      <c r="R75" s="483">
        <v>200</v>
      </c>
      <c r="S75" s="554">
        <f t="shared" si="6"/>
        <v>3.0999999999999999E-3</v>
      </c>
      <c r="T75" s="459">
        <v>0.41</v>
      </c>
      <c r="U75" s="483">
        <v>9</v>
      </c>
      <c r="V75" s="168">
        <f t="shared" si="7"/>
        <v>5.8571428571428566E-2</v>
      </c>
      <c r="W75" s="459">
        <v>0.68</v>
      </c>
      <c r="X75" s="483">
        <v>4.25</v>
      </c>
      <c r="Y75" s="168">
        <f t="shared" si="8"/>
        <v>0.56999999999999995</v>
      </c>
    </row>
    <row r="76" spans="1:25" x14ac:dyDescent="0.35">
      <c r="A76" s="23">
        <v>1480</v>
      </c>
      <c r="B76" s="459">
        <v>0.5</v>
      </c>
      <c r="C76" s="483">
        <v>212.5</v>
      </c>
      <c r="D76" s="554">
        <f t="shared" si="5"/>
        <v>3.5999999999999999E-3</v>
      </c>
      <c r="E76" s="459">
        <v>0.94</v>
      </c>
      <c r="F76" s="483">
        <v>50</v>
      </c>
      <c r="G76" s="168">
        <f t="shared" si="0"/>
        <v>3.0249999999999999E-2</v>
      </c>
      <c r="H76" s="459">
        <v>0.71</v>
      </c>
      <c r="I76" s="483">
        <v>4</v>
      </c>
      <c r="J76" s="168">
        <f t="shared" si="1"/>
        <v>0.59833333333333327</v>
      </c>
      <c r="P76" s="23">
        <v>2829</v>
      </c>
      <c r="Q76" s="459">
        <v>0.59</v>
      </c>
      <c r="R76" s="483">
        <v>243.75</v>
      </c>
      <c r="S76" s="554">
        <f t="shared" si="6"/>
        <v>4.0000000000000001E-3</v>
      </c>
      <c r="T76" s="459">
        <v>1.49</v>
      </c>
      <c r="U76" s="483">
        <v>9</v>
      </c>
      <c r="V76" s="168">
        <f t="shared" si="7"/>
        <v>0.21285714285714286</v>
      </c>
      <c r="W76" s="459">
        <v>-0.25</v>
      </c>
      <c r="X76" s="483">
        <v>6.5</v>
      </c>
      <c r="Y76" s="168">
        <f t="shared" si="8"/>
        <v>0.49249999999999999</v>
      </c>
    </row>
    <row r="77" spans="1:25" x14ac:dyDescent="0.35">
      <c r="A77" s="23">
        <v>1482</v>
      </c>
      <c r="B77" s="459">
        <v>0.5</v>
      </c>
      <c r="C77" s="483">
        <v>212.5</v>
      </c>
      <c r="D77" s="554">
        <f t="shared" si="5"/>
        <v>3.5999999999999999E-3</v>
      </c>
      <c r="E77" s="459">
        <v>1.1499999999999999</v>
      </c>
      <c r="F77" s="483">
        <v>48.75</v>
      </c>
      <c r="G77" s="168">
        <f t="shared" si="0"/>
        <v>3.5499999999999997E-2</v>
      </c>
      <c r="H77" s="459">
        <v>7.0000000000000007E-2</v>
      </c>
      <c r="I77" s="483">
        <v>6</v>
      </c>
      <c r="J77" s="168">
        <f t="shared" si="1"/>
        <v>0.54500000000000004</v>
      </c>
      <c r="P77" s="23">
        <v>2830</v>
      </c>
      <c r="Q77" s="459">
        <v>0.35</v>
      </c>
      <c r="R77" s="483">
        <v>181.25</v>
      </c>
      <c r="S77" s="554">
        <f t="shared" si="6"/>
        <v>2.7999999999999995E-3</v>
      </c>
      <c r="T77" s="459">
        <v>0.41</v>
      </c>
      <c r="U77" s="483">
        <v>9</v>
      </c>
      <c r="V77" s="168">
        <f t="shared" si="7"/>
        <v>5.8571428571428566E-2</v>
      </c>
      <c r="W77" s="459">
        <v>-0.01</v>
      </c>
      <c r="X77" s="483">
        <v>6.5</v>
      </c>
      <c r="Y77" s="168">
        <f t="shared" si="8"/>
        <v>0.51250000000000007</v>
      </c>
    </row>
    <row r="78" spans="1:25" x14ac:dyDescent="0.35">
      <c r="A78" s="23">
        <v>1484</v>
      </c>
      <c r="B78" s="459">
        <v>0.5</v>
      </c>
      <c r="C78" s="483">
        <v>212.5</v>
      </c>
      <c r="D78" s="554">
        <f t="shared" si="5"/>
        <v>3.5999999999999999E-3</v>
      </c>
      <c r="E78" s="459">
        <v>0.66</v>
      </c>
      <c r="F78" s="483">
        <v>51.25</v>
      </c>
      <c r="G78" s="168">
        <f t="shared" si="0"/>
        <v>2.325E-2</v>
      </c>
      <c r="H78" s="459">
        <v>0.71</v>
      </c>
      <c r="I78" s="483">
        <v>4</v>
      </c>
      <c r="J78" s="168">
        <f t="shared" si="1"/>
        <v>0.59833333333333327</v>
      </c>
      <c r="P78" s="23">
        <v>2831</v>
      </c>
      <c r="Q78" s="459">
        <v>-0.21</v>
      </c>
      <c r="R78" s="483">
        <v>50</v>
      </c>
      <c r="S78" s="554">
        <f t="shared" si="6"/>
        <v>0</v>
      </c>
      <c r="T78" s="459">
        <v>2.74</v>
      </c>
      <c r="U78" s="483">
        <v>8.375</v>
      </c>
      <c r="V78" s="168">
        <f t="shared" si="7"/>
        <v>0.39142857142857146</v>
      </c>
      <c r="W78" s="459">
        <v>0.68</v>
      </c>
      <c r="X78" s="483">
        <v>4.25</v>
      </c>
      <c r="Y78" s="168">
        <f t="shared" si="8"/>
        <v>0.56999999999999995</v>
      </c>
    </row>
    <row r="79" spans="1:25" x14ac:dyDescent="0.35">
      <c r="A79" s="23">
        <v>1485</v>
      </c>
      <c r="B79" s="459">
        <v>0.5</v>
      </c>
      <c r="C79" s="483">
        <v>212.5</v>
      </c>
      <c r="D79" s="554">
        <f t="shared" si="5"/>
        <v>3.5999999999999999E-3</v>
      </c>
      <c r="E79" s="459">
        <v>0.77</v>
      </c>
      <c r="F79" s="483">
        <v>50</v>
      </c>
      <c r="G79" s="168">
        <f t="shared" si="0"/>
        <v>2.6000000000000002E-2</v>
      </c>
      <c r="H79" s="459">
        <v>0.71</v>
      </c>
      <c r="I79" s="483">
        <v>4</v>
      </c>
      <c r="J79" s="168">
        <f t="shared" si="1"/>
        <v>0.59833333333333327</v>
      </c>
      <c r="P79" s="23">
        <v>2836</v>
      </c>
      <c r="Q79" s="459">
        <v>0.62</v>
      </c>
      <c r="R79" s="483">
        <v>250</v>
      </c>
      <c r="S79" s="554">
        <f t="shared" si="6"/>
        <v>4.15E-3</v>
      </c>
      <c r="T79" s="459">
        <v>2.74</v>
      </c>
      <c r="U79" s="483">
        <v>8.375</v>
      </c>
      <c r="V79" s="168">
        <f t="shared" si="7"/>
        <v>0.39142857142857146</v>
      </c>
      <c r="W79" s="459">
        <v>0.68</v>
      </c>
      <c r="X79" s="483">
        <v>4.25</v>
      </c>
      <c r="Y79" s="168">
        <f t="shared" si="8"/>
        <v>0.56999999999999995</v>
      </c>
    </row>
    <row r="80" spans="1:25" x14ac:dyDescent="0.35">
      <c r="A80" s="23">
        <v>1506</v>
      </c>
      <c r="B80" s="459">
        <v>0.48</v>
      </c>
      <c r="C80" s="483">
        <v>206.25</v>
      </c>
      <c r="D80" s="554">
        <f t="shared" si="5"/>
        <v>3.4999999999999996E-3</v>
      </c>
      <c r="E80" s="459">
        <v>0.51</v>
      </c>
      <c r="F80" s="483">
        <v>52.5</v>
      </c>
      <c r="G80" s="168">
        <f t="shared" si="0"/>
        <v>1.95E-2</v>
      </c>
      <c r="H80" s="459">
        <v>0.51</v>
      </c>
      <c r="I80" s="483">
        <v>4.75</v>
      </c>
      <c r="J80" s="168">
        <f t="shared" si="1"/>
        <v>0.58166666666666667</v>
      </c>
      <c r="P80" s="23">
        <v>2893</v>
      </c>
      <c r="Q80" s="459">
        <v>0.41</v>
      </c>
      <c r="R80" s="483">
        <v>200</v>
      </c>
      <c r="S80" s="554">
        <f t="shared" si="6"/>
        <v>3.0999999999999999E-3</v>
      </c>
      <c r="T80" s="459">
        <v>0.41</v>
      </c>
      <c r="U80" s="483">
        <v>9</v>
      </c>
      <c r="V80" s="168">
        <f t="shared" si="7"/>
        <v>5.8571428571428566E-2</v>
      </c>
      <c r="W80" s="459">
        <v>0.68</v>
      </c>
      <c r="X80" s="483">
        <v>4.25</v>
      </c>
      <c r="Y80" s="168">
        <f t="shared" si="8"/>
        <v>0.56999999999999995</v>
      </c>
    </row>
    <row r="81" spans="1:25" x14ac:dyDescent="0.35">
      <c r="A81" s="23">
        <v>1508</v>
      </c>
      <c r="B81" s="459">
        <v>0.65</v>
      </c>
      <c r="C81" s="483">
        <v>250</v>
      </c>
      <c r="D81" s="554">
        <f t="shared" ref="D81:D144" si="9">(B81-Lowest_bill_SSW_protecting_wildlife)/(Highest_servicelevel_SSW_protecting_wildlife-Lowest_servicelevel_SSW_protecting_wildlife)</f>
        <v>4.3499999999999997E-3</v>
      </c>
      <c r="E81" s="459">
        <v>1.64</v>
      </c>
      <c r="F81" s="483">
        <v>47.5</v>
      </c>
      <c r="G81" s="168">
        <f t="shared" ref="G81:G144" si="10">(E81-Lowest_bill_SSW_leakage)/(Highest_servicelevel_SSW_leakage-Lowest_servicelevel_SSW_leakage)</f>
        <v>4.7750000000000001E-2</v>
      </c>
      <c r="H81" s="459">
        <v>0.28000000000000003</v>
      </c>
      <c r="I81" s="483">
        <v>5.25</v>
      </c>
      <c r="J81" s="168">
        <f t="shared" ref="J81:J144" si="11">(H81-Lowest_bill_SSW_interruptions)/(Highest_servicelevel_SSW_interruptions-Lowest_servicelevel_SSW_interruptions)</f>
        <v>0.5625</v>
      </c>
      <c r="P81" s="23">
        <v>2905</v>
      </c>
      <c r="Q81" s="459">
        <v>0.45</v>
      </c>
      <c r="R81" s="483">
        <v>206.25</v>
      </c>
      <c r="S81" s="554">
        <f t="shared" ref="S81:S112" si="12">(Q81-Lowest_bill_CAM_protecting_wildlife)/(Highest_servicelevel_CAM_protecting_wildlife-Lowest_servicelevel_CAM_protecting_wildlife)</f>
        <v>3.3E-3</v>
      </c>
      <c r="T81" s="459">
        <v>0.41</v>
      </c>
      <c r="U81" s="483">
        <v>9</v>
      </c>
      <c r="V81" s="168">
        <f t="shared" ref="V81:V112" si="13">(T81-Lowest_bill_CAM_leakage)/(Highest_servicelevel_CAM_leakage-Lowest_servicelevel_CAM_leakage)</f>
        <v>5.8571428571428566E-2</v>
      </c>
      <c r="W81" s="459">
        <v>0.68</v>
      </c>
      <c r="X81" s="483">
        <v>4.25</v>
      </c>
      <c r="Y81" s="168">
        <f t="shared" ref="Y81:Y112" si="14">(W81-Lowest_bill_CAM_interruptions)/(Highest_servicelevel_CAM_interruptions-Lowest_servicelevel_CAM_interruptions)</f>
        <v>0.56999999999999995</v>
      </c>
    </row>
    <row r="82" spans="1:25" x14ac:dyDescent="0.35">
      <c r="A82" s="23">
        <v>1511</v>
      </c>
      <c r="B82" s="459">
        <v>0.45</v>
      </c>
      <c r="C82" s="483">
        <v>200</v>
      </c>
      <c r="D82" s="554">
        <f t="shared" si="9"/>
        <v>3.3500000000000001E-3</v>
      </c>
      <c r="E82" s="459">
        <v>0.68</v>
      </c>
      <c r="F82" s="483">
        <v>50</v>
      </c>
      <c r="G82" s="168">
        <f t="shared" si="10"/>
        <v>2.375E-2</v>
      </c>
      <c r="H82" s="459">
        <v>0.61</v>
      </c>
      <c r="I82" s="483">
        <v>4.75</v>
      </c>
      <c r="J82" s="168">
        <f t="shared" si="11"/>
        <v>0.59</v>
      </c>
      <c r="P82" s="23">
        <v>2910</v>
      </c>
      <c r="Q82" s="459">
        <v>0.49</v>
      </c>
      <c r="R82" s="483">
        <v>218.75</v>
      </c>
      <c r="S82" s="554">
        <f t="shared" si="12"/>
        <v>3.4999999999999996E-3</v>
      </c>
      <c r="T82" s="459">
        <v>1.66</v>
      </c>
      <c r="U82" s="483">
        <v>9</v>
      </c>
      <c r="V82" s="168">
        <f t="shared" si="13"/>
        <v>0.23714285714285713</v>
      </c>
      <c r="W82" s="459">
        <v>1.95</v>
      </c>
      <c r="X82" s="483">
        <v>4.25</v>
      </c>
      <c r="Y82" s="168">
        <f t="shared" si="14"/>
        <v>0.67583333333333329</v>
      </c>
    </row>
    <row r="83" spans="1:25" x14ac:dyDescent="0.35">
      <c r="A83" s="23">
        <v>1513</v>
      </c>
      <c r="B83" s="459">
        <v>0.43</v>
      </c>
      <c r="C83" s="483">
        <v>200</v>
      </c>
      <c r="D83" s="554">
        <f t="shared" si="9"/>
        <v>3.2500000000000003E-3</v>
      </c>
      <c r="E83" s="459">
        <v>7.0000000000000007E-2</v>
      </c>
      <c r="F83" s="483">
        <v>60</v>
      </c>
      <c r="G83" s="168">
        <f t="shared" si="10"/>
        <v>8.5000000000000006E-3</v>
      </c>
      <c r="H83" s="459">
        <v>-1.52</v>
      </c>
      <c r="I83" s="483">
        <v>8</v>
      </c>
      <c r="J83" s="168">
        <f t="shared" si="11"/>
        <v>0.41249999999999992</v>
      </c>
      <c r="P83" s="23">
        <v>2913</v>
      </c>
      <c r="Q83" s="459">
        <v>0.52</v>
      </c>
      <c r="R83" s="483">
        <v>225</v>
      </c>
      <c r="S83" s="554">
        <f t="shared" si="12"/>
        <v>3.65E-3</v>
      </c>
      <c r="T83" s="459">
        <v>0.41</v>
      </c>
      <c r="U83" s="483">
        <v>9</v>
      </c>
      <c r="V83" s="168">
        <f t="shared" si="13"/>
        <v>5.8571428571428566E-2</v>
      </c>
      <c r="W83" s="459">
        <v>0.68</v>
      </c>
      <c r="X83" s="483">
        <v>4.25</v>
      </c>
      <c r="Y83" s="168">
        <f t="shared" si="14"/>
        <v>0.56999999999999995</v>
      </c>
    </row>
    <row r="84" spans="1:25" x14ac:dyDescent="0.35">
      <c r="A84" s="23">
        <v>1517</v>
      </c>
      <c r="B84" s="459">
        <v>0.43</v>
      </c>
      <c r="C84" s="483">
        <v>200</v>
      </c>
      <c r="D84" s="554">
        <f t="shared" si="9"/>
        <v>3.2500000000000003E-3</v>
      </c>
      <c r="E84" s="459">
        <v>0.68</v>
      </c>
      <c r="F84" s="483">
        <v>50</v>
      </c>
      <c r="G84" s="168">
        <f t="shared" si="10"/>
        <v>2.375E-2</v>
      </c>
      <c r="H84" s="459">
        <v>0.71</v>
      </c>
      <c r="I84" s="483">
        <v>4</v>
      </c>
      <c r="J84" s="168">
        <f t="shared" si="11"/>
        <v>0.59833333333333327</v>
      </c>
      <c r="P84" s="23">
        <v>2930</v>
      </c>
      <c r="Q84" s="459">
        <v>0.62</v>
      </c>
      <c r="R84" s="483">
        <v>250</v>
      </c>
      <c r="S84" s="554">
        <f t="shared" si="12"/>
        <v>4.15E-3</v>
      </c>
      <c r="T84" s="459">
        <v>2.15</v>
      </c>
      <c r="U84" s="483">
        <v>8.375</v>
      </c>
      <c r="V84" s="168">
        <f t="shared" si="13"/>
        <v>0.30714285714285711</v>
      </c>
      <c r="W84" s="459">
        <v>0.68</v>
      </c>
      <c r="X84" s="483">
        <v>4.25</v>
      </c>
      <c r="Y84" s="168">
        <f t="shared" si="14"/>
        <v>0.56999999999999995</v>
      </c>
    </row>
    <row r="85" spans="1:25" x14ac:dyDescent="0.35">
      <c r="A85" s="23">
        <v>1518</v>
      </c>
      <c r="B85" s="459">
        <v>0.43</v>
      </c>
      <c r="C85" s="483">
        <v>200</v>
      </c>
      <c r="D85" s="554">
        <f t="shared" si="9"/>
        <v>3.2500000000000003E-3</v>
      </c>
      <c r="E85" s="459">
        <v>0.68</v>
      </c>
      <c r="F85" s="483">
        <v>50</v>
      </c>
      <c r="G85" s="168">
        <f t="shared" si="10"/>
        <v>2.375E-2</v>
      </c>
      <c r="H85" s="459">
        <v>0.71</v>
      </c>
      <c r="I85" s="483">
        <v>4</v>
      </c>
      <c r="J85" s="168">
        <f t="shared" si="11"/>
        <v>0.59833333333333327</v>
      </c>
      <c r="P85" s="23">
        <v>2932</v>
      </c>
      <c r="Q85" s="459">
        <v>0.62</v>
      </c>
      <c r="R85" s="483">
        <v>250</v>
      </c>
      <c r="S85" s="554">
        <f t="shared" si="12"/>
        <v>4.15E-3</v>
      </c>
      <c r="T85" s="459">
        <v>0.89</v>
      </c>
      <c r="U85" s="483">
        <v>9</v>
      </c>
      <c r="V85" s="168">
        <f t="shared" si="13"/>
        <v>0.12714285714285714</v>
      </c>
      <c r="W85" s="459">
        <v>1.67</v>
      </c>
      <c r="X85" s="483">
        <v>4.25</v>
      </c>
      <c r="Y85" s="168">
        <f t="shared" si="14"/>
        <v>0.65249999999999997</v>
      </c>
    </row>
    <row r="86" spans="1:25" x14ac:dyDescent="0.35">
      <c r="A86" s="23">
        <v>1519</v>
      </c>
      <c r="B86" s="459">
        <v>0.33</v>
      </c>
      <c r="C86" s="483">
        <v>175</v>
      </c>
      <c r="D86" s="554">
        <f t="shared" si="9"/>
        <v>2.7500000000000003E-3</v>
      </c>
      <c r="E86" s="459">
        <v>0.68</v>
      </c>
      <c r="F86" s="483">
        <v>50</v>
      </c>
      <c r="G86" s="168">
        <f t="shared" si="10"/>
        <v>2.375E-2</v>
      </c>
      <c r="H86" s="459">
        <v>0.71</v>
      </c>
      <c r="I86" s="483">
        <v>4</v>
      </c>
      <c r="J86" s="168">
        <f t="shared" si="11"/>
        <v>0.59833333333333327</v>
      </c>
      <c r="P86" s="23">
        <v>2950</v>
      </c>
      <c r="Q86" s="459">
        <v>0.41</v>
      </c>
      <c r="R86" s="483">
        <v>200</v>
      </c>
      <c r="S86" s="554">
        <f t="shared" si="12"/>
        <v>3.0999999999999999E-3</v>
      </c>
      <c r="T86" s="459">
        <v>2.69</v>
      </c>
      <c r="U86" s="483">
        <v>8.375</v>
      </c>
      <c r="V86" s="168">
        <f t="shared" si="13"/>
        <v>0.38428571428571429</v>
      </c>
      <c r="W86" s="459">
        <v>0.68</v>
      </c>
      <c r="X86" s="483">
        <v>4.25</v>
      </c>
      <c r="Y86" s="168">
        <f t="shared" si="14"/>
        <v>0.56999999999999995</v>
      </c>
    </row>
    <row r="87" spans="1:25" x14ac:dyDescent="0.35">
      <c r="A87" s="23">
        <v>1525</v>
      </c>
      <c r="B87" s="459">
        <v>0.45</v>
      </c>
      <c r="C87" s="483">
        <v>200</v>
      </c>
      <c r="D87" s="554">
        <f t="shared" si="9"/>
        <v>3.3500000000000001E-3</v>
      </c>
      <c r="E87" s="459">
        <v>0.17</v>
      </c>
      <c r="F87" s="483">
        <v>57.5</v>
      </c>
      <c r="G87" s="168">
        <f t="shared" si="10"/>
        <v>1.1000000000000001E-2</v>
      </c>
      <c r="H87" s="459">
        <v>0.15</v>
      </c>
      <c r="I87" s="483">
        <v>5.75</v>
      </c>
      <c r="J87" s="168">
        <f t="shared" si="11"/>
        <v>0.55166666666666664</v>
      </c>
      <c r="P87" s="23">
        <v>2952</v>
      </c>
      <c r="Q87" s="459">
        <v>0.53</v>
      </c>
      <c r="R87" s="483">
        <v>225</v>
      </c>
      <c r="S87" s="554">
        <f t="shared" si="12"/>
        <v>3.7000000000000002E-3</v>
      </c>
      <c r="T87" s="459">
        <v>1.55</v>
      </c>
      <c r="U87" s="483">
        <v>9</v>
      </c>
      <c r="V87" s="168">
        <f t="shared" si="13"/>
        <v>0.22142857142857145</v>
      </c>
      <c r="W87" s="459">
        <v>0.14000000000000001</v>
      </c>
      <c r="X87" s="483">
        <v>6</v>
      </c>
      <c r="Y87" s="168">
        <f t="shared" si="14"/>
        <v>0.52500000000000002</v>
      </c>
    </row>
    <row r="88" spans="1:25" x14ac:dyDescent="0.35">
      <c r="A88" s="23">
        <v>1531</v>
      </c>
      <c r="B88" s="459">
        <v>0.43</v>
      </c>
      <c r="C88" s="483">
        <v>200</v>
      </c>
      <c r="D88" s="554">
        <f t="shared" si="9"/>
        <v>3.2500000000000003E-3</v>
      </c>
      <c r="E88" s="459">
        <v>0.68</v>
      </c>
      <c r="F88" s="483">
        <v>50</v>
      </c>
      <c r="G88" s="168">
        <f t="shared" si="10"/>
        <v>2.375E-2</v>
      </c>
      <c r="H88" s="459">
        <v>0.71</v>
      </c>
      <c r="I88" s="483">
        <v>4</v>
      </c>
      <c r="J88" s="168">
        <f t="shared" si="11"/>
        <v>0.59833333333333327</v>
      </c>
      <c r="P88" s="23">
        <v>3000</v>
      </c>
      <c r="Q88" s="459">
        <v>0.49</v>
      </c>
      <c r="R88" s="483">
        <v>218.75</v>
      </c>
      <c r="S88" s="554">
        <f t="shared" si="12"/>
        <v>3.4999999999999996E-3</v>
      </c>
      <c r="T88" s="459">
        <v>1.1299999999999999</v>
      </c>
      <c r="U88" s="483">
        <v>9</v>
      </c>
      <c r="V88" s="168">
        <f t="shared" si="13"/>
        <v>0.16142857142857142</v>
      </c>
      <c r="W88" s="459">
        <v>0.68</v>
      </c>
      <c r="X88" s="483">
        <v>4.25</v>
      </c>
      <c r="Y88" s="168">
        <f t="shared" si="14"/>
        <v>0.56999999999999995</v>
      </c>
    </row>
    <row r="89" spans="1:25" x14ac:dyDescent="0.35">
      <c r="A89" s="23">
        <v>1557</v>
      </c>
      <c r="B89" s="459">
        <v>0.04</v>
      </c>
      <c r="C89" s="483">
        <v>106.25</v>
      </c>
      <c r="D89" s="554">
        <f t="shared" si="9"/>
        <v>1.2999999999999999E-3</v>
      </c>
      <c r="E89" s="459">
        <v>0.08</v>
      </c>
      <c r="F89" s="483">
        <v>60</v>
      </c>
      <c r="G89" s="168">
        <f t="shared" si="10"/>
        <v>8.7500000000000008E-3</v>
      </c>
      <c r="H89" s="459">
        <v>-3.14</v>
      </c>
      <c r="I89" s="483">
        <v>10</v>
      </c>
      <c r="J89" s="168">
        <f t="shared" si="11"/>
        <v>0.27749999999999997</v>
      </c>
      <c r="P89" s="23">
        <v>3005</v>
      </c>
      <c r="Q89" s="459">
        <v>0.23</v>
      </c>
      <c r="R89" s="483">
        <v>150</v>
      </c>
      <c r="S89" s="554">
        <f t="shared" si="12"/>
        <v>2.2000000000000001E-3</v>
      </c>
      <c r="T89" s="459">
        <v>1.92</v>
      </c>
      <c r="U89" s="483">
        <v>8.375</v>
      </c>
      <c r="V89" s="168">
        <f t="shared" si="13"/>
        <v>0.2742857142857143</v>
      </c>
      <c r="W89" s="459">
        <v>3.11</v>
      </c>
      <c r="X89" s="483">
        <v>3.25</v>
      </c>
      <c r="Y89" s="168">
        <f t="shared" si="14"/>
        <v>0.77249999999999996</v>
      </c>
    </row>
    <row r="90" spans="1:25" x14ac:dyDescent="0.35">
      <c r="A90" s="23">
        <v>1565</v>
      </c>
      <c r="B90" s="459">
        <v>0.43</v>
      </c>
      <c r="C90" s="483">
        <v>200</v>
      </c>
      <c r="D90" s="554">
        <f t="shared" si="9"/>
        <v>3.2500000000000003E-3</v>
      </c>
      <c r="E90" s="459">
        <v>4.38</v>
      </c>
      <c r="F90" s="483">
        <v>40</v>
      </c>
      <c r="G90" s="168">
        <f t="shared" si="10"/>
        <v>0.11625000000000001</v>
      </c>
      <c r="H90" s="459">
        <v>6.47</v>
      </c>
      <c r="I90" s="483">
        <v>2</v>
      </c>
      <c r="J90" s="168">
        <f t="shared" si="11"/>
        <v>1.0783333333333334</v>
      </c>
      <c r="P90" s="23">
        <v>3015</v>
      </c>
      <c r="Q90" s="459">
        <v>0.41</v>
      </c>
      <c r="R90" s="483">
        <v>200</v>
      </c>
      <c r="S90" s="554">
        <f t="shared" si="12"/>
        <v>3.0999999999999999E-3</v>
      </c>
      <c r="T90" s="459">
        <v>2.74</v>
      </c>
      <c r="U90" s="483">
        <v>8.375</v>
      </c>
      <c r="V90" s="168">
        <f t="shared" si="13"/>
        <v>0.39142857142857146</v>
      </c>
      <c r="W90" s="459">
        <v>-2.08</v>
      </c>
      <c r="X90" s="483">
        <v>9</v>
      </c>
      <c r="Y90" s="168">
        <f t="shared" si="14"/>
        <v>0.34</v>
      </c>
    </row>
    <row r="91" spans="1:25" x14ac:dyDescent="0.35">
      <c r="A91" s="23">
        <v>1568</v>
      </c>
      <c r="B91" s="459">
        <v>0.57999999999999996</v>
      </c>
      <c r="C91" s="483">
        <v>231.25</v>
      </c>
      <c r="D91" s="554">
        <f t="shared" si="9"/>
        <v>4.0000000000000001E-3</v>
      </c>
      <c r="E91" s="459">
        <v>0.68</v>
      </c>
      <c r="F91" s="483">
        <v>50</v>
      </c>
      <c r="G91" s="168">
        <f t="shared" si="10"/>
        <v>2.375E-2</v>
      </c>
      <c r="H91" s="459">
        <v>0.71</v>
      </c>
      <c r="I91" s="483">
        <v>4</v>
      </c>
      <c r="J91" s="168">
        <f t="shared" si="11"/>
        <v>0.59833333333333327</v>
      </c>
      <c r="P91" s="23">
        <v>3024</v>
      </c>
      <c r="Q91" s="459">
        <v>0.5</v>
      </c>
      <c r="R91" s="483">
        <v>218.75</v>
      </c>
      <c r="S91" s="554">
        <f t="shared" si="12"/>
        <v>3.5499999999999998E-3</v>
      </c>
      <c r="T91" s="459">
        <v>1.37</v>
      </c>
      <c r="U91" s="483">
        <v>9</v>
      </c>
      <c r="V91" s="168">
        <f t="shared" si="13"/>
        <v>0.19571428571428573</v>
      </c>
      <c r="W91" s="459">
        <v>-3.98</v>
      </c>
      <c r="X91" s="483">
        <v>11.5</v>
      </c>
      <c r="Y91" s="168">
        <f t="shared" si="14"/>
        <v>0.18166666666666667</v>
      </c>
    </row>
    <row r="92" spans="1:25" x14ac:dyDescent="0.35">
      <c r="A92" s="23">
        <v>1569</v>
      </c>
      <c r="B92" s="459">
        <v>0.43</v>
      </c>
      <c r="C92" s="483">
        <v>200</v>
      </c>
      <c r="D92" s="554">
        <f t="shared" si="9"/>
        <v>3.2500000000000003E-3</v>
      </c>
      <c r="E92" s="459">
        <v>1.67</v>
      </c>
      <c r="F92" s="483">
        <v>47.5</v>
      </c>
      <c r="G92" s="168">
        <f t="shared" si="10"/>
        <v>4.8500000000000001E-2</v>
      </c>
      <c r="H92" s="459">
        <v>0.71</v>
      </c>
      <c r="I92" s="483">
        <v>4</v>
      </c>
      <c r="J92" s="168">
        <f t="shared" si="11"/>
        <v>0.59833333333333327</v>
      </c>
      <c r="P92" s="23">
        <v>3025</v>
      </c>
      <c r="Q92" s="459">
        <v>0.41</v>
      </c>
      <c r="R92" s="483">
        <v>200</v>
      </c>
      <c r="S92" s="554">
        <f t="shared" si="12"/>
        <v>3.0999999999999999E-3</v>
      </c>
      <c r="T92" s="459">
        <v>0.41</v>
      </c>
      <c r="U92" s="483">
        <v>9</v>
      </c>
      <c r="V92" s="168">
        <f t="shared" si="13"/>
        <v>5.8571428571428566E-2</v>
      </c>
      <c r="W92" s="459">
        <v>-2.7</v>
      </c>
      <c r="X92" s="483">
        <v>9.5</v>
      </c>
      <c r="Y92" s="168">
        <f t="shared" si="14"/>
        <v>0.28833333333333333</v>
      </c>
    </row>
    <row r="93" spans="1:25" x14ac:dyDescent="0.35">
      <c r="A93" s="23">
        <v>1572</v>
      </c>
      <c r="B93" s="459">
        <v>0.5</v>
      </c>
      <c r="C93" s="483">
        <v>212.5</v>
      </c>
      <c r="D93" s="554">
        <f t="shared" si="9"/>
        <v>3.5999999999999999E-3</v>
      </c>
      <c r="E93" s="459">
        <v>0.68</v>
      </c>
      <c r="F93" s="483">
        <v>50</v>
      </c>
      <c r="G93" s="168">
        <f t="shared" si="10"/>
        <v>2.375E-2</v>
      </c>
      <c r="H93" s="459">
        <v>0.71</v>
      </c>
      <c r="I93" s="483">
        <v>4</v>
      </c>
      <c r="J93" s="168">
        <f t="shared" si="11"/>
        <v>0.59833333333333327</v>
      </c>
      <c r="P93" s="23">
        <v>3026</v>
      </c>
      <c r="Q93" s="459">
        <v>0.62</v>
      </c>
      <c r="R93" s="483">
        <v>250</v>
      </c>
      <c r="S93" s="554">
        <f t="shared" si="12"/>
        <v>4.15E-3</v>
      </c>
      <c r="T93" s="459">
        <v>0.41</v>
      </c>
      <c r="U93" s="483">
        <v>9</v>
      </c>
      <c r="V93" s="168">
        <f t="shared" si="13"/>
        <v>5.8571428571428566E-2</v>
      </c>
      <c r="W93" s="459">
        <v>0.09</v>
      </c>
      <c r="X93" s="483">
        <v>6</v>
      </c>
      <c r="Y93" s="168">
        <f t="shared" si="14"/>
        <v>0.52083333333333337</v>
      </c>
    </row>
    <row r="94" spans="1:25" x14ac:dyDescent="0.35">
      <c r="A94" s="23">
        <v>1597</v>
      </c>
      <c r="B94" s="459">
        <v>0.3</v>
      </c>
      <c r="C94" s="483">
        <v>168.75</v>
      </c>
      <c r="D94" s="554">
        <f t="shared" si="9"/>
        <v>2.5999999999999999E-3</v>
      </c>
      <c r="E94" s="459">
        <v>0.68</v>
      </c>
      <c r="F94" s="483">
        <v>50</v>
      </c>
      <c r="G94" s="168">
        <f t="shared" si="10"/>
        <v>2.375E-2</v>
      </c>
      <c r="H94" s="459">
        <v>0.6</v>
      </c>
      <c r="I94" s="483">
        <v>4.75</v>
      </c>
      <c r="J94" s="168">
        <f t="shared" si="11"/>
        <v>0.58916666666666662</v>
      </c>
      <c r="P94" s="23">
        <v>3029</v>
      </c>
      <c r="Q94" s="459">
        <v>0.5</v>
      </c>
      <c r="R94" s="483">
        <v>218.75</v>
      </c>
      <c r="S94" s="554">
        <f t="shared" si="12"/>
        <v>3.5499999999999998E-3</v>
      </c>
      <c r="T94" s="459">
        <v>0.69</v>
      </c>
      <c r="U94" s="483">
        <v>9</v>
      </c>
      <c r="V94" s="168">
        <f t="shared" si="13"/>
        <v>9.857142857142856E-2</v>
      </c>
      <c r="W94" s="459">
        <v>1.95</v>
      </c>
      <c r="X94" s="483">
        <v>4.25</v>
      </c>
      <c r="Y94" s="168">
        <f t="shared" si="14"/>
        <v>0.67583333333333329</v>
      </c>
    </row>
    <row r="95" spans="1:25" x14ac:dyDescent="0.35">
      <c r="A95" s="23">
        <v>1609</v>
      </c>
      <c r="B95" s="459">
        <v>0.43</v>
      </c>
      <c r="C95" s="483">
        <v>200</v>
      </c>
      <c r="D95" s="554">
        <f t="shared" si="9"/>
        <v>3.2500000000000003E-3</v>
      </c>
      <c r="E95" s="459">
        <v>1.25</v>
      </c>
      <c r="F95" s="483">
        <v>48.75</v>
      </c>
      <c r="G95" s="168">
        <f t="shared" si="10"/>
        <v>3.7999999999999999E-2</v>
      </c>
      <c r="H95" s="459">
        <v>0.35</v>
      </c>
      <c r="I95" s="483">
        <v>5.25</v>
      </c>
      <c r="J95" s="168">
        <f t="shared" si="11"/>
        <v>0.56833333333333325</v>
      </c>
      <c r="P95" s="23">
        <v>3044</v>
      </c>
      <c r="Q95" s="459">
        <v>0.45</v>
      </c>
      <c r="R95" s="483">
        <v>206.25</v>
      </c>
      <c r="S95" s="554">
        <f t="shared" si="12"/>
        <v>3.3E-3</v>
      </c>
      <c r="T95" s="459">
        <v>1.97</v>
      </c>
      <c r="U95" s="483">
        <v>8.375</v>
      </c>
      <c r="V95" s="168">
        <f t="shared" si="13"/>
        <v>0.28142857142857142</v>
      </c>
      <c r="W95" s="459">
        <v>0.59</v>
      </c>
      <c r="X95" s="483">
        <v>5.25</v>
      </c>
      <c r="Y95" s="168">
        <f t="shared" si="14"/>
        <v>0.5625</v>
      </c>
    </row>
    <row r="96" spans="1:25" x14ac:dyDescent="0.35">
      <c r="A96" s="23">
        <v>1611</v>
      </c>
      <c r="B96" s="459">
        <v>0.18</v>
      </c>
      <c r="C96" s="483">
        <v>137.5</v>
      </c>
      <c r="D96" s="554">
        <f t="shared" si="9"/>
        <v>2E-3</v>
      </c>
      <c r="E96" s="459">
        <v>4.09</v>
      </c>
      <c r="F96" s="483">
        <v>41.25</v>
      </c>
      <c r="G96" s="168">
        <f t="shared" si="10"/>
        <v>0.10899999999999999</v>
      </c>
      <c r="H96" s="459">
        <v>3.8</v>
      </c>
      <c r="I96" s="483">
        <v>3.25</v>
      </c>
      <c r="J96" s="168">
        <f t="shared" si="11"/>
        <v>0.85583333333333333</v>
      </c>
      <c r="P96" s="23">
        <v>3064</v>
      </c>
      <c r="Q96" s="459">
        <v>0.62</v>
      </c>
      <c r="R96" s="483">
        <v>250</v>
      </c>
      <c r="S96" s="554">
        <f t="shared" si="12"/>
        <v>4.15E-3</v>
      </c>
      <c r="T96" s="459">
        <v>2.74</v>
      </c>
      <c r="U96" s="483">
        <v>8.375</v>
      </c>
      <c r="V96" s="168">
        <f t="shared" si="13"/>
        <v>0.39142857142857146</v>
      </c>
      <c r="W96" s="459">
        <v>1.53</v>
      </c>
      <c r="X96" s="483">
        <v>4.25</v>
      </c>
      <c r="Y96" s="168">
        <f t="shared" si="14"/>
        <v>0.64083333333333337</v>
      </c>
    </row>
    <row r="97" spans="1:25" x14ac:dyDescent="0.35">
      <c r="A97" s="23">
        <v>1613</v>
      </c>
      <c r="B97" s="459">
        <v>0.43</v>
      </c>
      <c r="C97" s="483">
        <v>200</v>
      </c>
      <c r="D97" s="554">
        <f t="shared" si="9"/>
        <v>3.2500000000000003E-3</v>
      </c>
      <c r="E97" s="459">
        <v>0.68</v>
      </c>
      <c r="F97" s="483">
        <v>50</v>
      </c>
      <c r="G97" s="168">
        <f t="shared" si="10"/>
        <v>2.375E-2</v>
      </c>
      <c r="H97" s="459">
        <v>0.71</v>
      </c>
      <c r="I97" s="483">
        <v>4</v>
      </c>
      <c r="J97" s="168">
        <f t="shared" si="11"/>
        <v>0.59833333333333327</v>
      </c>
      <c r="P97" s="23">
        <v>3065</v>
      </c>
      <c r="Q97" s="459">
        <v>0.41</v>
      </c>
      <c r="R97" s="483">
        <v>200</v>
      </c>
      <c r="S97" s="554">
        <f t="shared" si="12"/>
        <v>3.0999999999999999E-3</v>
      </c>
      <c r="T97" s="459">
        <v>2.74</v>
      </c>
      <c r="U97" s="483">
        <v>8.375</v>
      </c>
      <c r="V97" s="168">
        <f t="shared" si="13"/>
        <v>0.39142857142857146</v>
      </c>
      <c r="W97" s="459">
        <v>0.68</v>
      </c>
      <c r="X97" s="483">
        <v>4.25</v>
      </c>
      <c r="Y97" s="168">
        <f t="shared" si="14"/>
        <v>0.56999999999999995</v>
      </c>
    </row>
    <row r="98" spans="1:25" x14ac:dyDescent="0.35">
      <c r="A98" s="23">
        <v>1626</v>
      </c>
      <c r="B98" s="459">
        <v>0.1</v>
      </c>
      <c r="C98" s="483">
        <v>118.75</v>
      </c>
      <c r="D98" s="554">
        <f t="shared" si="9"/>
        <v>1.6000000000000001E-3</v>
      </c>
      <c r="E98" s="459">
        <v>0.68</v>
      </c>
      <c r="F98" s="483">
        <v>50</v>
      </c>
      <c r="G98" s="168">
        <f t="shared" si="10"/>
        <v>2.375E-2</v>
      </c>
      <c r="H98" s="459">
        <v>-4.8899999999999997</v>
      </c>
      <c r="I98" s="483">
        <v>12.5</v>
      </c>
      <c r="J98" s="168">
        <f t="shared" si="11"/>
        <v>0.13166666666666668</v>
      </c>
      <c r="P98" s="23">
        <v>3074</v>
      </c>
      <c r="Q98" s="459">
        <v>0.41</v>
      </c>
      <c r="R98" s="483">
        <v>200</v>
      </c>
      <c r="S98" s="554">
        <f t="shared" si="12"/>
        <v>3.0999999999999999E-3</v>
      </c>
      <c r="T98" s="459">
        <v>0.41</v>
      </c>
      <c r="U98" s="483">
        <v>9</v>
      </c>
      <c r="V98" s="168">
        <f t="shared" si="13"/>
        <v>5.8571428571428566E-2</v>
      </c>
      <c r="W98" s="459">
        <v>0.68</v>
      </c>
      <c r="X98" s="483">
        <v>4.25</v>
      </c>
      <c r="Y98" s="168">
        <f t="shared" si="14"/>
        <v>0.56999999999999995</v>
      </c>
    </row>
    <row r="99" spans="1:25" x14ac:dyDescent="0.35">
      <c r="A99" s="23">
        <v>1630</v>
      </c>
      <c r="B99" s="459">
        <v>0.43</v>
      </c>
      <c r="C99" s="483">
        <v>200</v>
      </c>
      <c r="D99" s="554">
        <f t="shared" si="9"/>
        <v>3.2500000000000003E-3</v>
      </c>
      <c r="E99" s="459">
        <v>1.29</v>
      </c>
      <c r="F99" s="483">
        <v>48.75</v>
      </c>
      <c r="G99" s="168">
        <f t="shared" si="10"/>
        <v>3.9E-2</v>
      </c>
      <c r="H99" s="459">
        <v>0.71</v>
      </c>
      <c r="I99" s="483">
        <v>4</v>
      </c>
      <c r="J99" s="168">
        <f t="shared" si="11"/>
        <v>0.59833333333333327</v>
      </c>
      <c r="P99" s="23">
        <v>3077</v>
      </c>
      <c r="Q99" s="459">
        <v>0.54</v>
      </c>
      <c r="R99" s="483">
        <v>231.25</v>
      </c>
      <c r="S99" s="554">
        <f t="shared" si="12"/>
        <v>3.7499999999999999E-3</v>
      </c>
      <c r="T99" s="459">
        <v>1.95</v>
      </c>
      <c r="U99" s="483">
        <v>8.375</v>
      </c>
      <c r="V99" s="168">
        <f t="shared" si="13"/>
        <v>0.27857142857142858</v>
      </c>
      <c r="W99" s="459">
        <v>0.68</v>
      </c>
      <c r="X99" s="483">
        <v>4.25</v>
      </c>
      <c r="Y99" s="168">
        <f t="shared" si="14"/>
        <v>0.56999999999999995</v>
      </c>
    </row>
    <row r="100" spans="1:25" x14ac:dyDescent="0.35">
      <c r="A100" s="23">
        <v>1632</v>
      </c>
      <c r="B100" s="459">
        <v>0.5</v>
      </c>
      <c r="C100" s="483">
        <v>212.5</v>
      </c>
      <c r="D100" s="554">
        <f t="shared" si="9"/>
        <v>3.5999999999999999E-3</v>
      </c>
      <c r="E100" s="459">
        <v>0.68</v>
      </c>
      <c r="F100" s="483">
        <v>50</v>
      </c>
      <c r="G100" s="168">
        <f t="shared" si="10"/>
        <v>2.375E-2</v>
      </c>
      <c r="H100" s="459">
        <v>0.6</v>
      </c>
      <c r="I100" s="483">
        <v>4.75</v>
      </c>
      <c r="J100" s="168">
        <f t="shared" si="11"/>
        <v>0.58916666666666662</v>
      </c>
      <c r="P100" s="23">
        <v>3083</v>
      </c>
      <c r="Q100" s="459">
        <v>0.41</v>
      </c>
      <c r="R100" s="483">
        <v>200</v>
      </c>
      <c r="S100" s="554">
        <f t="shared" si="12"/>
        <v>3.0999999999999999E-3</v>
      </c>
      <c r="T100" s="459">
        <v>0.41</v>
      </c>
      <c r="U100" s="483">
        <v>9</v>
      </c>
      <c r="V100" s="168">
        <f t="shared" si="13"/>
        <v>5.8571428571428566E-2</v>
      </c>
      <c r="W100" s="459">
        <v>0.68</v>
      </c>
      <c r="X100" s="483">
        <v>4.25</v>
      </c>
      <c r="Y100" s="168">
        <f t="shared" si="14"/>
        <v>0.56999999999999995</v>
      </c>
    </row>
    <row r="101" spans="1:25" x14ac:dyDescent="0.35">
      <c r="A101" s="23">
        <v>1635</v>
      </c>
      <c r="B101" s="459">
        <v>0.23</v>
      </c>
      <c r="C101" s="483">
        <v>150</v>
      </c>
      <c r="D101" s="554">
        <f t="shared" si="9"/>
        <v>2.2500000000000003E-3</v>
      </c>
      <c r="E101" s="459">
        <v>0.08</v>
      </c>
      <c r="F101" s="483">
        <v>60</v>
      </c>
      <c r="G101" s="168">
        <f t="shared" si="10"/>
        <v>8.7500000000000008E-3</v>
      </c>
      <c r="H101" s="459">
        <v>4.12</v>
      </c>
      <c r="I101" s="483">
        <v>3.25</v>
      </c>
      <c r="J101" s="168">
        <f t="shared" si="11"/>
        <v>0.88249999999999995</v>
      </c>
      <c r="P101" s="23">
        <v>3096</v>
      </c>
      <c r="Q101" s="459">
        <v>0.62</v>
      </c>
      <c r="R101" s="483">
        <v>250</v>
      </c>
      <c r="S101" s="554">
        <f t="shared" si="12"/>
        <v>4.15E-3</v>
      </c>
      <c r="T101" s="459">
        <v>0.41</v>
      </c>
      <c r="U101" s="483">
        <v>9</v>
      </c>
      <c r="V101" s="168">
        <f t="shared" si="13"/>
        <v>5.8571428571428566E-2</v>
      </c>
      <c r="W101" s="459">
        <v>0.68</v>
      </c>
      <c r="X101" s="483">
        <v>4.25</v>
      </c>
      <c r="Y101" s="168">
        <f t="shared" si="14"/>
        <v>0.56999999999999995</v>
      </c>
    </row>
    <row r="102" spans="1:25" x14ac:dyDescent="0.35">
      <c r="A102" s="23">
        <v>1639</v>
      </c>
      <c r="B102" s="459">
        <v>0.49</v>
      </c>
      <c r="C102" s="483">
        <v>212.5</v>
      </c>
      <c r="D102" s="554">
        <f t="shared" si="9"/>
        <v>3.5499999999999998E-3</v>
      </c>
      <c r="E102" s="459">
        <v>1.25</v>
      </c>
      <c r="F102" s="483">
        <v>48.75</v>
      </c>
      <c r="G102" s="168">
        <f t="shared" si="10"/>
        <v>3.7999999999999999E-2</v>
      </c>
      <c r="H102" s="459">
        <v>1.75</v>
      </c>
      <c r="I102" s="483">
        <v>3.75</v>
      </c>
      <c r="J102" s="168">
        <f t="shared" si="11"/>
        <v>0.68499999999999994</v>
      </c>
      <c r="P102" s="23">
        <v>3106</v>
      </c>
      <c r="Q102" s="459">
        <v>0.53</v>
      </c>
      <c r="R102" s="483">
        <v>225</v>
      </c>
      <c r="S102" s="554">
        <f t="shared" si="12"/>
        <v>3.7000000000000002E-3</v>
      </c>
      <c r="T102" s="459">
        <v>0.77</v>
      </c>
      <c r="U102" s="483">
        <v>9</v>
      </c>
      <c r="V102" s="168">
        <f t="shared" si="13"/>
        <v>0.11</v>
      </c>
      <c r="W102" s="459">
        <v>-6.16</v>
      </c>
      <c r="X102" s="483">
        <v>14</v>
      </c>
      <c r="Y102" s="168">
        <f t="shared" si="14"/>
        <v>0</v>
      </c>
    </row>
    <row r="103" spans="1:25" x14ac:dyDescent="0.35">
      <c r="A103" s="23">
        <v>1642</v>
      </c>
      <c r="B103" s="459">
        <v>0.42</v>
      </c>
      <c r="C103" s="483">
        <v>193.75</v>
      </c>
      <c r="D103" s="554">
        <f t="shared" si="9"/>
        <v>3.2000000000000002E-3</v>
      </c>
      <c r="E103" s="459">
        <v>2.95</v>
      </c>
      <c r="F103" s="483">
        <v>45</v>
      </c>
      <c r="G103" s="168">
        <f t="shared" si="10"/>
        <v>8.0500000000000002E-2</v>
      </c>
      <c r="H103" s="459">
        <v>0.62</v>
      </c>
      <c r="I103" s="483">
        <v>4.25</v>
      </c>
      <c r="J103" s="168">
        <f t="shared" si="11"/>
        <v>0.59083333333333332</v>
      </c>
      <c r="P103" s="23">
        <v>3111</v>
      </c>
      <c r="Q103" s="459">
        <v>0.45</v>
      </c>
      <c r="R103" s="483">
        <v>206.25</v>
      </c>
      <c r="S103" s="554">
        <f t="shared" si="12"/>
        <v>3.3E-3</v>
      </c>
      <c r="T103" s="459">
        <v>0.65</v>
      </c>
      <c r="U103" s="483">
        <v>9</v>
      </c>
      <c r="V103" s="168">
        <f t="shared" si="13"/>
        <v>9.285714285714286E-2</v>
      </c>
      <c r="W103" s="459">
        <v>0.6</v>
      </c>
      <c r="X103" s="483">
        <v>4.25</v>
      </c>
      <c r="Y103" s="168">
        <f t="shared" si="14"/>
        <v>0.56333333333333335</v>
      </c>
    </row>
    <row r="104" spans="1:25" x14ac:dyDescent="0.35">
      <c r="A104" s="23">
        <v>1645</v>
      </c>
      <c r="B104" s="459">
        <v>0.2</v>
      </c>
      <c r="C104" s="483">
        <v>143.75</v>
      </c>
      <c r="D104" s="554">
        <f t="shared" si="9"/>
        <v>2.1000000000000003E-3</v>
      </c>
      <c r="E104" s="459">
        <v>0.54</v>
      </c>
      <c r="F104" s="483">
        <v>52.5</v>
      </c>
      <c r="G104" s="168">
        <f t="shared" si="10"/>
        <v>2.0250000000000001E-2</v>
      </c>
      <c r="H104" s="459">
        <v>0.63</v>
      </c>
      <c r="I104" s="483">
        <v>4.25</v>
      </c>
      <c r="J104" s="168">
        <f t="shared" si="11"/>
        <v>0.59166666666666667</v>
      </c>
      <c r="P104" s="23">
        <v>3124</v>
      </c>
      <c r="Q104" s="459">
        <v>0.53</v>
      </c>
      <c r="R104" s="483">
        <v>225</v>
      </c>
      <c r="S104" s="554">
        <f t="shared" si="12"/>
        <v>3.7000000000000002E-3</v>
      </c>
      <c r="T104" s="459">
        <v>0.35</v>
      </c>
      <c r="U104" s="483">
        <v>9.5</v>
      </c>
      <c r="V104" s="168">
        <f t="shared" si="13"/>
        <v>4.9999999999999996E-2</v>
      </c>
      <c r="W104" s="459">
        <v>3.08</v>
      </c>
      <c r="X104" s="483">
        <v>3.25</v>
      </c>
      <c r="Y104" s="168">
        <f t="shared" si="14"/>
        <v>0.77</v>
      </c>
    </row>
    <row r="105" spans="1:25" x14ac:dyDescent="0.35">
      <c r="A105" s="23">
        <v>1646</v>
      </c>
      <c r="B105" s="459">
        <v>0.51</v>
      </c>
      <c r="C105" s="483">
        <v>218.75</v>
      </c>
      <c r="D105" s="554">
        <f t="shared" si="9"/>
        <v>3.65E-3</v>
      </c>
      <c r="E105" s="459">
        <v>1.64</v>
      </c>
      <c r="F105" s="483">
        <v>47.5</v>
      </c>
      <c r="G105" s="168">
        <f t="shared" si="10"/>
        <v>4.7750000000000001E-2</v>
      </c>
      <c r="H105" s="459">
        <v>0.71</v>
      </c>
      <c r="I105" s="483">
        <v>4</v>
      </c>
      <c r="J105" s="168">
        <f t="shared" si="11"/>
        <v>0.59833333333333327</v>
      </c>
      <c r="P105" s="23">
        <v>3162</v>
      </c>
      <c r="Q105" s="459">
        <v>0.62</v>
      </c>
      <c r="R105" s="483">
        <v>250</v>
      </c>
      <c r="S105" s="554">
        <f t="shared" si="12"/>
        <v>4.15E-3</v>
      </c>
      <c r="T105" s="459">
        <v>2.74</v>
      </c>
      <c r="U105" s="483">
        <v>8.375</v>
      </c>
      <c r="V105" s="168">
        <f t="shared" si="13"/>
        <v>0.39142857142857146</v>
      </c>
      <c r="W105" s="459">
        <v>0.04</v>
      </c>
      <c r="X105" s="483">
        <v>6</v>
      </c>
      <c r="Y105" s="168">
        <f t="shared" si="14"/>
        <v>0.51666666666666672</v>
      </c>
    </row>
    <row r="106" spans="1:25" x14ac:dyDescent="0.35">
      <c r="A106" s="23">
        <v>1657</v>
      </c>
      <c r="B106" s="459">
        <v>0.43</v>
      </c>
      <c r="C106" s="483">
        <v>200</v>
      </c>
      <c r="D106" s="554">
        <f t="shared" si="9"/>
        <v>3.2500000000000003E-3</v>
      </c>
      <c r="E106" s="459">
        <v>0.68</v>
      </c>
      <c r="F106" s="483">
        <v>50</v>
      </c>
      <c r="G106" s="168">
        <f t="shared" si="10"/>
        <v>2.375E-2</v>
      </c>
      <c r="H106" s="459">
        <v>0.71</v>
      </c>
      <c r="I106" s="483">
        <v>4</v>
      </c>
      <c r="J106" s="168">
        <f t="shared" si="11"/>
        <v>0.59833333333333327</v>
      </c>
      <c r="P106" s="23">
        <v>3169</v>
      </c>
      <c r="Q106" s="459">
        <v>0.62</v>
      </c>
      <c r="R106" s="483">
        <v>250</v>
      </c>
      <c r="S106" s="554">
        <f t="shared" si="12"/>
        <v>4.15E-3</v>
      </c>
      <c r="T106" s="459">
        <v>2.5099999999999998</v>
      </c>
      <c r="U106" s="483">
        <v>8.375</v>
      </c>
      <c r="V106" s="168">
        <f t="shared" si="13"/>
        <v>0.35857142857142854</v>
      </c>
      <c r="W106" s="459">
        <v>0.68</v>
      </c>
      <c r="X106" s="483">
        <v>4.25</v>
      </c>
      <c r="Y106" s="168">
        <f t="shared" si="14"/>
        <v>0.56999999999999995</v>
      </c>
    </row>
    <row r="107" spans="1:25" x14ac:dyDescent="0.35">
      <c r="A107" s="23">
        <v>1661</v>
      </c>
      <c r="B107" s="459">
        <v>0.49</v>
      </c>
      <c r="C107" s="483">
        <v>212.5</v>
      </c>
      <c r="D107" s="554">
        <f t="shared" si="9"/>
        <v>3.5499999999999998E-3</v>
      </c>
      <c r="E107" s="459">
        <v>0.68</v>
      </c>
      <c r="F107" s="483">
        <v>50</v>
      </c>
      <c r="G107" s="168">
        <f t="shared" si="10"/>
        <v>2.375E-2</v>
      </c>
      <c r="H107" s="459">
        <v>0.71</v>
      </c>
      <c r="I107" s="483">
        <v>4</v>
      </c>
      <c r="J107" s="168">
        <f t="shared" si="11"/>
        <v>0.59833333333333327</v>
      </c>
      <c r="P107" s="23">
        <v>3187</v>
      </c>
      <c r="Q107" s="459">
        <v>0</v>
      </c>
      <c r="R107" s="483">
        <v>100</v>
      </c>
      <c r="S107" s="554">
        <f t="shared" si="12"/>
        <v>1.0499999999999999E-3</v>
      </c>
      <c r="T107" s="459">
        <v>0</v>
      </c>
      <c r="U107" s="483">
        <v>15</v>
      </c>
      <c r="V107" s="168">
        <f t="shared" si="13"/>
        <v>0</v>
      </c>
      <c r="W107" s="459">
        <v>0</v>
      </c>
      <c r="X107" s="483">
        <v>6</v>
      </c>
      <c r="Y107" s="168">
        <f t="shared" si="14"/>
        <v>0.51333333333333331</v>
      </c>
    </row>
    <row r="108" spans="1:25" x14ac:dyDescent="0.35">
      <c r="A108" s="23">
        <v>1666</v>
      </c>
      <c r="B108" s="459">
        <v>0.61</v>
      </c>
      <c r="C108" s="483">
        <v>237.5</v>
      </c>
      <c r="D108" s="554">
        <f t="shared" si="9"/>
        <v>4.15E-3</v>
      </c>
      <c r="E108" s="459">
        <v>0.09</v>
      </c>
      <c r="F108" s="483">
        <v>58.75</v>
      </c>
      <c r="G108" s="168">
        <f t="shared" si="10"/>
        <v>8.9999999999999993E-3</v>
      </c>
      <c r="H108" s="459">
        <v>0.31</v>
      </c>
      <c r="I108" s="483">
        <v>5.25</v>
      </c>
      <c r="J108" s="168">
        <f t="shared" si="11"/>
        <v>0.56499999999999995</v>
      </c>
      <c r="P108" s="23">
        <v>3210</v>
      </c>
      <c r="Q108" s="459">
        <v>0.41</v>
      </c>
      <c r="R108" s="483">
        <v>200</v>
      </c>
      <c r="S108" s="554">
        <f t="shared" si="12"/>
        <v>3.0999999999999999E-3</v>
      </c>
      <c r="T108" s="459">
        <v>1.01</v>
      </c>
      <c r="U108" s="483">
        <v>9</v>
      </c>
      <c r="V108" s="168">
        <f t="shared" si="13"/>
        <v>0.14428571428571429</v>
      </c>
      <c r="W108" s="459">
        <v>0.68</v>
      </c>
      <c r="X108" s="483">
        <v>4.25</v>
      </c>
      <c r="Y108" s="168">
        <f t="shared" si="14"/>
        <v>0.56999999999999995</v>
      </c>
    </row>
    <row r="109" spans="1:25" x14ac:dyDescent="0.35">
      <c r="A109" s="23">
        <v>1667</v>
      </c>
      <c r="B109" s="459">
        <v>0.42</v>
      </c>
      <c r="C109" s="483">
        <v>193.75</v>
      </c>
      <c r="D109" s="554">
        <f t="shared" si="9"/>
        <v>3.2000000000000002E-3</v>
      </c>
      <c r="E109" s="459">
        <v>0.68</v>
      </c>
      <c r="F109" s="483">
        <v>50</v>
      </c>
      <c r="G109" s="168">
        <f t="shared" si="10"/>
        <v>2.375E-2</v>
      </c>
      <c r="H109" s="459">
        <v>0.51</v>
      </c>
      <c r="I109" s="483">
        <v>4.75</v>
      </c>
      <c r="J109" s="168">
        <f t="shared" si="11"/>
        <v>0.58166666666666667</v>
      </c>
      <c r="P109" s="23">
        <v>3217</v>
      </c>
      <c r="Q109" s="459">
        <v>0.41</v>
      </c>
      <c r="R109" s="483">
        <v>200</v>
      </c>
      <c r="S109" s="554">
        <f t="shared" si="12"/>
        <v>3.0999999999999999E-3</v>
      </c>
      <c r="T109" s="459">
        <v>2.33</v>
      </c>
      <c r="U109" s="483">
        <v>8.375</v>
      </c>
      <c r="V109" s="168">
        <f t="shared" si="13"/>
        <v>0.33285714285714285</v>
      </c>
      <c r="W109" s="459">
        <v>0.68</v>
      </c>
      <c r="X109" s="483">
        <v>4.25</v>
      </c>
      <c r="Y109" s="168">
        <f t="shared" si="14"/>
        <v>0.56999999999999995</v>
      </c>
    </row>
    <row r="110" spans="1:25" x14ac:dyDescent="0.35">
      <c r="A110" s="23">
        <v>1674</v>
      </c>
      <c r="B110" s="459">
        <v>0.43</v>
      </c>
      <c r="C110" s="483">
        <v>200</v>
      </c>
      <c r="D110" s="554">
        <f t="shared" si="9"/>
        <v>3.2500000000000003E-3</v>
      </c>
      <c r="E110" s="459">
        <v>0.68</v>
      </c>
      <c r="F110" s="483">
        <v>50</v>
      </c>
      <c r="G110" s="168">
        <f t="shared" si="10"/>
        <v>2.375E-2</v>
      </c>
      <c r="H110" s="459">
        <v>0.65</v>
      </c>
      <c r="I110" s="483">
        <v>4.25</v>
      </c>
      <c r="J110" s="168">
        <f t="shared" si="11"/>
        <v>0.59333333333333338</v>
      </c>
      <c r="P110" s="23">
        <v>3218</v>
      </c>
      <c r="Q110" s="459">
        <v>-0.12</v>
      </c>
      <c r="R110" s="483">
        <v>68.75</v>
      </c>
      <c r="S110" s="554">
        <f t="shared" si="12"/>
        <v>4.4999999999999999E-4</v>
      </c>
      <c r="T110" s="459">
        <v>0.65</v>
      </c>
      <c r="U110" s="483">
        <v>9</v>
      </c>
      <c r="V110" s="168">
        <f t="shared" si="13"/>
        <v>9.285714285714286E-2</v>
      </c>
      <c r="W110" s="459">
        <v>1.81</v>
      </c>
      <c r="X110" s="483">
        <v>4.25</v>
      </c>
      <c r="Y110" s="168">
        <f t="shared" si="14"/>
        <v>0.66416666666666668</v>
      </c>
    </row>
    <row r="111" spans="1:25" x14ac:dyDescent="0.35">
      <c r="A111" s="23">
        <v>1695</v>
      </c>
      <c r="B111" s="459">
        <v>0.43</v>
      </c>
      <c r="C111" s="483">
        <v>200</v>
      </c>
      <c r="D111" s="554">
        <f t="shared" si="9"/>
        <v>3.2500000000000003E-3</v>
      </c>
      <c r="E111" s="459">
        <v>2.02</v>
      </c>
      <c r="F111" s="483">
        <v>47.5</v>
      </c>
      <c r="G111" s="168">
        <f t="shared" si="10"/>
        <v>5.7250000000000002E-2</v>
      </c>
      <c r="H111" s="459">
        <v>0.71</v>
      </c>
      <c r="I111" s="483">
        <v>4</v>
      </c>
      <c r="J111" s="168">
        <f t="shared" si="11"/>
        <v>0.59833333333333327</v>
      </c>
      <c r="P111" s="23">
        <v>3224</v>
      </c>
      <c r="Q111" s="459">
        <v>0.52</v>
      </c>
      <c r="R111" s="483">
        <v>225</v>
      </c>
      <c r="S111" s="554">
        <f t="shared" si="12"/>
        <v>3.65E-3</v>
      </c>
      <c r="T111" s="459">
        <v>0.36</v>
      </c>
      <c r="U111" s="483">
        <v>9.25</v>
      </c>
      <c r="V111" s="168">
        <f t="shared" si="13"/>
        <v>5.1428571428571428E-2</v>
      </c>
      <c r="W111" s="459">
        <v>0.61</v>
      </c>
      <c r="X111" s="483">
        <v>4.25</v>
      </c>
      <c r="Y111" s="168">
        <f t="shared" si="14"/>
        <v>0.56416666666666671</v>
      </c>
    </row>
    <row r="112" spans="1:25" x14ac:dyDescent="0.35">
      <c r="A112" s="23">
        <v>1696</v>
      </c>
      <c r="B112" s="459">
        <v>0.11</v>
      </c>
      <c r="C112" s="483">
        <v>125</v>
      </c>
      <c r="D112" s="554">
        <f t="shared" si="9"/>
        <v>1.65E-3</v>
      </c>
      <c r="E112" s="459">
        <v>0.08</v>
      </c>
      <c r="F112" s="483">
        <v>60</v>
      </c>
      <c r="G112" s="168">
        <f t="shared" si="10"/>
        <v>8.7500000000000008E-3</v>
      </c>
      <c r="H112" s="459">
        <v>-1.19</v>
      </c>
      <c r="I112" s="483">
        <v>7.5</v>
      </c>
      <c r="J112" s="168">
        <f t="shared" si="11"/>
        <v>0.43999999999999995</v>
      </c>
      <c r="P112" s="23">
        <v>3238</v>
      </c>
      <c r="Q112" s="459">
        <v>-0.21</v>
      </c>
      <c r="R112" s="483">
        <v>50</v>
      </c>
      <c r="S112" s="554">
        <f t="shared" si="12"/>
        <v>0</v>
      </c>
      <c r="T112" s="459">
        <v>0</v>
      </c>
      <c r="U112" s="483">
        <v>15</v>
      </c>
      <c r="V112" s="168">
        <f t="shared" si="13"/>
        <v>0</v>
      </c>
      <c r="W112" s="459">
        <v>6.16</v>
      </c>
      <c r="X112" s="483">
        <v>2</v>
      </c>
      <c r="Y112" s="168">
        <f t="shared" si="14"/>
        <v>1.0266666666666666</v>
      </c>
    </row>
    <row r="113" spans="1:25" x14ac:dyDescent="0.35">
      <c r="A113" s="23">
        <v>1697</v>
      </c>
      <c r="B113" s="459">
        <v>0.46</v>
      </c>
      <c r="C113" s="483">
        <v>206.25</v>
      </c>
      <c r="D113" s="554">
        <f t="shared" si="9"/>
        <v>3.4000000000000002E-3</v>
      </c>
      <c r="E113" s="459">
        <v>0.68</v>
      </c>
      <c r="F113" s="483">
        <v>50</v>
      </c>
      <c r="G113" s="168">
        <f t="shared" si="10"/>
        <v>2.375E-2</v>
      </c>
      <c r="H113" s="459">
        <v>0.71</v>
      </c>
      <c r="I113" s="483">
        <v>4</v>
      </c>
      <c r="J113" s="168">
        <f t="shared" si="11"/>
        <v>0.59833333333333327</v>
      </c>
      <c r="P113" s="23">
        <v>3245</v>
      </c>
      <c r="Q113" s="459">
        <v>0.62</v>
      </c>
      <c r="R113" s="483">
        <v>250</v>
      </c>
      <c r="S113" s="554">
        <f t="shared" ref="S113:S144" si="15">(Q113-Lowest_bill_CAM_protecting_wildlife)/(Highest_servicelevel_CAM_protecting_wildlife-Lowest_servicelevel_CAM_protecting_wildlife)</f>
        <v>4.15E-3</v>
      </c>
      <c r="T113" s="459">
        <v>1.67</v>
      </c>
      <c r="U113" s="483">
        <v>9</v>
      </c>
      <c r="V113" s="168">
        <f t="shared" ref="V113:V144" si="16">(T113-Lowest_bill_CAM_leakage)/(Highest_servicelevel_CAM_leakage-Lowest_servicelevel_CAM_leakage)</f>
        <v>0.23857142857142857</v>
      </c>
      <c r="W113" s="459">
        <v>2.37</v>
      </c>
      <c r="X113" s="483">
        <v>4.25</v>
      </c>
      <c r="Y113" s="168">
        <f t="shared" ref="Y113:Y144" si="17">(W113-Lowest_bill_CAM_interruptions)/(Highest_servicelevel_CAM_interruptions-Lowest_servicelevel_CAM_interruptions)</f>
        <v>0.71083333333333343</v>
      </c>
    </row>
    <row r="114" spans="1:25" x14ac:dyDescent="0.35">
      <c r="A114" s="23">
        <v>1705</v>
      </c>
      <c r="B114" s="459">
        <v>0.43</v>
      </c>
      <c r="C114" s="483">
        <v>200</v>
      </c>
      <c r="D114" s="554">
        <f t="shared" si="9"/>
        <v>3.2500000000000003E-3</v>
      </c>
      <c r="E114" s="459">
        <v>0.68</v>
      </c>
      <c r="F114" s="483">
        <v>50</v>
      </c>
      <c r="G114" s="168">
        <f t="shared" si="10"/>
        <v>2.375E-2</v>
      </c>
      <c r="H114" s="459">
        <v>0.71</v>
      </c>
      <c r="I114" s="483">
        <v>4</v>
      </c>
      <c r="J114" s="168">
        <f t="shared" si="11"/>
        <v>0.59833333333333327</v>
      </c>
      <c r="P114" s="23">
        <v>3324</v>
      </c>
      <c r="Q114" s="459">
        <v>0.41</v>
      </c>
      <c r="R114" s="483">
        <v>200</v>
      </c>
      <c r="S114" s="554">
        <f t="shared" si="15"/>
        <v>3.0999999999999999E-3</v>
      </c>
      <c r="T114" s="459">
        <v>0.16</v>
      </c>
      <c r="U114" s="483">
        <v>10.25</v>
      </c>
      <c r="V114" s="168">
        <f t="shared" si="16"/>
        <v>2.2857142857142857E-2</v>
      </c>
      <c r="W114" s="459">
        <v>0.38</v>
      </c>
      <c r="X114" s="483">
        <v>5.25</v>
      </c>
      <c r="Y114" s="168">
        <f t="shared" si="17"/>
        <v>0.54500000000000004</v>
      </c>
    </row>
    <row r="115" spans="1:25" x14ac:dyDescent="0.35">
      <c r="A115" s="23">
        <v>1713</v>
      </c>
      <c r="B115" s="459">
        <v>0.33</v>
      </c>
      <c r="C115" s="483">
        <v>175</v>
      </c>
      <c r="D115" s="554">
        <f t="shared" si="9"/>
        <v>2.7500000000000003E-3</v>
      </c>
      <c r="E115" s="459">
        <v>0.39</v>
      </c>
      <c r="F115" s="483">
        <v>55</v>
      </c>
      <c r="G115" s="168">
        <f t="shared" si="10"/>
        <v>1.6500000000000001E-2</v>
      </c>
      <c r="H115" s="459">
        <v>0.64</v>
      </c>
      <c r="I115" s="483">
        <v>4.25</v>
      </c>
      <c r="J115" s="168">
        <f t="shared" si="11"/>
        <v>0.59249999999999992</v>
      </c>
      <c r="P115" s="23">
        <v>3439</v>
      </c>
      <c r="Q115" s="459">
        <v>0</v>
      </c>
      <c r="R115" s="483">
        <v>100</v>
      </c>
      <c r="S115" s="554">
        <f t="shared" si="15"/>
        <v>1.0499999999999999E-3</v>
      </c>
      <c r="T115" s="459">
        <v>0.41</v>
      </c>
      <c r="U115" s="483">
        <v>9</v>
      </c>
      <c r="V115" s="168">
        <f t="shared" si="16"/>
        <v>5.8571428571428566E-2</v>
      </c>
      <c r="W115" s="459">
        <v>0.68</v>
      </c>
      <c r="X115" s="483">
        <v>4.25</v>
      </c>
      <c r="Y115" s="168">
        <f t="shared" si="17"/>
        <v>0.56999999999999995</v>
      </c>
    </row>
    <row r="116" spans="1:25" x14ac:dyDescent="0.35">
      <c r="A116" s="23">
        <v>1719</v>
      </c>
      <c r="B116" s="459">
        <v>-0.22</v>
      </c>
      <c r="C116" s="483">
        <v>50</v>
      </c>
      <c r="D116" s="554">
        <f t="shared" si="9"/>
        <v>0</v>
      </c>
      <c r="E116" s="459">
        <v>4.38</v>
      </c>
      <c r="F116" s="483">
        <v>40</v>
      </c>
      <c r="G116" s="168">
        <f t="shared" si="10"/>
        <v>0.11625000000000001</v>
      </c>
      <c r="H116" s="459">
        <v>6.47</v>
      </c>
      <c r="I116" s="483">
        <v>2</v>
      </c>
      <c r="J116" s="168">
        <f t="shared" si="11"/>
        <v>1.0783333333333334</v>
      </c>
      <c r="P116" s="23">
        <v>3440</v>
      </c>
      <c r="Q116" s="459">
        <v>0.41</v>
      </c>
      <c r="R116" s="483">
        <v>200</v>
      </c>
      <c r="S116" s="554">
        <f t="shared" si="15"/>
        <v>3.0999999999999999E-3</v>
      </c>
      <c r="T116" s="459">
        <v>0.28000000000000003</v>
      </c>
      <c r="U116" s="483">
        <v>9.75</v>
      </c>
      <c r="V116" s="168">
        <f t="shared" si="16"/>
        <v>0.04</v>
      </c>
      <c r="W116" s="459">
        <v>0.68</v>
      </c>
      <c r="X116" s="483">
        <v>4.25</v>
      </c>
      <c r="Y116" s="168">
        <f t="shared" si="17"/>
        <v>0.56999999999999995</v>
      </c>
    </row>
    <row r="117" spans="1:25" x14ac:dyDescent="0.35">
      <c r="A117" s="23">
        <v>1727</v>
      </c>
      <c r="B117" s="459">
        <v>0.25</v>
      </c>
      <c r="C117" s="483">
        <v>156.25</v>
      </c>
      <c r="D117" s="554">
        <f t="shared" si="9"/>
        <v>2.3499999999999997E-3</v>
      </c>
      <c r="E117" s="459">
        <v>0.56000000000000005</v>
      </c>
      <c r="F117" s="483">
        <v>52.5</v>
      </c>
      <c r="G117" s="168">
        <f t="shared" si="10"/>
        <v>2.0750000000000001E-2</v>
      </c>
      <c r="H117" s="459">
        <v>0.71</v>
      </c>
      <c r="I117" s="483">
        <v>4</v>
      </c>
      <c r="J117" s="168">
        <f t="shared" si="11"/>
        <v>0.59833333333333327</v>
      </c>
      <c r="P117" s="23">
        <v>3452</v>
      </c>
      <c r="Q117" s="459">
        <v>0.5</v>
      </c>
      <c r="R117" s="483">
        <v>218.75</v>
      </c>
      <c r="S117" s="554">
        <f t="shared" si="15"/>
        <v>3.5499999999999998E-3</v>
      </c>
      <c r="T117" s="459">
        <v>0.1</v>
      </c>
      <c r="U117" s="483">
        <v>10.75</v>
      </c>
      <c r="V117" s="168">
        <f t="shared" si="16"/>
        <v>1.4285714285714287E-2</v>
      </c>
      <c r="W117" s="459">
        <v>7.0000000000000007E-2</v>
      </c>
      <c r="X117" s="483">
        <v>6</v>
      </c>
      <c r="Y117" s="168">
        <f t="shared" si="17"/>
        <v>0.51916666666666667</v>
      </c>
    </row>
    <row r="118" spans="1:25" x14ac:dyDescent="0.35">
      <c r="A118" s="23">
        <v>1728</v>
      </c>
      <c r="B118" s="459">
        <v>0.65</v>
      </c>
      <c r="C118" s="483">
        <v>250</v>
      </c>
      <c r="D118" s="554">
        <f t="shared" si="9"/>
        <v>4.3499999999999997E-3</v>
      </c>
      <c r="E118" s="459">
        <v>4.38</v>
      </c>
      <c r="F118" s="483">
        <v>40</v>
      </c>
      <c r="G118" s="168">
        <f t="shared" si="10"/>
        <v>0.11625000000000001</v>
      </c>
      <c r="H118" s="459">
        <v>0.71</v>
      </c>
      <c r="I118" s="483">
        <v>4</v>
      </c>
      <c r="J118" s="168">
        <f t="shared" si="11"/>
        <v>0.59833333333333327</v>
      </c>
      <c r="P118" s="23">
        <v>3475</v>
      </c>
      <c r="Q118" s="459">
        <v>0.41</v>
      </c>
      <c r="R118" s="483">
        <v>200</v>
      </c>
      <c r="S118" s="554">
        <f t="shared" si="15"/>
        <v>3.0999999999999999E-3</v>
      </c>
      <c r="T118" s="459">
        <v>1.24</v>
      </c>
      <c r="U118" s="483">
        <v>9</v>
      </c>
      <c r="V118" s="168">
        <f t="shared" si="16"/>
        <v>0.17714285714285713</v>
      </c>
      <c r="W118" s="459">
        <v>2.8</v>
      </c>
      <c r="X118" s="483">
        <v>3.25</v>
      </c>
      <c r="Y118" s="168">
        <f t="shared" si="17"/>
        <v>0.7466666666666667</v>
      </c>
    </row>
    <row r="119" spans="1:25" x14ac:dyDescent="0.35">
      <c r="A119" s="23">
        <v>1729</v>
      </c>
      <c r="B119" s="459">
        <v>0.5</v>
      </c>
      <c r="C119" s="483">
        <v>212.5</v>
      </c>
      <c r="D119" s="554">
        <f t="shared" si="9"/>
        <v>3.5999999999999999E-3</v>
      </c>
      <c r="E119" s="459">
        <v>1.54</v>
      </c>
      <c r="F119" s="483">
        <v>48.75</v>
      </c>
      <c r="G119" s="168">
        <f t="shared" si="10"/>
        <v>4.5249999999999999E-2</v>
      </c>
      <c r="H119" s="459">
        <v>1.3</v>
      </c>
      <c r="I119" s="483">
        <v>4</v>
      </c>
      <c r="J119" s="168">
        <f t="shared" si="11"/>
        <v>0.64749999999999996</v>
      </c>
      <c r="P119" s="23">
        <v>3514</v>
      </c>
      <c r="Q119" s="459">
        <v>0.51</v>
      </c>
      <c r="R119" s="483">
        <v>218.75</v>
      </c>
      <c r="S119" s="554">
        <f t="shared" si="15"/>
        <v>3.5999999999999999E-3</v>
      </c>
      <c r="T119" s="459">
        <v>0.28000000000000003</v>
      </c>
      <c r="U119" s="483">
        <v>9.75</v>
      </c>
      <c r="V119" s="168">
        <f t="shared" si="16"/>
        <v>0.04</v>
      </c>
      <c r="W119" s="459">
        <v>-0.72</v>
      </c>
      <c r="X119" s="483">
        <v>7</v>
      </c>
      <c r="Y119" s="168">
        <f t="shared" si="17"/>
        <v>0.45333333333333337</v>
      </c>
    </row>
    <row r="120" spans="1:25" x14ac:dyDescent="0.35">
      <c r="A120" s="23">
        <v>1738</v>
      </c>
      <c r="B120" s="459">
        <v>0.47</v>
      </c>
      <c r="C120" s="483">
        <v>206.25</v>
      </c>
      <c r="D120" s="554">
        <f t="shared" si="9"/>
        <v>3.4499999999999999E-3</v>
      </c>
      <c r="E120" s="459">
        <v>0.68</v>
      </c>
      <c r="F120" s="483">
        <v>50</v>
      </c>
      <c r="G120" s="168">
        <f t="shared" si="10"/>
        <v>2.375E-2</v>
      </c>
      <c r="H120" s="459">
        <v>0.71</v>
      </c>
      <c r="I120" s="483">
        <v>4</v>
      </c>
      <c r="J120" s="168">
        <f t="shared" si="11"/>
        <v>0.59833333333333327</v>
      </c>
      <c r="P120" s="23">
        <v>3522</v>
      </c>
      <c r="Q120" s="459">
        <v>0.41</v>
      </c>
      <c r="R120" s="483">
        <v>200</v>
      </c>
      <c r="S120" s="554">
        <f t="shared" si="15"/>
        <v>3.0999999999999999E-3</v>
      </c>
      <c r="T120" s="459">
        <v>0.41</v>
      </c>
      <c r="U120" s="483">
        <v>9</v>
      </c>
      <c r="V120" s="168">
        <f t="shared" si="16"/>
        <v>5.8571428571428566E-2</v>
      </c>
      <c r="W120" s="459">
        <v>0.68</v>
      </c>
      <c r="X120" s="483">
        <v>4.25</v>
      </c>
      <c r="Y120" s="168">
        <f t="shared" si="17"/>
        <v>0.56999999999999995</v>
      </c>
    </row>
    <row r="121" spans="1:25" x14ac:dyDescent="0.35">
      <c r="A121" s="23">
        <v>1740</v>
      </c>
      <c r="B121" s="459">
        <v>0.43</v>
      </c>
      <c r="C121" s="483">
        <v>200</v>
      </c>
      <c r="D121" s="554">
        <f t="shared" si="9"/>
        <v>3.2500000000000003E-3</v>
      </c>
      <c r="E121" s="459">
        <v>0.68</v>
      </c>
      <c r="F121" s="483">
        <v>50</v>
      </c>
      <c r="G121" s="168">
        <f t="shared" si="10"/>
        <v>2.375E-2</v>
      </c>
      <c r="H121" s="459">
        <v>0.71</v>
      </c>
      <c r="I121" s="483">
        <v>4</v>
      </c>
      <c r="J121" s="168">
        <f t="shared" si="11"/>
        <v>0.59833333333333327</v>
      </c>
      <c r="P121" s="23">
        <v>3539</v>
      </c>
      <c r="Q121" s="459">
        <v>0.41</v>
      </c>
      <c r="R121" s="483">
        <v>200</v>
      </c>
      <c r="S121" s="554">
        <f t="shared" si="15"/>
        <v>3.0999999999999999E-3</v>
      </c>
      <c r="T121" s="459">
        <v>0.41</v>
      </c>
      <c r="U121" s="483">
        <v>9</v>
      </c>
      <c r="V121" s="168">
        <f t="shared" si="16"/>
        <v>5.8571428571428566E-2</v>
      </c>
      <c r="W121" s="459">
        <v>0.68</v>
      </c>
      <c r="X121" s="483">
        <v>4.25</v>
      </c>
      <c r="Y121" s="168">
        <f t="shared" si="17"/>
        <v>0.56999999999999995</v>
      </c>
    </row>
    <row r="122" spans="1:25" x14ac:dyDescent="0.35">
      <c r="A122" s="23">
        <v>1744</v>
      </c>
      <c r="B122" s="459">
        <v>0.43</v>
      </c>
      <c r="C122" s="483">
        <v>200</v>
      </c>
      <c r="D122" s="554">
        <f t="shared" si="9"/>
        <v>3.2500000000000003E-3</v>
      </c>
      <c r="E122" s="459">
        <v>2.2999999999999998</v>
      </c>
      <c r="F122" s="483">
        <v>46.25</v>
      </c>
      <c r="G122" s="168">
        <f t="shared" si="10"/>
        <v>6.4250000000000002E-2</v>
      </c>
      <c r="H122" s="459">
        <v>0.71</v>
      </c>
      <c r="I122" s="483">
        <v>4</v>
      </c>
      <c r="J122" s="168">
        <f t="shared" si="11"/>
        <v>0.59833333333333327</v>
      </c>
      <c r="P122" s="23">
        <v>3546</v>
      </c>
      <c r="Q122" s="459">
        <v>0.41</v>
      </c>
      <c r="R122" s="483">
        <v>200</v>
      </c>
      <c r="S122" s="554">
        <f t="shared" si="15"/>
        <v>3.0999999999999999E-3</v>
      </c>
      <c r="T122" s="459">
        <v>0.41</v>
      </c>
      <c r="U122" s="483">
        <v>9</v>
      </c>
      <c r="V122" s="168">
        <f t="shared" si="16"/>
        <v>5.8571428571428566E-2</v>
      </c>
      <c r="W122" s="459">
        <v>0.68</v>
      </c>
      <c r="X122" s="483">
        <v>4.25</v>
      </c>
      <c r="Y122" s="168">
        <f t="shared" si="17"/>
        <v>0.56999999999999995</v>
      </c>
    </row>
    <row r="123" spans="1:25" x14ac:dyDescent="0.35">
      <c r="A123" s="23">
        <v>1749</v>
      </c>
      <c r="B123" s="459">
        <v>0.43</v>
      </c>
      <c r="C123" s="483">
        <v>200</v>
      </c>
      <c r="D123" s="554">
        <f t="shared" si="9"/>
        <v>3.2500000000000003E-3</v>
      </c>
      <c r="E123" s="459">
        <v>0.68</v>
      </c>
      <c r="F123" s="483">
        <v>50</v>
      </c>
      <c r="G123" s="168">
        <f t="shared" si="10"/>
        <v>2.375E-2</v>
      </c>
      <c r="H123" s="459">
        <v>0.46</v>
      </c>
      <c r="I123" s="483">
        <v>4.75</v>
      </c>
      <c r="J123" s="168">
        <f t="shared" si="11"/>
        <v>0.57750000000000001</v>
      </c>
      <c r="P123" s="23">
        <v>3559</v>
      </c>
      <c r="Q123" s="459">
        <v>0.41</v>
      </c>
      <c r="R123" s="483">
        <v>200</v>
      </c>
      <c r="S123" s="554">
        <f t="shared" si="15"/>
        <v>3.0999999999999999E-3</v>
      </c>
      <c r="T123" s="459">
        <v>1.55</v>
      </c>
      <c r="U123" s="483">
        <v>9</v>
      </c>
      <c r="V123" s="168">
        <f t="shared" si="16"/>
        <v>0.22142857142857145</v>
      </c>
      <c r="W123" s="459">
        <v>0.68</v>
      </c>
      <c r="X123" s="483">
        <v>4.25</v>
      </c>
      <c r="Y123" s="168">
        <f t="shared" si="17"/>
        <v>0.56999999999999995</v>
      </c>
    </row>
    <row r="124" spans="1:25" x14ac:dyDescent="0.35">
      <c r="A124" s="23">
        <v>1762</v>
      </c>
      <c r="B124" s="459">
        <v>0.55000000000000004</v>
      </c>
      <c r="C124" s="483">
        <v>225</v>
      </c>
      <c r="D124" s="554">
        <f t="shared" si="9"/>
        <v>3.8500000000000001E-3</v>
      </c>
      <c r="E124" s="459">
        <v>3.82</v>
      </c>
      <c r="F124" s="483">
        <v>42.5</v>
      </c>
      <c r="G124" s="168">
        <f t="shared" si="10"/>
        <v>0.10224999999999999</v>
      </c>
      <c r="H124" s="459">
        <v>1.6</v>
      </c>
      <c r="I124" s="483">
        <v>3.75</v>
      </c>
      <c r="J124" s="168">
        <f t="shared" si="11"/>
        <v>0.67249999999999999</v>
      </c>
      <c r="P124" s="23">
        <v>3564</v>
      </c>
      <c r="Q124" s="459">
        <v>0.5</v>
      </c>
      <c r="R124" s="483">
        <v>218.75</v>
      </c>
      <c r="S124" s="554">
        <f t="shared" si="15"/>
        <v>3.5499999999999998E-3</v>
      </c>
      <c r="T124" s="459">
        <v>1.1299999999999999</v>
      </c>
      <c r="U124" s="483">
        <v>9</v>
      </c>
      <c r="V124" s="168">
        <f t="shared" si="16"/>
        <v>0.16142857142857142</v>
      </c>
      <c r="W124" s="459">
        <v>0.68</v>
      </c>
      <c r="X124" s="483">
        <v>4.25</v>
      </c>
      <c r="Y124" s="168">
        <f t="shared" si="17"/>
        <v>0.56999999999999995</v>
      </c>
    </row>
    <row r="125" spans="1:25" x14ac:dyDescent="0.35">
      <c r="A125" s="23">
        <v>1770</v>
      </c>
      <c r="B125" s="459">
        <v>-0.22</v>
      </c>
      <c r="C125" s="483">
        <v>50</v>
      </c>
      <c r="D125" s="554">
        <f t="shared" si="9"/>
        <v>0</v>
      </c>
      <c r="E125" s="459">
        <v>7.0000000000000007E-2</v>
      </c>
      <c r="F125" s="483">
        <v>60</v>
      </c>
      <c r="G125" s="168">
        <f t="shared" si="10"/>
        <v>8.5000000000000006E-3</v>
      </c>
      <c r="H125" s="459">
        <v>-6.47</v>
      </c>
      <c r="I125" s="483">
        <v>14</v>
      </c>
      <c r="J125" s="168">
        <f t="shared" si="11"/>
        <v>0</v>
      </c>
      <c r="P125" s="23">
        <v>3576</v>
      </c>
      <c r="Q125" s="459">
        <v>0.41</v>
      </c>
      <c r="R125" s="483">
        <v>200</v>
      </c>
      <c r="S125" s="554">
        <f t="shared" si="15"/>
        <v>3.0999999999999999E-3</v>
      </c>
      <c r="T125" s="459">
        <v>0.41</v>
      </c>
      <c r="U125" s="483">
        <v>9</v>
      </c>
      <c r="V125" s="168">
        <f t="shared" si="16"/>
        <v>5.8571428571428566E-2</v>
      </c>
      <c r="W125" s="459">
        <v>0.68</v>
      </c>
      <c r="X125" s="483">
        <v>4.25</v>
      </c>
      <c r="Y125" s="168">
        <f t="shared" si="17"/>
        <v>0.56999999999999995</v>
      </c>
    </row>
    <row r="126" spans="1:25" x14ac:dyDescent="0.35">
      <c r="A126" s="23">
        <v>1772</v>
      </c>
      <c r="B126" s="459">
        <v>0.45</v>
      </c>
      <c r="C126" s="483">
        <v>200</v>
      </c>
      <c r="D126" s="554">
        <f t="shared" si="9"/>
        <v>3.3500000000000001E-3</v>
      </c>
      <c r="E126" s="459">
        <v>1.1499999999999999</v>
      </c>
      <c r="F126" s="483">
        <v>48.75</v>
      </c>
      <c r="G126" s="168">
        <f t="shared" si="10"/>
        <v>3.5499999999999997E-2</v>
      </c>
      <c r="H126" s="459">
        <v>0.71</v>
      </c>
      <c r="I126" s="483">
        <v>4</v>
      </c>
      <c r="J126" s="168">
        <f t="shared" si="11"/>
        <v>0.59833333333333327</v>
      </c>
      <c r="P126" s="23">
        <v>3582</v>
      </c>
      <c r="Q126" s="459">
        <v>0.4</v>
      </c>
      <c r="R126" s="483">
        <v>193.75</v>
      </c>
      <c r="S126" s="554">
        <f t="shared" si="15"/>
        <v>3.0499999999999998E-3</v>
      </c>
      <c r="T126" s="459">
        <v>0.17</v>
      </c>
      <c r="U126" s="483">
        <v>10.25</v>
      </c>
      <c r="V126" s="168">
        <f t="shared" si="16"/>
        <v>2.4285714285714289E-2</v>
      </c>
      <c r="W126" s="459">
        <v>0.17</v>
      </c>
      <c r="X126" s="483">
        <v>6</v>
      </c>
      <c r="Y126" s="168">
        <f t="shared" si="17"/>
        <v>0.52749999999999997</v>
      </c>
    </row>
    <row r="127" spans="1:25" x14ac:dyDescent="0.35">
      <c r="A127" s="23">
        <v>1774</v>
      </c>
      <c r="B127" s="459">
        <v>0.43</v>
      </c>
      <c r="C127" s="483">
        <v>200</v>
      </c>
      <c r="D127" s="554">
        <f t="shared" si="9"/>
        <v>3.2500000000000003E-3</v>
      </c>
      <c r="E127" s="459">
        <v>0.68</v>
      </c>
      <c r="F127" s="483">
        <v>50</v>
      </c>
      <c r="G127" s="168">
        <f t="shared" si="10"/>
        <v>2.375E-2</v>
      </c>
      <c r="H127" s="459">
        <v>0.71</v>
      </c>
      <c r="I127" s="483">
        <v>4</v>
      </c>
      <c r="J127" s="168">
        <f t="shared" si="11"/>
        <v>0.59833333333333327</v>
      </c>
      <c r="P127" s="23">
        <v>3587</v>
      </c>
      <c r="Q127" s="459">
        <v>0.45</v>
      </c>
      <c r="R127" s="483">
        <v>206.25</v>
      </c>
      <c r="S127" s="554">
        <f t="shared" si="15"/>
        <v>3.3E-3</v>
      </c>
      <c r="T127" s="459">
        <v>0.04</v>
      </c>
      <c r="U127" s="483">
        <v>11</v>
      </c>
      <c r="V127" s="168">
        <f t="shared" si="16"/>
        <v>5.7142857142857143E-3</v>
      </c>
      <c r="W127" s="459">
        <v>0.44</v>
      </c>
      <c r="X127" s="483">
        <v>5.25</v>
      </c>
      <c r="Y127" s="168">
        <f t="shared" si="17"/>
        <v>0.55000000000000004</v>
      </c>
    </row>
    <row r="128" spans="1:25" x14ac:dyDescent="0.35">
      <c r="A128" s="23">
        <v>1777</v>
      </c>
      <c r="B128" s="459">
        <v>0.34</v>
      </c>
      <c r="C128" s="483">
        <v>175</v>
      </c>
      <c r="D128" s="554">
        <f t="shared" si="9"/>
        <v>2.8000000000000004E-3</v>
      </c>
      <c r="E128" s="459">
        <v>0.08</v>
      </c>
      <c r="F128" s="483">
        <v>60</v>
      </c>
      <c r="G128" s="168">
        <f t="shared" si="10"/>
        <v>8.7500000000000008E-3</v>
      </c>
      <c r="H128" s="459">
        <v>0.11</v>
      </c>
      <c r="I128" s="483">
        <v>5.75</v>
      </c>
      <c r="J128" s="168">
        <f t="shared" si="11"/>
        <v>0.54833333333333334</v>
      </c>
      <c r="P128" s="23">
        <v>3713</v>
      </c>
      <c r="Q128" s="459">
        <v>0.03</v>
      </c>
      <c r="R128" s="483">
        <v>106.25</v>
      </c>
      <c r="S128" s="554">
        <f t="shared" si="15"/>
        <v>1.1999999999999999E-3</v>
      </c>
      <c r="T128" s="459">
        <v>2.08</v>
      </c>
      <c r="U128" s="483">
        <v>8.375</v>
      </c>
      <c r="V128" s="168">
        <f t="shared" si="16"/>
        <v>0.29714285714285715</v>
      </c>
      <c r="W128" s="459">
        <v>0.42</v>
      </c>
      <c r="X128" s="483">
        <v>5.25</v>
      </c>
      <c r="Y128" s="168">
        <f t="shared" si="17"/>
        <v>0.54833333333333334</v>
      </c>
    </row>
    <row r="129" spans="1:25" x14ac:dyDescent="0.35">
      <c r="A129" s="23">
        <v>1779</v>
      </c>
      <c r="B129" s="459">
        <v>0.31</v>
      </c>
      <c r="C129" s="483">
        <v>168.75</v>
      </c>
      <c r="D129" s="554">
        <f t="shared" si="9"/>
        <v>2.65E-3</v>
      </c>
      <c r="E129" s="459">
        <v>0.68</v>
      </c>
      <c r="F129" s="483">
        <v>50</v>
      </c>
      <c r="G129" s="168">
        <f t="shared" si="10"/>
        <v>2.375E-2</v>
      </c>
      <c r="H129" s="459">
        <v>0.62</v>
      </c>
      <c r="I129" s="483">
        <v>4.25</v>
      </c>
      <c r="J129" s="168">
        <f t="shared" si="11"/>
        <v>0.59083333333333332</v>
      </c>
      <c r="P129" s="23">
        <v>3739</v>
      </c>
      <c r="Q129" s="459">
        <v>0.35</v>
      </c>
      <c r="R129" s="483">
        <v>181.25</v>
      </c>
      <c r="S129" s="554">
        <f t="shared" si="15"/>
        <v>2.7999999999999995E-3</v>
      </c>
      <c r="T129" s="459">
        <v>0.08</v>
      </c>
      <c r="U129" s="483">
        <v>10.75</v>
      </c>
      <c r="V129" s="168">
        <f t="shared" si="16"/>
        <v>1.1428571428571429E-2</v>
      </c>
      <c r="W129" s="459">
        <v>-5.48</v>
      </c>
      <c r="X129" s="483">
        <v>13.5</v>
      </c>
      <c r="Y129" s="168">
        <f t="shared" si="17"/>
        <v>5.6666666666666643E-2</v>
      </c>
    </row>
    <row r="130" spans="1:25" x14ac:dyDescent="0.35">
      <c r="A130" s="23">
        <v>1782</v>
      </c>
      <c r="B130" s="459">
        <v>0.43</v>
      </c>
      <c r="C130" s="483">
        <v>200</v>
      </c>
      <c r="D130" s="554">
        <f t="shared" si="9"/>
        <v>3.2500000000000003E-3</v>
      </c>
      <c r="E130" s="459">
        <v>0.36</v>
      </c>
      <c r="F130" s="483">
        <v>55</v>
      </c>
      <c r="G130" s="168">
        <f t="shared" si="10"/>
        <v>1.575E-2</v>
      </c>
      <c r="H130" s="459">
        <v>0.2</v>
      </c>
      <c r="I130" s="483">
        <v>5.25</v>
      </c>
      <c r="J130" s="168">
        <f t="shared" si="11"/>
        <v>0.55583333333333329</v>
      </c>
      <c r="P130" s="23">
        <v>3757</v>
      </c>
      <c r="Q130" s="459">
        <v>0.62</v>
      </c>
      <c r="R130" s="483">
        <v>250</v>
      </c>
      <c r="S130" s="554">
        <f t="shared" si="15"/>
        <v>4.15E-3</v>
      </c>
      <c r="T130" s="459">
        <v>0.41</v>
      </c>
      <c r="U130" s="483">
        <v>9</v>
      </c>
      <c r="V130" s="168">
        <f t="shared" si="16"/>
        <v>5.8571428571428566E-2</v>
      </c>
      <c r="W130" s="459">
        <v>0.68</v>
      </c>
      <c r="X130" s="483">
        <v>4.25</v>
      </c>
      <c r="Y130" s="168">
        <f t="shared" si="17"/>
        <v>0.56999999999999995</v>
      </c>
    </row>
    <row r="131" spans="1:25" x14ac:dyDescent="0.35">
      <c r="A131" s="23">
        <v>1783</v>
      </c>
      <c r="B131" s="459">
        <v>0.38</v>
      </c>
      <c r="C131" s="483">
        <v>187.5</v>
      </c>
      <c r="D131" s="554">
        <f t="shared" si="9"/>
        <v>3.0000000000000001E-3</v>
      </c>
      <c r="E131" s="459">
        <v>0.56999999999999995</v>
      </c>
      <c r="F131" s="483">
        <v>52.5</v>
      </c>
      <c r="G131" s="168">
        <f t="shared" si="10"/>
        <v>2.0999999999999998E-2</v>
      </c>
      <c r="H131" s="459">
        <v>0.71</v>
      </c>
      <c r="I131" s="483">
        <v>4</v>
      </c>
      <c r="J131" s="168">
        <f t="shared" si="11"/>
        <v>0.59833333333333327</v>
      </c>
      <c r="P131" s="23">
        <v>3766</v>
      </c>
      <c r="Q131" s="459">
        <v>0.41</v>
      </c>
      <c r="R131" s="483">
        <v>200</v>
      </c>
      <c r="S131" s="554">
        <f t="shared" si="15"/>
        <v>3.0999999999999999E-3</v>
      </c>
      <c r="T131" s="459">
        <v>1.17</v>
      </c>
      <c r="U131" s="483">
        <v>9</v>
      </c>
      <c r="V131" s="168">
        <f t="shared" si="16"/>
        <v>0.16714285714285712</v>
      </c>
      <c r="W131" s="459">
        <v>2.33</v>
      </c>
      <c r="X131" s="483">
        <v>4.25</v>
      </c>
      <c r="Y131" s="168">
        <f t="shared" si="17"/>
        <v>0.70750000000000002</v>
      </c>
    </row>
    <row r="132" spans="1:25" x14ac:dyDescent="0.35">
      <c r="A132" s="23">
        <v>1784</v>
      </c>
      <c r="B132" s="459">
        <v>0.6</v>
      </c>
      <c r="C132" s="483">
        <v>237.5</v>
      </c>
      <c r="D132" s="554">
        <f t="shared" si="9"/>
        <v>4.0999999999999995E-3</v>
      </c>
      <c r="E132" s="459">
        <v>0.68</v>
      </c>
      <c r="F132" s="483">
        <v>50</v>
      </c>
      <c r="G132" s="168">
        <f t="shared" si="10"/>
        <v>2.375E-2</v>
      </c>
      <c r="H132" s="459">
        <v>0.71</v>
      </c>
      <c r="I132" s="483">
        <v>4</v>
      </c>
      <c r="J132" s="168">
        <f t="shared" si="11"/>
        <v>0.59833333333333327</v>
      </c>
      <c r="P132" s="23">
        <v>3770</v>
      </c>
      <c r="Q132" s="459">
        <v>0.42</v>
      </c>
      <c r="R132" s="483">
        <v>200</v>
      </c>
      <c r="S132" s="554">
        <f t="shared" si="15"/>
        <v>3.15E-3</v>
      </c>
      <c r="T132" s="459">
        <v>0.41</v>
      </c>
      <c r="U132" s="483">
        <v>9</v>
      </c>
      <c r="V132" s="168">
        <f t="shared" si="16"/>
        <v>5.8571428571428566E-2</v>
      </c>
      <c r="W132" s="459">
        <v>0.57999999999999996</v>
      </c>
      <c r="X132" s="483">
        <v>5.25</v>
      </c>
      <c r="Y132" s="168">
        <f t="shared" si="17"/>
        <v>0.56166666666666665</v>
      </c>
    </row>
    <row r="133" spans="1:25" x14ac:dyDescent="0.35">
      <c r="A133" s="23">
        <v>1795</v>
      </c>
      <c r="B133" s="459">
        <v>0.38</v>
      </c>
      <c r="C133" s="483">
        <v>187.5</v>
      </c>
      <c r="D133" s="554">
        <f t="shared" si="9"/>
        <v>3.0000000000000001E-3</v>
      </c>
      <c r="E133" s="459">
        <v>0.68</v>
      </c>
      <c r="F133" s="483">
        <v>50</v>
      </c>
      <c r="G133" s="168">
        <f t="shared" si="10"/>
        <v>2.375E-2</v>
      </c>
      <c r="H133" s="459">
        <v>0.69</v>
      </c>
      <c r="I133" s="483">
        <v>4.25</v>
      </c>
      <c r="J133" s="168">
        <f t="shared" si="11"/>
        <v>0.59666666666666668</v>
      </c>
      <c r="P133" s="23">
        <v>3828</v>
      </c>
      <c r="Q133" s="459">
        <v>0</v>
      </c>
      <c r="R133" s="483">
        <v>100</v>
      </c>
      <c r="S133" s="554">
        <f t="shared" si="15"/>
        <v>1.0499999999999999E-3</v>
      </c>
      <c r="T133" s="459">
        <v>0</v>
      </c>
      <c r="U133" s="483">
        <v>15</v>
      </c>
      <c r="V133" s="168">
        <f t="shared" si="16"/>
        <v>0</v>
      </c>
      <c r="W133" s="459">
        <v>0</v>
      </c>
      <c r="X133" s="483">
        <v>6</v>
      </c>
      <c r="Y133" s="168">
        <f t="shared" si="17"/>
        <v>0.51333333333333331</v>
      </c>
    </row>
    <row r="134" spans="1:25" x14ac:dyDescent="0.35">
      <c r="A134" s="23">
        <v>1808</v>
      </c>
      <c r="B134" s="459">
        <v>0.43</v>
      </c>
      <c r="C134" s="483">
        <v>200</v>
      </c>
      <c r="D134" s="554">
        <f t="shared" si="9"/>
        <v>3.2500000000000003E-3</v>
      </c>
      <c r="E134" s="459">
        <v>2.4900000000000002</v>
      </c>
      <c r="F134" s="483">
        <v>46.25</v>
      </c>
      <c r="G134" s="168">
        <f t="shared" si="10"/>
        <v>6.9000000000000006E-2</v>
      </c>
      <c r="H134" s="459">
        <v>0.65</v>
      </c>
      <c r="I134" s="483">
        <v>4.25</v>
      </c>
      <c r="J134" s="168">
        <f t="shared" si="11"/>
        <v>0.59333333333333338</v>
      </c>
      <c r="P134" s="23">
        <v>3911</v>
      </c>
      <c r="Q134" s="459">
        <v>0</v>
      </c>
      <c r="R134" s="483">
        <v>100</v>
      </c>
      <c r="S134" s="554">
        <f t="shared" si="15"/>
        <v>1.0499999999999999E-3</v>
      </c>
      <c r="T134" s="459">
        <v>0</v>
      </c>
      <c r="U134" s="483">
        <v>15</v>
      </c>
      <c r="V134" s="168">
        <f t="shared" si="16"/>
        <v>0</v>
      </c>
      <c r="W134" s="459">
        <v>0</v>
      </c>
      <c r="X134" s="483">
        <v>6</v>
      </c>
      <c r="Y134" s="168">
        <f t="shared" si="17"/>
        <v>0.51333333333333331</v>
      </c>
    </row>
    <row r="135" spans="1:25" x14ac:dyDescent="0.35">
      <c r="A135" s="23">
        <v>1811</v>
      </c>
      <c r="B135" s="459">
        <v>0.48</v>
      </c>
      <c r="C135" s="483">
        <v>206.25</v>
      </c>
      <c r="D135" s="554">
        <f t="shared" si="9"/>
        <v>3.4999999999999996E-3</v>
      </c>
      <c r="E135" s="459">
        <v>0.68</v>
      </c>
      <c r="F135" s="483">
        <v>50</v>
      </c>
      <c r="G135" s="168">
        <f t="shared" si="10"/>
        <v>2.375E-2</v>
      </c>
      <c r="H135" s="459">
        <v>0.71</v>
      </c>
      <c r="I135" s="483">
        <v>4</v>
      </c>
      <c r="J135" s="168">
        <f t="shared" si="11"/>
        <v>0.59833333333333327</v>
      </c>
      <c r="P135" s="23">
        <v>3929</v>
      </c>
      <c r="Q135" s="459">
        <v>0.47</v>
      </c>
      <c r="R135" s="483">
        <v>212.5</v>
      </c>
      <c r="S135" s="554">
        <f t="shared" si="15"/>
        <v>3.3999999999999998E-3</v>
      </c>
      <c r="T135" s="459">
        <v>0.06</v>
      </c>
      <c r="U135" s="483">
        <v>10.75</v>
      </c>
      <c r="V135" s="168">
        <f t="shared" si="16"/>
        <v>8.5714285714285719E-3</v>
      </c>
      <c r="W135" s="459">
        <v>0.28000000000000003</v>
      </c>
      <c r="X135" s="483">
        <v>5.25</v>
      </c>
      <c r="Y135" s="168">
        <f t="shared" si="17"/>
        <v>0.53666666666666674</v>
      </c>
    </row>
    <row r="136" spans="1:25" x14ac:dyDescent="0.35">
      <c r="A136" s="23">
        <v>1832</v>
      </c>
      <c r="B136" s="459">
        <v>0.22</v>
      </c>
      <c r="C136" s="483">
        <v>150</v>
      </c>
      <c r="D136" s="554">
        <f t="shared" si="9"/>
        <v>2.2000000000000001E-3</v>
      </c>
      <c r="E136" s="459">
        <v>0.68</v>
      </c>
      <c r="F136" s="483">
        <v>50</v>
      </c>
      <c r="G136" s="168">
        <f t="shared" si="10"/>
        <v>2.375E-2</v>
      </c>
      <c r="H136" s="459">
        <v>0.71</v>
      </c>
      <c r="I136" s="483">
        <v>4</v>
      </c>
      <c r="J136" s="168">
        <f t="shared" si="11"/>
        <v>0.59833333333333327</v>
      </c>
      <c r="P136" s="23">
        <v>3933</v>
      </c>
      <c r="Q136" s="459">
        <v>0.41</v>
      </c>
      <c r="R136" s="483">
        <v>200</v>
      </c>
      <c r="S136" s="554">
        <f t="shared" si="15"/>
        <v>3.0999999999999999E-3</v>
      </c>
      <c r="T136" s="459">
        <v>0.41</v>
      </c>
      <c r="U136" s="483">
        <v>9</v>
      </c>
      <c r="V136" s="168">
        <f t="shared" si="16"/>
        <v>5.8571428571428566E-2</v>
      </c>
      <c r="W136" s="459">
        <v>0.68</v>
      </c>
      <c r="X136" s="483">
        <v>4.25</v>
      </c>
      <c r="Y136" s="168">
        <f t="shared" si="17"/>
        <v>0.56999999999999995</v>
      </c>
    </row>
    <row r="137" spans="1:25" x14ac:dyDescent="0.35">
      <c r="A137" s="23">
        <v>1846</v>
      </c>
      <c r="B137" s="459">
        <v>-0.03</v>
      </c>
      <c r="C137" s="483">
        <v>93.75</v>
      </c>
      <c r="D137" s="554">
        <f t="shared" si="9"/>
        <v>9.5E-4</v>
      </c>
      <c r="E137" s="459">
        <v>1.81</v>
      </c>
      <c r="F137" s="483">
        <v>47.5</v>
      </c>
      <c r="G137" s="168">
        <f t="shared" si="10"/>
        <v>5.2000000000000005E-2</v>
      </c>
      <c r="H137" s="459">
        <v>0.71</v>
      </c>
      <c r="I137" s="483">
        <v>4</v>
      </c>
      <c r="J137" s="168">
        <f t="shared" si="11"/>
        <v>0.59833333333333327</v>
      </c>
      <c r="P137" s="23">
        <v>4030</v>
      </c>
      <c r="Q137" s="459">
        <v>0.44</v>
      </c>
      <c r="R137" s="483">
        <v>206.25</v>
      </c>
      <c r="S137" s="554">
        <f t="shared" si="15"/>
        <v>3.2500000000000003E-3</v>
      </c>
      <c r="T137" s="459">
        <v>0.95</v>
      </c>
      <c r="U137" s="483">
        <v>9</v>
      </c>
      <c r="V137" s="168">
        <f t="shared" si="16"/>
        <v>0.1357142857142857</v>
      </c>
      <c r="W137" s="459">
        <v>2.23</v>
      </c>
      <c r="X137" s="483">
        <v>4.25</v>
      </c>
      <c r="Y137" s="168">
        <f t="shared" si="17"/>
        <v>0.69916666666666671</v>
      </c>
    </row>
    <row r="138" spans="1:25" x14ac:dyDescent="0.35">
      <c r="A138" s="23">
        <v>1852</v>
      </c>
      <c r="B138" s="459">
        <v>0.22</v>
      </c>
      <c r="C138" s="483">
        <v>150</v>
      </c>
      <c r="D138" s="554">
        <f t="shared" si="9"/>
        <v>2.2000000000000001E-3</v>
      </c>
      <c r="E138" s="459">
        <v>0.09</v>
      </c>
      <c r="F138" s="483">
        <v>58.75</v>
      </c>
      <c r="G138" s="168">
        <f t="shared" si="10"/>
        <v>8.9999999999999993E-3</v>
      </c>
      <c r="H138" s="459">
        <v>0</v>
      </c>
      <c r="I138" s="483">
        <v>6</v>
      </c>
      <c r="J138" s="168">
        <f t="shared" si="11"/>
        <v>0.53916666666666668</v>
      </c>
      <c r="P138" s="23">
        <v>4066</v>
      </c>
      <c r="Q138" s="459">
        <v>0.56000000000000005</v>
      </c>
      <c r="R138" s="483">
        <v>231.25</v>
      </c>
      <c r="S138" s="554">
        <f t="shared" si="15"/>
        <v>3.8500000000000001E-3</v>
      </c>
      <c r="T138" s="459">
        <v>0.41</v>
      </c>
      <c r="U138" s="483">
        <v>9</v>
      </c>
      <c r="V138" s="168">
        <f t="shared" si="16"/>
        <v>5.8571428571428566E-2</v>
      </c>
      <c r="W138" s="459">
        <v>0.68</v>
      </c>
      <c r="X138" s="483">
        <v>4.25</v>
      </c>
      <c r="Y138" s="168">
        <f t="shared" si="17"/>
        <v>0.56999999999999995</v>
      </c>
    </row>
    <row r="139" spans="1:25" x14ac:dyDescent="0.35">
      <c r="A139" s="23">
        <v>1855</v>
      </c>
      <c r="B139" s="459">
        <v>0.46</v>
      </c>
      <c r="C139" s="483">
        <v>206.25</v>
      </c>
      <c r="D139" s="554">
        <f t="shared" si="9"/>
        <v>3.4000000000000002E-3</v>
      </c>
      <c r="E139" s="459">
        <v>1.54</v>
      </c>
      <c r="F139" s="483">
        <v>48.75</v>
      </c>
      <c r="G139" s="168">
        <f t="shared" si="10"/>
        <v>4.5249999999999999E-2</v>
      </c>
      <c r="H139" s="459">
        <v>0.02</v>
      </c>
      <c r="I139" s="483">
        <v>6</v>
      </c>
      <c r="J139" s="168">
        <f t="shared" si="11"/>
        <v>0.54083333333333328</v>
      </c>
      <c r="P139" s="23">
        <v>4068</v>
      </c>
      <c r="Q139" s="459">
        <v>0.41</v>
      </c>
      <c r="R139" s="483">
        <v>200</v>
      </c>
      <c r="S139" s="554">
        <f t="shared" si="15"/>
        <v>3.0999999999999999E-3</v>
      </c>
      <c r="T139" s="459">
        <v>0.53</v>
      </c>
      <c r="U139" s="483">
        <v>9</v>
      </c>
      <c r="V139" s="168">
        <f t="shared" si="16"/>
        <v>7.571428571428572E-2</v>
      </c>
      <c r="W139" s="459">
        <v>-1.59</v>
      </c>
      <c r="X139" s="483">
        <v>8.5</v>
      </c>
      <c r="Y139" s="168">
        <f t="shared" si="17"/>
        <v>0.38083333333333336</v>
      </c>
    </row>
    <row r="140" spans="1:25" x14ac:dyDescent="0.35">
      <c r="A140" s="23">
        <v>1861</v>
      </c>
      <c r="B140" s="459">
        <v>0.43</v>
      </c>
      <c r="C140" s="483">
        <v>200</v>
      </c>
      <c r="D140" s="554">
        <f t="shared" si="9"/>
        <v>3.2500000000000003E-3</v>
      </c>
      <c r="E140" s="459">
        <v>0.68</v>
      </c>
      <c r="F140" s="483">
        <v>50</v>
      </c>
      <c r="G140" s="168">
        <f t="shared" si="10"/>
        <v>2.375E-2</v>
      </c>
      <c r="H140" s="459">
        <v>0.71</v>
      </c>
      <c r="I140" s="483">
        <v>4</v>
      </c>
      <c r="J140" s="168">
        <f t="shared" si="11"/>
        <v>0.59833333333333327</v>
      </c>
      <c r="P140" s="23">
        <v>4074</v>
      </c>
      <c r="Q140" s="459">
        <v>0.17</v>
      </c>
      <c r="R140" s="483">
        <v>137.5</v>
      </c>
      <c r="S140" s="554">
        <f t="shared" si="15"/>
        <v>1.9E-3</v>
      </c>
      <c r="T140" s="459">
        <v>0.06</v>
      </c>
      <c r="U140" s="483">
        <v>10.75</v>
      </c>
      <c r="V140" s="168">
        <f t="shared" si="16"/>
        <v>8.5714285714285719E-3</v>
      </c>
      <c r="W140" s="459">
        <v>0.12</v>
      </c>
      <c r="X140" s="483">
        <v>6</v>
      </c>
      <c r="Y140" s="168">
        <f t="shared" si="17"/>
        <v>0.52333333333333332</v>
      </c>
    </row>
    <row r="141" spans="1:25" x14ac:dyDescent="0.35">
      <c r="A141" s="23">
        <v>1878</v>
      </c>
      <c r="B141" s="459">
        <v>0.19</v>
      </c>
      <c r="C141" s="483">
        <v>143.75</v>
      </c>
      <c r="D141" s="554">
        <f t="shared" si="9"/>
        <v>2.0500000000000002E-3</v>
      </c>
      <c r="E141" s="459">
        <v>0.17</v>
      </c>
      <c r="F141" s="483">
        <v>57.5</v>
      </c>
      <c r="G141" s="168">
        <f t="shared" si="10"/>
        <v>1.1000000000000001E-2</v>
      </c>
      <c r="H141" s="459">
        <v>0.71</v>
      </c>
      <c r="I141" s="483">
        <v>4</v>
      </c>
      <c r="J141" s="168">
        <f t="shared" si="11"/>
        <v>0.59833333333333327</v>
      </c>
      <c r="P141" s="23">
        <v>4086</v>
      </c>
      <c r="Q141" s="459">
        <v>0.41</v>
      </c>
      <c r="R141" s="483">
        <v>200</v>
      </c>
      <c r="S141" s="554">
        <f t="shared" si="15"/>
        <v>3.0999999999999999E-3</v>
      </c>
      <c r="T141" s="459">
        <v>0.41</v>
      </c>
      <c r="U141" s="483">
        <v>9</v>
      </c>
      <c r="V141" s="168">
        <f t="shared" si="16"/>
        <v>5.8571428571428566E-2</v>
      </c>
      <c r="W141" s="459">
        <v>0.68</v>
      </c>
      <c r="X141" s="483">
        <v>4.25</v>
      </c>
      <c r="Y141" s="168">
        <f t="shared" si="17"/>
        <v>0.56999999999999995</v>
      </c>
    </row>
    <row r="142" spans="1:25" x14ac:dyDescent="0.35">
      <c r="A142" s="23">
        <v>1879</v>
      </c>
      <c r="B142" s="459">
        <v>0.5</v>
      </c>
      <c r="C142" s="483">
        <v>212.5</v>
      </c>
      <c r="D142" s="554">
        <f t="shared" si="9"/>
        <v>3.5999999999999999E-3</v>
      </c>
      <c r="E142" s="459">
        <v>0.68</v>
      </c>
      <c r="F142" s="483">
        <v>50</v>
      </c>
      <c r="G142" s="168">
        <f t="shared" si="10"/>
        <v>2.375E-2</v>
      </c>
      <c r="H142" s="459">
        <v>0.71</v>
      </c>
      <c r="I142" s="483">
        <v>4</v>
      </c>
      <c r="J142" s="168">
        <f t="shared" si="11"/>
        <v>0.59833333333333327</v>
      </c>
      <c r="P142" s="23">
        <v>4089</v>
      </c>
      <c r="Q142" s="459">
        <v>0.4</v>
      </c>
      <c r="R142" s="483">
        <v>193.75</v>
      </c>
      <c r="S142" s="554">
        <f t="shared" si="15"/>
        <v>3.0499999999999998E-3</v>
      </c>
      <c r="T142" s="459">
        <v>0.4</v>
      </c>
      <c r="U142" s="483">
        <v>9.25</v>
      </c>
      <c r="V142" s="168">
        <f t="shared" si="16"/>
        <v>5.7142857142857148E-2</v>
      </c>
      <c r="W142" s="459">
        <v>0.65</v>
      </c>
      <c r="X142" s="483">
        <v>4.25</v>
      </c>
      <c r="Y142" s="168">
        <f t="shared" si="17"/>
        <v>0.5675</v>
      </c>
    </row>
    <row r="143" spans="1:25" x14ac:dyDescent="0.35">
      <c r="A143" s="23">
        <v>1894</v>
      </c>
      <c r="B143" s="459">
        <v>0.43</v>
      </c>
      <c r="C143" s="483">
        <v>200</v>
      </c>
      <c r="D143" s="554">
        <f t="shared" si="9"/>
        <v>3.2500000000000003E-3</v>
      </c>
      <c r="E143" s="459">
        <v>0.68</v>
      </c>
      <c r="F143" s="483">
        <v>50</v>
      </c>
      <c r="G143" s="168">
        <f t="shared" si="10"/>
        <v>2.375E-2</v>
      </c>
      <c r="H143" s="459">
        <v>0.71</v>
      </c>
      <c r="I143" s="483">
        <v>4</v>
      </c>
      <c r="J143" s="168">
        <f t="shared" si="11"/>
        <v>0.59833333333333327</v>
      </c>
      <c r="P143" s="23">
        <v>4096</v>
      </c>
      <c r="Q143" s="459">
        <v>0.62</v>
      </c>
      <c r="R143" s="483">
        <v>250</v>
      </c>
      <c r="S143" s="554">
        <f t="shared" si="15"/>
        <v>4.15E-3</v>
      </c>
      <c r="T143" s="459">
        <v>2.74</v>
      </c>
      <c r="U143" s="483">
        <v>8.375</v>
      </c>
      <c r="V143" s="168">
        <f t="shared" si="16"/>
        <v>0.39142857142857146</v>
      </c>
      <c r="W143" s="459">
        <v>-0.04</v>
      </c>
      <c r="X143" s="483">
        <v>6.5</v>
      </c>
      <c r="Y143" s="168">
        <f t="shared" si="17"/>
        <v>0.51</v>
      </c>
    </row>
    <row r="144" spans="1:25" x14ac:dyDescent="0.35">
      <c r="A144" s="23">
        <v>1896</v>
      </c>
      <c r="B144" s="459">
        <v>0.43</v>
      </c>
      <c r="C144" s="483">
        <v>200</v>
      </c>
      <c r="D144" s="554">
        <f t="shared" si="9"/>
        <v>3.2500000000000003E-3</v>
      </c>
      <c r="E144" s="459">
        <v>0.68</v>
      </c>
      <c r="F144" s="483">
        <v>50</v>
      </c>
      <c r="G144" s="168">
        <f t="shared" si="10"/>
        <v>2.375E-2</v>
      </c>
      <c r="H144" s="459">
        <v>0.71</v>
      </c>
      <c r="I144" s="483">
        <v>4</v>
      </c>
      <c r="J144" s="168">
        <f t="shared" si="11"/>
        <v>0.59833333333333327</v>
      </c>
      <c r="P144" s="23">
        <v>4250</v>
      </c>
      <c r="Q144" s="459">
        <v>0</v>
      </c>
      <c r="R144" s="483">
        <v>100</v>
      </c>
      <c r="S144" s="554">
        <f t="shared" si="15"/>
        <v>1.0499999999999999E-3</v>
      </c>
      <c r="T144" s="459">
        <v>0.41</v>
      </c>
      <c r="U144" s="483">
        <v>9</v>
      </c>
      <c r="V144" s="168">
        <f t="shared" si="16"/>
        <v>5.8571428571428566E-2</v>
      </c>
      <c r="W144" s="459">
        <v>0.68</v>
      </c>
      <c r="X144" s="483">
        <v>4.25</v>
      </c>
      <c r="Y144" s="168">
        <f t="shared" si="17"/>
        <v>0.56999999999999995</v>
      </c>
    </row>
    <row r="145" spans="1:25" x14ac:dyDescent="0.35">
      <c r="A145" s="23">
        <v>1941</v>
      </c>
      <c r="B145" s="459">
        <v>0.43</v>
      </c>
      <c r="C145" s="483">
        <v>200</v>
      </c>
      <c r="D145" s="554">
        <f t="shared" ref="D145:D208" si="18">(B145-Lowest_bill_SSW_protecting_wildlife)/(Highest_servicelevel_SSW_protecting_wildlife-Lowest_servicelevel_SSW_protecting_wildlife)</f>
        <v>3.2500000000000003E-3</v>
      </c>
      <c r="E145" s="459">
        <v>1.43</v>
      </c>
      <c r="F145" s="483">
        <v>48.75</v>
      </c>
      <c r="G145" s="168">
        <f t="shared" ref="G145:G208" si="19">(E145-Lowest_bill_SSW_leakage)/(Highest_servicelevel_SSW_leakage-Lowest_servicelevel_SSW_leakage)</f>
        <v>4.2499999999999996E-2</v>
      </c>
      <c r="H145" s="459">
        <v>0.71</v>
      </c>
      <c r="I145" s="483">
        <v>4</v>
      </c>
      <c r="J145" s="168">
        <f t="shared" ref="J145:J208" si="20">(H145-Lowest_bill_SSW_interruptions)/(Highest_servicelevel_SSW_interruptions-Lowest_servicelevel_SSW_interruptions)</f>
        <v>0.59833333333333327</v>
      </c>
      <c r="P145" s="23">
        <v>4264</v>
      </c>
      <c r="Q145" s="459">
        <v>0.41</v>
      </c>
      <c r="R145" s="483">
        <v>200</v>
      </c>
      <c r="S145" s="554">
        <f t="shared" ref="S145:S155" si="21">(Q145-Lowest_bill_CAM_protecting_wildlife)/(Highest_servicelevel_CAM_protecting_wildlife-Lowest_servicelevel_CAM_protecting_wildlife)</f>
        <v>3.0999999999999999E-3</v>
      </c>
      <c r="T145" s="459">
        <v>0.59</v>
      </c>
      <c r="U145" s="483">
        <v>9</v>
      </c>
      <c r="V145" s="168">
        <f t="shared" ref="V145:V155" si="22">(T145-Lowest_bill_CAM_leakage)/(Highest_servicelevel_CAM_leakage-Lowest_servicelevel_CAM_leakage)</f>
        <v>8.4285714285714283E-2</v>
      </c>
      <c r="W145" s="459">
        <v>0.68</v>
      </c>
      <c r="X145" s="483">
        <v>4.25</v>
      </c>
      <c r="Y145" s="168">
        <f t="shared" ref="Y145:Y155" si="23">(W145-Lowest_bill_CAM_interruptions)/(Highest_servicelevel_CAM_interruptions-Lowest_servicelevel_CAM_interruptions)</f>
        <v>0.56999999999999995</v>
      </c>
    </row>
    <row r="146" spans="1:25" x14ac:dyDescent="0.35">
      <c r="A146" s="23">
        <v>1947</v>
      </c>
      <c r="B146" s="459">
        <v>0.65</v>
      </c>
      <c r="C146" s="483">
        <v>250</v>
      </c>
      <c r="D146" s="554">
        <f t="shared" si="18"/>
        <v>4.3499999999999997E-3</v>
      </c>
      <c r="E146" s="459">
        <v>2.1</v>
      </c>
      <c r="F146" s="483">
        <v>46.25</v>
      </c>
      <c r="G146" s="168">
        <f t="shared" si="19"/>
        <v>5.9250000000000004E-2</v>
      </c>
      <c r="H146" s="459">
        <v>0.55000000000000004</v>
      </c>
      <c r="I146" s="483">
        <v>4.75</v>
      </c>
      <c r="J146" s="168">
        <f t="shared" si="20"/>
        <v>0.58499999999999996</v>
      </c>
      <c r="P146" s="23">
        <v>4287</v>
      </c>
      <c r="Q146" s="459">
        <v>0.62</v>
      </c>
      <c r="R146" s="483">
        <v>250</v>
      </c>
      <c r="S146" s="554">
        <f t="shared" si="21"/>
        <v>4.15E-3</v>
      </c>
      <c r="T146" s="459">
        <v>1.96</v>
      </c>
      <c r="U146" s="483">
        <v>8.375</v>
      </c>
      <c r="V146" s="168">
        <f t="shared" si="22"/>
        <v>0.27999999999999997</v>
      </c>
      <c r="W146" s="459">
        <v>2.4900000000000002</v>
      </c>
      <c r="X146" s="483">
        <v>4.25</v>
      </c>
      <c r="Y146" s="168">
        <f t="shared" si="23"/>
        <v>0.72083333333333333</v>
      </c>
    </row>
    <row r="147" spans="1:25" x14ac:dyDescent="0.35">
      <c r="A147" s="23">
        <v>1948</v>
      </c>
      <c r="B147" s="459">
        <v>0.36</v>
      </c>
      <c r="C147" s="483">
        <v>181.25</v>
      </c>
      <c r="D147" s="554">
        <f t="shared" si="18"/>
        <v>2.8999999999999998E-3</v>
      </c>
      <c r="E147" s="459">
        <v>0.68</v>
      </c>
      <c r="F147" s="483">
        <v>50</v>
      </c>
      <c r="G147" s="168">
        <f t="shared" si="19"/>
        <v>2.375E-2</v>
      </c>
      <c r="H147" s="459">
        <v>0.71</v>
      </c>
      <c r="I147" s="483">
        <v>4</v>
      </c>
      <c r="J147" s="168">
        <f t="shared" si="20"/>
        <v>0.59833333333333327</v>
      </c>
      <c r="P147" s="23">
        <v>4290</v>
      </c>
      <c r="Q147" s="459">
        <v>0.33</v>
      </c>
      <c r="R147" s="483">
        <v>175</v>
      </c>
      <c r="S147" s="554">
        <f t="shared" si="21"/>
        <v>2.7000000000000001E-3</v>
      </c>
      <c r="T147" s="459">
        <v>0.41</v>
      </c>
      <c r="U147" s="483">
        <v>9</v>
      </c>
      <c r="V147" s="168">
        <f t="shared" si="22"/>
        <v>5.8571428571428566E-2</v>
      </c>
      <c r="W147" s="459">
        <v>0.68</v>
      </c>
      <c r="X147" s="483">
        <v>4.25</v>
      </c>
      <c r="Y147" s="168">
        <f t="shared" si="23"/>
        <v>0.56999999999999995</v>
      </c>
    </row>
    <row r="148" spans="1:25" x14ac:dyDescent="0.35">
      <c r="A148" s="23">
        <v>1967</v>
      </c>
      <c r="B148" s="459">
        <v>0.43</v>
      </c>
      <c r="C148" s="483">
        <v>200</v>
      </c>
      <c r="D148" s="554">
        <f t="shared" si="18"/>
        <v>3.2500000000000003E-3</v>
      </c>
      <c r="E148" s="459">
        <v>2.2400000000000002</v>
      </c>
      <c r="F148" s="483">
        <v>46.25</v>
      </c>
      <c r="G148" s="168">
        <f t="shared" si="19"/>
        <v>6.275E-2</v>
      </c>
      <c r="H148" s="459">
        <v>2.54</v>
      </c>
      <c r="I148" s="483">
        <v>3.75</v>
      </c>
      <c r="J148" s="168">
        <f t="shared" si="20"/>
        <v>0.75083333333333335</v>
      </c>
      <c r="P148" s="23">
        <v>4293</v>
      </c>
      <c r="Q148" s="459">
        <v>0.41</v>
      </c>
      <c r="R148" s="483">
        <v>200</v>
      </c>
      <c r="S148" s="554">
        <f t="shared" si="21"/>
        <v>3.0999999999999999E-3</v>
      </c>
      <c r="T148" s="459">
        <v>2.0299999999999998</v>
      </c>
      <c r="U148" s="483">
        <v>8.375</v>
      </c>
      <c r="V148" s="168">
        <f t="shared" si="22"/>
        <v>0.28999999999999998</v>
      </c>
      <c r="W148" s="459">
        <v>0.47</v>
      </c>
      <c r="X148" s="483">
        <v>5.25</v>
      </c>
      <c r="Y148" s="168">
        <f t="shared" si="23"/>
        <v>0.55249999999999999</v>
      </c>
    </row>
    <row r="149" spans="1:25" x14ac:dyDescent="0.35">
      <c r="A149" s="23">
        <v>1989</v>
      </c>
      <c r="B149" s="459">
        <v>0.19</v>
      </c>
      <c r="C149" s="483">
        <v>143.75</v>
      </c>
      <c r="D149" s="554">
        <f t="shared" si="18"/>
        <v>2.0500000000000002E-3</v>
      </c>
      <c r="E149" s="459">
        <v>0.68</v>
      </c>
      <c r="F149" s="483">
        <v>50</v>
      </c>
      <c r="G149" s="168">
        <f t="shared" si="19"/>
        <v>2.375E-2</v>
      </c>
      <c r="H149" s="459">
        <v>0.71</v>
      </c>
      <c r="I149" s="483">
        <v>4</v>
      </c>
      <c r="J149" s="168">
        <f t="shared" si="20"/>
        <v>0.59833333333333327</v>
      </c>
      <c r="P149" s="23">
        <v>4324</v>
      </c>
      <c r="Q149" s="459">
        <v>0.41</v>
      </c>
      <c r="R149" s="483">
        <v>200</v>
      </c>
      <c r="S149" s="554">
        <f t="shared" si="21"/>
        <v>3.0999999999999999E-3</v>
      </c>
      <c r="T149" s="459">
        <v>0.41</v>
      </c>
      <c r="U149" s="483">
        <v>9</v>
      </c>
      <c r="V149" s="168">
        <f t="shared" si="22"/>
        <v>5.8571428571428566E-2</v>
      </c>
      <c r="W149" s="459">
        <v>0.68</v>
      </c>
      <c r="X149" s="483">
        <v>4.25</v>
      </c>
      <c r="Y149" s="168">
        <f t="shared" si="23"/>
        <v>0.56999999999999995</v>
      </c>
    </row>
    <row r="150" spans="1:25" x14ac:dyDescent="0.35">
      <c r="A150" s="23">
        <v>1997</v>
      </c>
      <c r="B150" s="459">
        <v>0.43</v>
      </c>
      <c r="C150" s="483">
        <v>200</v>
      </c>
      <c r="D150" s="554">
        <f t="shared" si="18"/>
        <v>3.2500000000000003E-3</v>
      </c>
      <c r="E150" s="459">
        <v>0.68</v>
      </c>
      <c r="F150" s="483">
        <v>50</v>
      </c>
      <c r="G150" s="168">
        <f t="shared" si="19"/>
        <v>2.375E-2</v>
      </c>
      <c r="H150" s="459">
        <v>0.71</v>
      </c>
      <c r="I150" s="483">
        <v>4</v>
      </c>
      <c r="J150" s="168">
        <f t="shared" si="20"/>
        <v>0.59833333333333327</v>
      </c>
      <c r="P150" s="23">
        <v>4343</v>
      </c>
      <c r="Q150" s="459">
        <v>0.49</v>
      </c>
      <c r="R150" s="483">
        <v>218.75</v>
      </c>
      <c r="S150" s="554">
        <f t="shared" si="21"/>
        <v>3.4999999999999996E-3</v>
      </c>
      <c r="T150" s="459">
        <v>0.97</v>
      </c>
      <c r="U150" s="483">
        <v>9</v>
      </c>
      <c r="V150" s="168">
        <f t="shared" si="22"/>
        <v>0.13857142857142857</v>
      </c>
      <c r="W150" s="459">
        <v>0.35</v>
      </c>
      <c r="X150" s="483">
        <v>5.25</v>
      </c>
      <c r="Y150" s="168">
        <f t="shared" si="23"/>
        <v>0.54249999999999998</v>
      </c>
    </row>
    <row r="151" spans="1:25" x14ac:dyDescent="0.35">
      <c r="A151" s="23">
        <v>2022</v>
      </c>
      <c r="B151" s="459">
        <v>0.43</v>
      </c>
      <c r="C151" s="483">
        <v>200</v>
      </c>
      <c r="D151" s="554">
        <f t="shared" si="18"/>
        <v>3.2500000000000003E-3</v>
      </c>
      <c r="E151" s="459">
        <v>0.68</v>
      </c>
      <c r="F151" s="483">
        <v>50</v>
      </c>
      <c r="G151" s="168">
        <f t="shared" si="19"/>
        <v>2.375E-2</v>
      </c>
      <c r="H151" s="459">
        <v>0.18</v>
      </c>
      <c r="I151" s="483">
        <v>5.5</v>
      </c>
      <c r="J151" s="168">
        <f t="shared" si="20"/>
        <v>0.55416666666666659</v>
      </c>
      <c r="P151" s="23">
        <v>4346</v>
      </c>
      <c r="Q151" s="459">
        <v>0.62</v>
      </c>
      <c r="R151" s="483">
        <v>250</v>
      </c>
      <c r="S151" s="554">
        <f t="shared" si="21"/>
        <v>4.15E-3</v>
      </c>
      <c r="T151" s="459">
        <v>2.74</v>
      </c>
      <c r="U151" s="483">
        <v>8.375</v>
      </c>
      <c r="V151" s="168">
        <f t="shared" si="22"/>
        <v>0.39142857142857146</v>
      </c>
      <c r="W151" s="459">
        <v>0.68</v>
      </c>
      <c r="X151" s="483">
        <v>4.25</v>
      </c>
      <c r="Y151" s="168">
        <f t="shared" si="23"/>
        <v>0.56999999999999995</v>
      </c>
    </row>
    <row r="152" spans="1:25" x14ac:dyDescent="0.35">
      <c r="A152" s="23">
        <v>2028</v>
      </c>
      <c r="B152" s="459">
        <v>0.43</v>
      </c>
      <c r="C152" s="483">
        <v>200</v>
      </c>
      <c r="D152" s="554">
        <f t="shared" si="18"/>
        <v>3.2500000000000003E-3</v>
      </c>
      <c r="E152" s="459">
        <v>1.25</v>
      </c>
      <c r="F152" s="483">
        <v>48.75</v>
      </c>
      <c r="G152" s="168">
        <f t="shared" si="19"/>
        <v>3.7999999999999999E-2</v>
      </c>
      <c r="H152" s="459">
        <v>1.01</v>
      </c>
      <c r="I152" s="483">
        <v>4</v>
      </c>
      <c r="J152" s="168">
        <f t="shared" si="20"/>
        <v>0.62333333333333329</v>
      </c>
      <c r="P152" s="23">
        <v>4393</v>
      </c>
      <c r="Q152" s="459">
        <v>0.41</v>
      </c>
      <c r="R152" s="483">
        <v>200</v>
      </c>
      <c r="S152" s="554">
        <f t="shared" si="21"/>
        <v>3.0999999999999999E-3</v>
      </c>
      <c r="T152" s="459">
        <v>0.41</v>
      </c>
      <c r="U152" s="483">
        <v>9</v>
      </c>
      <c r="V152" s="168">
        <f t="shared" si="22"/>
        <v>5.8571428571428566E-2</v>
      </c>
      <c r="W152" s="459">
        <v>0.68</v>
      </c>
      <c r="X152" s="483">
        <v>4.25</v>
      </c>
      <c r="Y152" s="168">
        <f t="shared" si="23"/>
        <v>0.56999999999999995</v>
      </c>
    </row>
    <row r="153" spans="1:25" x14ac:dyDescent="0.35">
      <c r="A153" s="23">
        <v>2031</v>
      </c>
      <c r="B153" s="459">
        <v>0.59</v>
      </c>
      <c r="C153" s="483">
        <v>231.25</v>
      </c>
      <c r="D153" s="554">
        <f t="shared" si="18"/>
        <v>4.0499999999999998E-3</v>
      </c>
      <c r="E153" s="459">
        <v>0.68</v>
      </c>
      <c r="F153" s="483">
        <v>50</v>
      </c>
      <c r="G153" s="168">
        <f t="shared" si="19"/>
        <v>2.375E-2</v>
      </c>
      <c r="H153" s="459">
        <v>0.61</v>
      </c>
      <c r="I153" s="483">
        <v>4.75</v>
      </c>
      <c r="J153" s="168">
        <f t="shared" si="20"/>
        <v>0.59</v>
      </c>
      <c r="P153" s="23">
        <v>4493</v>
      </c>
      <c r="Q153" s="459">
        <v>0.5</v>
      </c>
      <c r="R153" s="483">
        <v>218.75</v>
      </c>
      <c r="S153" s="554">
        <f t="shared" si="21"/>
        <v>3.5499999999999998E-3</v>
      </c>
      <c r="T153" s="459">
        <v>1.25</v>
      </c>
      <c r="U153" s="483">
        <v>9</v>
      </c>
      <c r="V153" s="168">
        <f t="shared" si="22"/>
        <v>0.17857142857142858</v>
      </c>
      <c r="W153" s="459">
        <v>0.68</v>
      </c>
      <c r="X153" s="483">
        <v>4.25</v>
      </c>
      <c r="Y153" s="168">
        <f t="shared" si="23"/>
        <v>0.56999999999999995</v>
      </c>
    </row>
    <row r="154" spans="1:25" x14ac:dyDescent="0.35">
      <c r="A154" s="23">
        <v>2032</v>
      </c>
      <c r="B154" s="459">
        <v>0.43</v>
      </c>
      <c r="C154" s="483">
        <v>200</v>
      </c>
      <c r="D154" s="554">
        <f t="shared" si="18"/>
        <v>3.2500000000000003E-3</v>
      </c>
      <c r="E154" s="459">
        <v>0.68</v>
      </c>
      <c r="F154" s="483">
        <v>50</v>
      </c>
      <c r="G154" s="168">
        <f t="shared" si="19"/>
        <v>2.375E-2</v>
      </c>
      <c r="H154" s="459">
        <v>0.17</v>
      </c>
      <c r="I154" s="483">
        <v>5.75</v>
      </c>
      <c r="J154" s="168">
        <f t="shared" si="20"/>
        <v>0.55333333333333334</v>
      </c>
      <c r="P154" s="23">
        <v>4494</v>
      </c>
      <c r="Q154" s="459">
        <v>0.52</v>
      </c>
      <c r="R154" s="483">
        <v>225</v>
      </c>
      <c r="S154" s="554">
        <f t="shared" si="21"/>
        <v>3.65E-3</v>
      </c>
      <c r="T154" s="459">
        <v>1.25</v>
      </c>
      <c r="U154" s="483">
        <v>9</v>
      </c>
      <c r="V154" s="168">
        <f t="shared" si="22"/>
        <v>0.17857142857142858</v>
      </c>
      <c r="W154" s="459">
        <v>0.68</v>
      </c>
      <c r="X154" s="483">
        <v>4.25</v>
      </c>
      <c r="Y154" s="168">
        <f t="shared" si="23"/>
        <v>0.56999999999999995</v>
      </c>
    </row>
    <row r="155" spans="1:25" x14ac:dyDescent="0.35">
      <c r="A155" s="23">
        <v>2034</v>
      </c>
      <c r="B155" s="459">
        <v>0.43</v>
      </c>
      <c r="C155" s="483">
        <v>200</v>
      </c>
      <c r="D155" s="554">
        <f t="shared" si="18"/>
        <v>3.2500000000000003E-3</v>
      </c>
      <c r="E155" s="459">
        <v>1.6</v>
      </c>
      <c r="F155" s="483">
        <v>48.75</v>
      </c>
      <c r="G155" s="168">
        <f t="shared" si="19"/>
        <v>4.675E-2</v>
      </c>
      <c r="H155" s="459">
        <v>0.71</v>
      </c>
      <c r="I155" s="483">
        <v>4</v>
      </c>
      <c r="J155" s="168">
        <f t="shared" si="20"/>
        <v>0.59833333333333327</v>
      </c>
      <c r="P155" s="23">
        <v>4494</v>
      </c>
      <c r="Q155" s="459">
        <v>0.52</v>
      </c>
      <c r="R155" s="483">
        <v>225</v>
      </c>
      <c r="S155" s="554">
        <f t="shared" si="21"/>
        <v>3.65E-3</v>
      </c>
      <c r="T155" s="459">
        <v>1.25</v>
      </c>
      <c r="U155" s="483">
        <v>9</v>
      </c>
      <c r="V155" s="168">
        <f t="shared" si="22"/>
        <v>0.17857142857142858</v>
      </c>
      <c r="W155" s="459">
        <v>0.68</v>
      </c>
      <c r="X155" s="483">
        <v>4.25</v>
      </c>
      <c r="Y155" s="168">
        <f t="shared" si="23"/>
        <v>0.56999999999999995</v>
      </c>
    </row>
    <row r="156" spans="1:25" x14ac:dyDescent="0.35">
      <c r="A156" s="23">
        <v>2040</v>
      </c>
      <c r="B156" s="459">
        <v>0.65</v>
      </c>
      <c r="C156" s="483">
        <v>250</v>
      </c>
      <c r="D156" s="554">
        <f t="shared" si="18"/>
        <v>4.3499999999999997E-3</v>
      </c>
      <c r="E156" s="459">
        <v>0.68</v>
      </c>
      <c r="F156" s="483">
        <v>50</v>
      </c>
      <c r="G156" s="168">
        <f t="shared" si="19"/>
        <v>2.375E-2</v>
      </c>
      <c r="H156" s="459">
        <v>0.27</v>
      </c>
      <c r="I156" s="483">
        <v>5.25</v>
      </c>
      <c r="J156" s="168">
        <f t="shared" si="20"/>
        <v>0.56166666666666665</v>
      </c>
    </row>
    <row r="157" spans="1:25" x14ac:dyDescent="0.35">
      <c r="A157" s="23">
        <v>2044</v>
      </c>
      <c r="B157" s="459">
        <v>0.25</v>
      </c>
      <c r="C157" s="483">
        <v>156.25</v>
      </c>
      <c r="D157" s="554">
        <f t="shared" si="18"/>
        <v>2.3499999999999997E-3</v>
      </c>
      <c r="E157" s="459">
        <v>1.06</v>
      </c>
      <c r="F157" s="483">
        <v>50</v>
      </c>
      <c r="G157" s="168">
        <f t="shared" si="19"/>
        <v>3.3250000000000002E-2</v>
      </c>
      <c r="H157" s="459">
        <v>0.31</v>
      </c>
      <c r="I157" s="483">
        <v>5.25</v>
      </c>
      <c r="J157" s="168">
        <f t="shared" si="20"/>
        <v>0.56499999999999995</v>
      </c>
    </row>
    <row r="158" spans="1:25" x14ac:dyDescent="0.35">
      <c r="A158" s="23">
        <v>2050</v>
      </c>
      <c r="B158" s="459">
        <v>0.49</v>
      </c>
      <c r="C158" s="483">
        <v>212.5</v>
      </c>
      <c r="D158" s="554">
        <f t="shared" si="18"/>
        <v>3.5499999999999998E-3</v>
      </c>
      <c r="E158" s="459">
        <v>0.68</v>
      </c>
      <c r="F158" s="483">
        <v>50</v>
      </c>
      <c r="G158" s="168">
        <f t="shared" si="19"/>
        <v>2.375E-2</v>
      </c>
      <c r="H158" s="459">
        <v>0.42</v>
      </c>
      <c r="I158" s="483">
        <v>5</v>
      </c>
      <c r="J158" s="168">
        <f t="shared" si="20"/>
        <v>0.5741666666666666</v>
      </c>
    </row>
    <row r="159" spans="1:25" x14ac:dyDescent="0.35">
      <c r="A159" s="23">
        <v>2061</v>
      </c>
      <c r="B159" s="459">
        <v>0.6</v>
      </c>
      <c r="C159" s="483">
        <v>237.5</v>
      </c>
      <c r="D159" s="554">
        <f t="shared" si="18"/>
        <v>4.0999999999999995E-3</v>
      </c>
      <c r="E159" s="459">
        <v>1.06</v>
      </c>
      <c r="F159" s="483">
        <v>50</v>
      </c>
      <c r="G159" s="168">
        <f t="shared" si="19"/>
        <v>3.3250000000000002E-2</v>
      </c>
      <c r="H159" s="459">
        <v>2.4900000000000002</v>
      </c>
      <c r="I159" s="483">
        <v>3.75</v>
      </c>
      <c r="J159" s="168">
        <f t="shared" si="20"/>
        <v>0.7466666666666667</v>
      </c>
    </row>
    <row r="160" spans="1:25" x14ac:dyDescent="0.35">
      <c r="A160" s="23">
        <v>2064</v>
      </c>
      <c r="B160" s="459">
        <v>0.43</v>
      </c>
      <c r="C160" s="483">
        <v>200</v>
      </c>
      <c r="D160" s="554">
        <f t="shared" si="18"/>
        <v>3.2500000000000003E-3</v>
      </c>
      <c r="E160" s="459">
        <v>0.47</v>
      </c>
      <c r="F160" s="483">
        <v>53.75</v>
      </c>
      <c r="G160" s="168">
        <f t="shared" si="19"/>
        <v>1.8499999999999999E-2</v>
      </c>
      <c r="H160" s="459">
        <v>0.71</v>
      </c>
      <c r="I160" s="483">
        <v>4</v>
      </c>
      <c r="J160" s="168">
        <f t="shared" si="20"/>
        <v>0.59833333333333327</v>
      </c>
    </row>
    <row r="161" spans="1:10" x14ac:dyDescent="0.35">
      <c r="A161" s="23">
        <v>2068</v>
      </c>
      <c r="B161" s="459">
        <v>0.43</v>
      </c>
      <c r="C161" s="483">
        <v>200</v>
      </c>
      <c r="D161" s="554">
        <f t="shared" si="18"/>
        <v>3.2500000000000003E-3</v>
      </c>
      <c r="E161" s="459">
        <v>0.68</v>
      </c>
      <c r="F161" s="483">
        <v>50</v>
      </c>
      <c r="G161" s="168">
        <f t="shared" si="19"/>
        <v>2.375E-2</v>
      </c>
      <c r="H161" s="459">
        <v>0.71</v>
      </c>
      <c r="I161" s="483">
        <v>4</v>
      </c>
      <c r="J161" s="168">
        <f t="shared" si="20"/>
        <v>0.59833333333333327</v>
      </c>
    </row>
    <row r="162" spans="1:10" x14ac:dyDescent="0.35">
      <c r="A162" s="23">
        <v>2077</v>
      </c>
      <c r="B162" s="459">
        <v>0.35</v>
      </c>
      <c r="C162" s="483">
        <v>181.25</v>
      </c>
      <c r="D162" s="554">
        <f t="shared" si="18"/>
        <v>2.8499999999999997E-3</v>
      </c>
      <c r="E162" s="459">
        <v>1.45</v>
      </c>
      <c r="F162" s="483">
        <v>48.75</v>
      </c>
      <c r="G162" s="168">
        <f t="shared" si="19"/>
        <v>4.2999999999999997E-2</v>
      </c>
      <c r="H162" s="459">
        <v>0.61</v>
      </c>
      <c r="I162" s="483">
        <v>4.75</v>
      </c>
      <c r="J162" s="168">
        <f t="shared" si="20"/>
        <v>0.59</v>
      </c>
    </row>
    <row r="163" spans="1:10" x14ac:dyDescent="0.35">
      <c r="A163" s="23">
        <v>2079</v>
      </c>
      <c r="B163" s="459">
        <v>0.37</v>
      </c>
      <c r="C163" s="483">
        <v>181.25</v>
      </c>
      <c r="D163" s="554">
        <f t="shared" si="18"/>
        <v>2.9499999999999999E-3</v>
      </c>
      <c r="E163" s="459">
        <v>0.96</v>
      </c>
      <c r="F163" s="483">
        <v>50</v>
      </c>
      <c r="G163" s="168">
        <f t="shared" si="19"/>
        <v>3.075E-2</v>
      </c>
      <c r="H163" s="459">
        <v>0.71</v>
      </c>
      <c r="I163" s="483">
        <v>4</v>
      </c>
      <c r="J163" s="168">
        <f t="shared" si="20"/>
        <v>0.59833333333333327</v>
      </c>
    </row>
    <row r="164" spans="1:10" x14ac:dyDescent="0.35">
      <c r="A164" s="23">
        <v>2093</v>
      </c>
      <c r="B164" s="459">
        <v>0.43</v>
      </c>
      <c r="C164" s="483">
        <v>200</v>
      </c>
      <c r="D164" s="554">
        <f t="shared" si="18"/>
        <v>3.2500000000000003E-3</v>
      </c>
      <c r="E164" s="459">
        <v>1.06</v>
      </c>
      <c r="F164" s="483">
        <v>50</v>
      </c>
      <c r="G164" s="168">
        <f t="shared" si="19"/>
        <v>3.3250000000000002E-2</v>
      </c>
      <c r="H164" s="459">
        <v>0.71</v>
      </c>
      <c r="I164" s="483">
        <v>4</v>
      </c>
      <c r="J164" s="168">
        <f t="shared" si="20"/>
        <v>0.59833333333333327</v>
      </c>
    </row>
    <row r="165" spans="1:10" x14ac:dyDescent="0.35">
      <c r="A165" s="23">
        <v>2101</v>
      </c>
      <c r="B165" s="459">
        <v>0.43</v>
      </c>
      <c r="C165" s="483">
        <v>200</v>
      </c>
      <c r="D165" s="554">
        <f t="shared" si="18"/>
        <v>3.2500000000000003E-3</v>
      </c>
      <c r="E165" s="459">
        <v>0.09</v>
      </c>
      <c r="F165" s="483">
        <v>58.75</v>
      </c>
      <c r="G165" s="168">
        <f t="shared" si="19"/>
        <v>8.9999999999999993E-3</v>
      </c>
      <c r="H165" s="459">
        <v>-4.75</v>
      </c>
      <c r="I165" s="483">
        <v>12</v>
      </c>
      <c r="J165" s="168">
        <f t="shared" si="20"/>
        <v>0.14333333333333331</v>
      </c>
    </row>
    <row r="166" spans="1:10" x14ac:dyDescent="0.35">
      <c r="A166" s="23">
        <v>2102</v>
      </c>
      <c r="B166" s="459">
        <v>0.43</v>
      </c>
      <c r="C166" s="483">
        <v>200</v>
      </c>
      <c r="D166" s="554">
        <f t="shared" si="18"/>
        <v>3.2500000000000003E-3</v>
      </c>
      <c r="E166" s="459">
        <v>0.57999999999999996</v>
      </c>
      <c r="F166" s="483">
        <v>52.5</v>
      </c>
      <c r="G166" s="168">
        <f t="shared" si="19"/>
        <v>2.1249999999999998E-2</v>
      </c>
      <c r="H166" s="459">
        <v>0.71</v>
      </c>
      <c r="I166" s="483">
        <v>4</v>
      </c>
      <c r="J166" s="168">
        <f t="shared" si="20"/>
        <v>0.59833333333333327</v>
      </c>
    </row>
    <row r="167" spans="1:10" x14ac:dyDescent="0.35">
      <c r="A167" s="23">
        <v>2133</v>
      </c>
      <c r="B167" s="459">
        <v>0.49</v>
      </c>
      <c r="C167" s="483">
        <v>212.5</v>
      </c>
      <c r="D167" s="554">
        <f t="shared" si="18"/>
        <v>3.5499999999999998E-3</v>
      </c>
      <c r="E167" s="459">
        <v>1.54</v>
      </c>
      <c r="F167" s="483">
        <v>48.75</v>
      </c>
      <c r="G167" s="168">
        <f t="shared" si="19"/>
        <v>4.5249999999999999E-2</v>
      </c>
      <c r="H167" s="459">
        <v>0.71</v>
      </c>
      <c r="I167" s="483">
        <v>4</v>
      </c>
      <c r="J167" s="168">
        <f t="shared" si="20"/>
        <v>0.59833333333333327</v>
      </c>
    </row>
    <row r="168" spans="1:10" x14ac:dyDescent="0.35">
      <c r="A168" s="23">
        <v>2152</v>
      </c>
      <c r="B168" s="459">
        <v>0.65</v>
      </c>
      <c r="C168" s="483">
        <v>250</v>
      </c>
      <c r="D168" s="554">
        <f t="shared" si="18"/>
        <v>4.3499999999999997E-3</v>
      </c>
      <c r="E168" s="459">
        <v>0.09</v>
      </c>
      <c r="F168" s="483">
        <v>58.75</v>
      </c>
      <c r="G168" s="168">
        <f t="shared" si="19"/>
        <v>8.9999999999999993E-3</v>
      </c>
      <c r="H168" s="459">
        <v>0.22</v>
      </c>
      <c r="I168" s="483">
        <v>5.25</v>
      </c>
      <c r="J168" s="168">
        <f t="shared" si="20"/>
        <v>0.5575</v>
      </c>
    </row>
    <row r="169" spans="1:10" x14ac:dyDescent="0.35">
      <c r="A169" s="23">
        <v>2172</v>
      </c>
      <c r="B169" s="459">
        <v>0.43</v>
      </c>
      <c r="C169" s="483">
        <v>200</v>
      </c>
      <c r="D169" s="554">
        <f t="shared" si="18"/>
        <v>3.2500000000000003E-3</v>
      </c>
      <c r="E169" s="459">
        <v>0.68</v>
      </c>
      <c r="F169" s="483">
        <v>50</v>
      </c>
      <c r="G169" s="168">
        <f t="shared" si="19"/>
        <v>2.375E-2</v>
      </c>
      <c r="H169" s="459">
        <v>0.71</v>
      </c>
      <c r="I169" s="483">
        <v>4</v>
      </c>
      <c r="J169" s="168">
        <f t="shared" si="20"/>
        <v>0.59833333333333327</v>
      </c>
    </row>
    <row r="170" spans="1:10" x14ac:dyDescent="0.35">
      <c r="A170" s="23">
        <v>2174</v>
      </c>
      <c r="B170" s="459">
        <v>0.64</v>
      </c>
      <c r="C170" s="483">
        <v>243.75</v>
      </c>
      <c r="D170" s="554">
        <f t="shared" si="18"/>
        <v>4.3E-3</v>
      </c>
      <c r="E170" s="459">
        <v>0.68</v>
      </c>
      <c r="F170" s="483">
        <v>50</v>
      </c>
      <c r="G170" s="168">
        <f t="shared" si="19"/>
        <v>2.375E-2</v>
      </c>
      <c r="H170" s="459">
        <v>0.71</v>
      </c>
      <c r="I170" s="483">
        <v>4</v>
      </c>
      <c r="J170" s="168">
        <f t="shared" si="20"/>
        <v>0.59833333333333327</v>
      </c>
    </row>
    <row r="171" spans="1:10" x14ac:dyDescent="0.35">
      <c r="A171" s="23">
        <v>2214</v>
      </c>
      <c r="B171" s="459">
        <v>0.43</v>
      </c>
      <c r="C171" s="483">
        <v>200</v>
      </c>
      <c r="D171" s="554">
        <f t="shared" si="18"/>
        <v>3.2500000000000003E-3</v>
      </c>
      <c r="E171" s="459">
        <v>0.68</v>
      </c>
      <c r="F171" s="483">
        <v>50</v>
      </c>
      <c r="G171" s="168">
        <f t="shared" si="19"/>
        <v>2.375E-2</v>
      </c>
      <c r="H171" s="459">
        <v>0.71</v>
      </c>
      <c r="I171" s="483">
        <v>4</v>
      </c>
      <c r="J171" s="168">
        <f t="shared" si="20"/>
        <v>0.59833333333333327</v>
      </c>
    </row>
    <row r="172" spans="1:10" x14ac:dyDescent="0.35">
      <c r="A172" s="23">
        <v>2420</v>
      </c>
      <c r="B172" s="459">
        <v>0.43</v>
      </c>
      <c r="C172" s="483">
        <v>200</v>
      </c>
      <c r="D172" s="554">
        <f t="shared" si="18"/>
        <v>3.2500000000000003E-3</v>
      </c>
      <c r="E172" s="459">
        <v>0.59</v>
      </c>
      <c r="F172" s="483">
        <v>52.5</v>
      </c>
      <c r="G172" s="168">
        <f t="shared" si="19"/>
        <v>2.1499999999999998E-2</v>
      </c>
      <c r="H172" s="459">
        <v>0.71</v>
      </c>
      <c r="I172" s="483">
        <v>4</v>
      </c>
      <c r="J172" s="168">
        <f t="shared" si="20"/>
        <v>0.59833333333333327</v>
      </c>
    </row>
    <row r="173" spans="1:10" x14ac:dyDescent="0.35">
      <c r="A173" s="23">
        <v>2436</v>
      </c>
      <c r="B173" s="459">
        <v>0.43</v>
      </c>
      <c r="C173" s="483">
        <v>200</v>
      </c>
      <c r="D173" s="554">
        <f t="shared" si="18"/>
        <v>3.2500000000000003E-3</v>
      </c>
      <c r="E173" s="459">
        <v>0.68</v>
      </c>
      <c r="F173" s="483">
        <v>50</v>
      </c>
      <c r="G173" s="168">
        <f t="shared" si="19"/>
        <v>2.375E-2</v>
      </c>
      <c r="H173" s="459">
        <v>0.71</v>
      </c>
      <c r="I173" s="483">
        <v>4</v>
      </c>
      <c r="J173" s="168">
        <f t="shared" si="20"/>
        <v>0.59833333333333327</v>
      </c>
    </row>
    <row r="174" spans="1:10" x14ac:dyDescent="0.35">
      <c r="A174" s="23">
        <v>2437</v>
      </c>
      <c r="B174" s="459">
        <v>0.34</v>
      </c>
      <c r="C174" s="483">
        <v>175</v>
      </c>
      <c r="D174" s="554">
        <f t="shared" si="18"/>
        <v>2.8000000000000004E-3</v>
      </c>
      <c r="E174" s="459">
        <v>0.68</v>
      </c>
      <c r="F174" s="483">
        <v>50</v>
      </c>
      <c r="G174" s="168">
        <f t="shared" si="19"/>
        <v>2.375E-2</v>
      </c>
      <c r="H174" s="459">
        <v>0.71</v>
      </c>
      <c r="I174" s="483">
        <v>4</v>
      </c>
      <c r="J174" s="168">
        <f t="shared" si="20"/>
        <v>0.59833333333333327</v>
      </c>
    </row>
    <row r="175" spans="1:10" x14ac:dyDescent="0.35">
      <c r="A175" s="23">
        <v>2438</v>
      </c>
      <c r="B175" s="459">
        <v>0.56000000000000005</v>
      </c>
      <c r="C175" s="483">
        <v>225</v>
      </c>
      <c r="D175" s="554">
        <f t="shared" si="18"/>
        <v>3.9000000000000003E-3</v>
      </c>
      <c r="E175" s="459">
        <v>3.63</v>
      </c>
      <c r="F175" s="483">
        <v>42.5</v>
      </c>
      <c r="G175" s="168">
        <f t="shared" si="19"/>
        <v>9.7500000000000003E-2</v>
      </c>
      <c r="H175" s="459">
        <v>0.71</v>
      </c>
      <c r="I175" s="483">
        <v>4</v>
      </c>
      <c r="J175" s="168">
        <f t="shared" si="20"/>
        <v>0.59833333333333327</v>
      </c>
    </row>
    <row r="176" spans="1:10" x14ac:dyDescent="0.35">
      <c r="A176" s="23">
        <v>2439</v>
      </c>
      <c r="B176" s="459">
        <v>0.31</v>
      </c>
      <c r="C176" s="483">
        <v>168.75</v>
      </c>
      <c r="D176" s="554">
        <f t="shared" si="18"/>
        <v>2.65E-3</v>
      </c>
      <c r="E176" s="459">
        <v>2.3199999999999998</v>
      </c>
      <c r="F176" s="483">
        <v>46.25</v>
      </c>
      <c r="G176" s="168">
        <f t="shared" si="19"/>
        <v>6.4750000000000002E-2</v>
      </c>
      <c r="H176" s="459">
        <v>0.35</v>
      </c>
      <c r="I176" s="483">
        <v>5.25</v>
      </c>
      <c r="J176" s="168">
        <f t="shared" si="20"/>
        <v>0.56833333333333325</v>
      </c>
    </row>
    <row r="177" spans="1:10" x14ac:dyDescent="0.35">
      <c r="A177" s="23">
        <v>2457</v>
      </c>
      <c r="B177" s="459">
        <v>0.5</v>
      </c>
      <c r="C177" s="483">
        <v>212.5</v>
      </c>
      <c r="D177" s="554">
        <f t="shared" si="18"/>
        <v>3.5999999999999999E-3</v>
      </c>
      <c r="E177" s="459">
        <v>0.52</v>
      </c>
      <c r="F177" s="483">
        <v>52.5</v>
      </c>
      <c r="G177" s="168">
        <f t="shared" si="19"/>
        <v>1.975E-2</v>
      </c>
      <c r="H177" s="459">
        <v>0.28000000000000003</v>
      </c>
      <c r="I177" s="483">
        <v>5.25</v>
      </c>
      <c r="J177" s="168">
        <f t="shared" si="20"/>
        <v>0.5625</v>
      </c>
    </row>
    <row r="178" spans="1:10" x14ac:dyDescent="0.35">
      <c r="A178" s="23">
        <v>2463</v>
      </c>
      <c r="B178" s="459">
        <v>-0.22</v>
      </c>
      <c r="C178" s="483">
        <v>50</v>
      </c>
      <c r="D178" s="554">
        <f t="shared" si="18"/>
        <v>0</v>
      </c>
      <c r="E178" s="459">
        <v>7.0000000000000007E-2</v>
      </c>
      <c r="F178" s="483">
        <v>60</v>
      </c>
      <c r="G178" s="168">
        <f t="shared" si="19"/>
        <v>8.5000000000000006E-3</v>
      </c>
      <c r="H178" s="459">
        <v>-6.47</v>
      </c>
      <c r="I178" s="483">
        <v>14</v>
      </c>
      <c r="J178" s="168">
        <f t="shared" si="20"/>
        <v>0</v>
      </c>
    </row>
    <row r="179" spans="1:10" x14ac:dyDescent="0.35">
      <c r="A179" s="23">
        <v>2464</v>
      </c>
      <c r="B179" s="459">
        <v>0.43</v>
      </c>
      <c r="C179" s="483">
        <v>200</v>
      </c>
      <c r="D179" s="554">
        <f t="shared" si="18"/>
        <v>3.2500000000000003E-3</v>
      </c>
      <c r="E179" s="459">
        <v>0.68</v>
      </c>
      <c r="F179" s="483">
        <v>50</v>
      </c>
      <c r="G179" s="168">
        <f t="shared" si="19"/>
        <v>2.375E-2</v>
      </c>
      <c r="H179" s="459">
        <v>1.3</v>
      </c>
      <c r="I179" s="483">
        <v>4</v>
      </c>
      <c r="J179" s="168">
        <f t="shared" si="20"/>
        <v>0.64749999999999996</v>
      </c>
    </row>
    <row r="180" spans="1:10" x14ac:dyDescent="0.35">
      <c r="A180" s="23">
        <v>2485</v>
      </c>
      <c r="B180" s="459">
        <v>0.43</v>
      </c>
      <c r="C180" s="483">
        <v>200</v>
      </c>
      <c r="D180" s="554">
        <f t="shared" si="18"/>
        <v>3.2500000000000003E-3</v>
      </c>
      <c r="E180" s="459">
        <v>0.68</v>
      </c>
      <c r="F180" s="483">
        <v>50</v>
      </c>
      <c r="G180" s="168">
        <f t="shared" si="19"/>
        <v>2.375E-2</v>
      </c>
      <c r="H180" s="459">
        <v>0.33</v>
      </c>
      <c r="I180" s="483">
        <v>5.25</v>
      </c>
      <c r="J180" s="168">
        <f t="shared" si="20"/>
        <v>0.56666666666666665</v>
      </c>
    </row>
    <row r="181" spans="1:10" x14ac:dyDescent="0.35">
      <c r="A181" s="23">
        <v>2494</v>
      </c>
      <c r="B181" s="459">
        <v>0.49</v>
      </c>
      <c r="C181" s="483">
        <v>212.5</v>
      </c>
      <c r="D181" s="554">
        <f t="shared" si="18"/>
        <v>3.5499999999999998E-3</v>
      </c>
      <c r="E181" s="459">
        <v>0.68</v>
      </c>
      <c r="F181" s="483">
        <v>50</v>
      </c>
      <c r="G181" s="168">
        <f t="shared" si="19"/>
        <v>2.375E-2</v>
      </c>
      <c r="H181" s="459">
        <v>0.71</v>
      </c>
      <c r="I181" s="483">
        <v>4</v>
      </c>
      <c r="J181" s="168">
        <f t="shared" si="20"/>
        <v>0.59833333333333327</v>
      </c>
    </row>
    <row r="182" spans="1:10" x14ac:dyDescent="0.35">
      <c r="A182" s="23">
        <v>2498</v>
      </c>
      <c r="B182" s="459">
        <v>0.43</v>
      </c>
      <c r="C182" s="483">
        <v>200</v>
      </c>
      <c r="D182" s="554">
        <f t="shared" si="18"/>
        <v>3.2500000000000003E-3</v>
      </c>
      <c r="E182" s="459">
        <v>0.09</v>
      </c>
      <c r="F182" s="483">
        <v>58.75</v>
      </c>
      <c r="G182" s="168">
        <f t="shared" si="19"/>
        <v>8.9999999999999993E-3</v>
      </c>
      <c r="H182" s="459">
        <v>-0.17</v>
      </c>
      <c r="I182" s="483">
        <v>6</v>
      </c>
      <c r="J182" s="168">
        <f t="shared" si="20"/>
        <v>0.52500000000000002</v>
      </c>
    </row>
    <row r="183" spans="1:10" x14ac:dyDescent="0.35">
      <c r="A183" s="23">
        <v>2515</v>
      </c>
      <c r="B183" s="459">
        <v>0.42</v>
      </c>
      <c r="C183" s="483">
        <v>193.75</v>
      </c>
      <c r="D183" s="554">
        <f t="shared" si="18"/>
        <v>3.2000000000000002E-3</v>
      </c>
      <c r="E183" s="459">
        <v>0.64</v>
      </c>
      <c r="F183" s="483">
        <v>51.25</v>
      </c>
      <c r="G183" s="168">
        <f t="shared" si="19"/>
        <v>2.2749999999999999E-2</v>
      </c>
      <c r="H183" s="459">
        <v>0.69</v>
      </c>
      <c r="I183" s="483">
        <v>4.25</v>
      </c>
      <c r="J183" s="168">
        <f t="shared" si="20"/>
        <v>0.59666666666666668</v>
      </c>
    </row>
    <row r="184" spans="1:10" x14ac:dyDescent="0.35">
      <c r="A184" s="23">
        <v>2521</v>
      </c>
      <c r="B184" s="459">
        <v>0.53</v>
      </c>
      <c r="C184" s="483">
        <v>218.75</v>
      </c>
      <c r="D184" s="554">
        <f t="shared" si="18"/>
        <v>3.7499999999999999E-3</v>
      </c>
      <c r="E184" s="459">
        <v>4.38</v>
      </c>
      <c r="F184" s="483">
        <v>40</v>
      </c>
      <c r="G184" s="168">
        <f t="shared" si="19"/>
        <v>0.11625000000000001</v>
      </c>
      <c r="H184" s="459">
        <v>0.63</v>
      </c>
      <c r="I184" s="483">
        <v>4.25</v>
      </c>
      <c r="J184" s="168">
        <f t="shared" si="20"/>
        <v>0.59166666666666667</v>
      </c>
    </row>
    <row r="185" spans="1:10" x14ac:dyDescent="0.35">
      <c r="A185" s="23">
        <v>2526</v>
      </c>
      <c r="B185" s="459">
        <v>0.43</v>
      </c>
      <c r="C185" s="483">
        <v>200</v>
      </c>
      <c r="D185" s="554">
        <f t="shared" si="18"/>
        <v>3.2500000000000003E-3</v>
      </c>
      <c r="E185" s="459">
        <v>0.24</v>
      </c>
      <c r="F185" s="483">
        <v>57.5</v>
      </c>
      <c r="G185" s="168">
        <f t="shared" si="19"/>
        <v>1.2750000000000001E-2</v>
      </c>
      <c r="H185" s="459">
        <v>0.71</v>
      </c>
      <c r="I185" s="483">
        <v>4</v>
      </c>
      <c r="J185" s="168">
        <f t="shared" si="20"/>
        <v>0.59833333333333327</v>
      </c>
    </row>
    <row r="186" spans="1:10" x14ac:dyDescent="0.35">
      <c r="A186" s="23">
        <v>2618</v>
      </c>
      <c r="B186" s="459">
        <v>0.55000000000000004</v>
      </c>
      <c r="C186" s="483">
        <v>225</v>
      </c>
      <c r="D186" s="554">
        <f t="shared" si="18"/>
        <v>3.8500000000000001E-3</v>
      </c>
      <c r="E186" s="459">
        <v>0.68</v>
      </c>
      <c r="F186" s="483">
        <v>50</v>
      </c>
      <c r="G186" s="168">
        <f t="shared" si="19"/>
        <v>2.375E-2</v>
      </c>
      <c r="H186" s="459">
        <v>0.71</v>
      </c>
      <c r="I186" s="483">
        <v>4</v>
      </c>
      <c r="J186" s="168">
        <f t="shared" si="20"/>
        <v>0.59833333333333327</v>
      </c>
    </row>
    <row r="187" spans="1:10" x14ac:dyDescent="0.35">
      <c r="A187" s="23">
        <v>2627</v>
      </c>
      <c r="B187" s="459">
        <v>0.4</v>
      </c>
      <c r="C187" s="483">
        <v>193.75</v>
      </c>
      <c r="D187" s="554">
        <f t="shared" si="18"/>
        <v>3.0999999999999999E-3</v>
      </c>
      <c r="E187" s="459">
        <v>0.96</v>
      </c>
      <c r="F187" s="483">
        <v>50</v>
      </c>
      <c r="G187" s="168">
        <f t="shared" si="19"/>
        <v>3.075E-2</v>
      </c>
      <c r="H187" s="459">
        <v>0.16</v>
      </c>
      <c r="I187" s="483">
        <v>5.75</v>
      </c>
      <c r="J187" s="168">
        <f t="shared" si="20"/>
        <v>0.55249999999999999</v>
      </c>
    </row>
    <row r="188" spans="1:10" x14ac:dyDescent="0.35">
      <c r="A188" s="23">
        <v>2630</v>
      </c>
      <c r="B188" s="459">
        <v>0.43</v>
      </c>
      <c r="C188" s="483">
        <v>200</v>
      </c>
      <c r="D188" s="554">
        <f t="shared" si="18"/>
        <v>3.2500000000000003E-3</v>
      </c>
      <c r="E188" s="459">
        <v>4.38</v>
      </c>
      <c r="F188" s="483">
        <v>40</v>
      </c>
      <c r="G188" s="168">
        <f t="shared" si="19"/>
        <v>0.11625000000000001</v>
      </c>
      <c r="H188" s="459">
        <v>-6.47</v>
      </c>
      <c r="I188" s="483">
        <v>14</v>
      </c>
      <c r="J188" s="168">
        <f t="shared" si="20"/>
        <v>0</v>
      </c>
    </row>
    <row r="189" spans="1:10" x14ac:dyDescent="0.35">
      <c r="A189" s="23">
        <v>2631</v>
      </c>
      <c r="B189" s="459">
        <v>0.37</v>
      </c>
      <c r="C189" s="483">
        <v>181.25</v>
      </c>
      <c r="D189" s="554">
        <f t="shared" si="18"/>
        <v>2.9499999999999999E-3</v>
      </c>
      <c r="E189" s="459">
        <v>3.13</v>
      </c>
      <c r="F189" s="483">
        <v>43.75</v>
      </c>
      <c r="G189" s="168">
        <f t="shared" si="19"/>
        <v>8.4999999999999992E-2</v>
      </c>
      <c r="H189" s="459">
        <v>0.4</v>
      </c>
      <c r="I189" s="483">
        <v>5</v>
      </c>
      <c r="J189" s="168">
        <f t="shared" si="20"/>
        <v>0.57250000000000001</v>
      </c>
    </row>
    <row r="190" spans="1:10" x14ac:dyDescent="0.35">
      <c r="A190" s="23">
        <v>2634</v>
      </c>
      <c r="B190" s="459">
        <v>0.43</v>
      </c>
      <c r="C190" s="483">
        <v>200</v>
      </c>
      <c r="D190" s="554">
        <f t="shared" si="18"/>
        <v>3.2500000000000003E-3</v>
      </c>
      <c r="E190" s="459">
        <v>2.02</v>
      </c>
      <c r="F190" s="483">
        <v>47.5</v>
      </c>
      <c r="G190" s="168">
        <f t="shared" si="19"/>
        <v>5.7250000000000002E-2</v>
      </c>
      <c r="H190" s="459">
        <v>0.71</v>
      </c>
      <c r="I190" s="483">
        <v>4</v>
      </c>
      <c r="J190" s="168">
        <f t="shared" si="20"/>
        <v>0.59833333333333327</v>
      </c>
    </row>
    <row r="191" spans="1:10" x14ac:dyDescent="0.35">
      <c r="A191" s="23">
        <v>2647</v>
      </c>
      <c r="B191" s="459">
        <v>0.15</v>
      </c>
      <c r="C191" s="483">
        <v>131.25</v>
      </c>
      <c r="D191" s="554">
        <f t="shared" si="18"/>
        <v>1.8500000000000001E-3</v>
      </c>
      <c r="E191" s="459">
        <v>0.68</v>
      </c>
      <c r="F191" s="483">
        <v>50</v>
      </c>
      <c r="G191" s="168">
        <f t="shared" si="19"/>
        <v>2.375E-2</v>
      </c>
      <c r="H191" s="459">
        <v>0.71</v>
      </c>
      <c r="I191" s="483">
        <v>4</v>
      </c>
      <c r="J191" s="168">
        <f t="shared" si="20"/>
        <v>0.59833333333333327</v>
      </c>
    </row>
    <row r="192" spans="1:10" x14ac:dyDescent="0.35">
      <c r="A192" s="23">
        <v>2684</v>
      </c>
      <c r="B192" s="459">
        <v>0.5</v>
      </c>
      <c r="C192" s="483">
        <v>212.5</v>
      </c>
      <c r="D192" s="554">
        <f t="shared" si="18"/>
        <v>3.5999999999999999E-3</v>
      </c>
      <c r="E192" s="459">
        <v>0.67</v>
      </c>
      <c r="F192" s="483">
        <v>51.25</v>
      </c>
      <c r="G192" s="168">
        <f t="shared" si="19"/>
        <v>2.35E-2</v>
      </c>
      <c r="H192" s="459">
        <v>0.71</v>
      </c>
      <c r="I192" s="483">
        <v>4</v>
      </c>
      <c r="J192" s="168">
        <f t="shared" si="20"/>
        <v>0.59833333333333327</v>
      </c>
    </row>
    <row r="193" spans="1:10" x14ac:dyDescent="0.35">
      <c r="A193" s="23">
        <v>2689</v>
      </c>
      <c r="B193" s="459">
        <v>0.43</v>
      </c>
      <c r="C193" s="483">
        <v>200</v>
      </c>
      <c r="D193" s="554">
        <f t="shared" si="18"/>
        <v>3.2500000000000003E-3</v>
      </c>
      <c r="E193" s="459">
        <v>1.06</v>
      </c>
      <c r="F193" s="483">
        <v>50</v>
      </c>
      <c r="G193" s="168">
        <f t="shared" si="19"/>
        <v>3.3250000000000002E-2</v>
      </c>
      <c r="H193" s="459">
        <v>1.3</v>
      </c>
      <c r="I193" s="483">
        <v>4</v>
      </c>
      <c r="J193" s="168">
        <f t="shared" si="20"/>
        <v>0.64749999999999996</v>
      </c>
    </row>
    <row r="194" spans="1:10" x14ac:dyDescent="0.35">
      <c r="A194" s="23">
        <v>2694</v>
      </c>
      <c r="B194" s="459">
        <v>0.43</v>
      </c>
      <c r="C194" s="483">
        <v>200</v>
      </c>
      <c r="D194" s="554">
        <f t="shared" si="18"/>
        <v>3.2500000000000003E-3</v>
      </c>
      <c r="E194" s="459">
        <v>0.68</v>
      </c>
      <c r="F194" s="483">
        <v>50</v>
      </c>
      <c r="G194" s="168">
        <f t="shared" si="19"/>
        <v>2.375E-2</v>
      </c>
      <c r="H194" s="459">
        <v>0.71</v>
      </c>
      <c r="I194" s="483">
        <v>4</v>
      </c>
      <c r="J194" s="168">
        <f t="shared" si="20"/>
        <v>0.59833333333333327</v>
      </c>
    </row>
    <row r="195" spans="1:10" x14ac:dyDescent="0.35">
      <c r="A195" s="23">
        <v>2695</v>
      </c>
      <c r="B195" s="459">
        <v>0.43</v>
      </c>
      <c r="C195" s="483">
        <v>200</v>
      </c>
      <c r="D195" s="554">
        <f t="shared" si="18"/>
        <v>3.2500000000000003E-3</v>
      </c>
      <c r="E195" s="459">
        <v>1.94</v>
      </c>
      <c r="F195" s="483">
        <v>47.5</v>
      </c>
      <c r="G195" s="168">
        <f t="shared" si="19"/>
        <v>5.525E-2</v>
      </c>
      <c r="H195" s="459">
        <v>2.67</v>
      </c>
      <c r="I195" s="483">
        <v>3.75</v>
      </c>
      <c r="J195" s="168">
        <f t="shared" si="20"/>
        <v>0.76166666666666671</v>
      </c>
    </row>
    <row r="196" spans="1:10" x14ac:dyDescent="0.35">
      <c r="A196" s="23">
        <v>2701</v>
      </c>
      <c r="B196" s="459">
        <v>0.5</v>
      </c>
      <c r="C196" s="483">
        <v>212.5</v>
      </c>
      <c r="D196" s="554">
        <f t="shared" si="18"/>
        <v>3.5999999999999999E-3</v>
      </c>
      <c r="E196" s="459">
        <v>2.02</v>
      </c>
      <c r="F196" s="483">
        <v>47.5</v>
      </c>
      <c r="G196" s="168">
        <f t="shared" si="19"/>
        <v>5.7250000000000002E-2</v>
      </c>
      <c r="H196" s="459">
        <v>1.01</v>
      </c>
      <c r="I196" s="483">
        <v>4</v>
      </c>
      <c r="J196" s="168">
        <f t="shared" si="20"/>
        <v>0.62333333333333329</v>
      </c>
    </row>
    <row r="197" spans="1:10" x14ac:dyDescent="0.35">
      <c r="A197" s="23">
        <v>2705</v>
      </c>
      <c r="B197" s="459">
        <v>0.43</v>
      </c>
      <c r="C197" s="483">
        <v>200</v>
      </c>
      <c r="D197" s="554">
        <f t="shared" si="18"/>
        <v>3.2500000000000003E-3</v>
      </c>
      <c r="E197" s="459">
        <v>0.37</v>
      </c>
      <c r="F197" s="483">
        <v>55</v>
      </c>
      <c r="G197" s="168">
        <f t="shared" si="19"/>
        <v>1.6E-2</v>
      </c>
      <c r="H197" s="459">
        <v>0.71</v>
      </c>
      <c r="I197" s="483">
        <v>4</v>
      </c>
      <c r="J197" s="168">
        <f t="shared" si="20"/>
        <v>0.59833333333333327</v>
      </c>
    </row>
    <row r="198" spans="1:10" x14ac:dyDescent="0.35">
      <c r="A198" s="23">
        <v>2709</v>
      </c>
      <c r="B198" s="459">
        <v>0.56000000000000005</v>
      </c>
      <c r="C198" s="483">
        <v>225</v>
      </c>
      <c r="D198" s="554">
        <f t="shared" si="18"/>
        <v>3.9000000000000003E-3</v>
      </c>
      <c r="E198" s="459">
        <v>0.68</v>
      </c>
      <c r="F198" s="483">
        <v>50</v>
      </c>
      <c r="G198" s="168">
        <f t="shared" si="19"/>
        <v>2.375E-2</v>
      </c>
      <c r="H198" s="459">
        <v>0.71</v>
      </c>
      <c r="I198" s="483">
        <v>4</v>
      </c>
      <c r="J198" s="168">
        <f t="shared" si="20"/>
        <v>0.59833333333333327</v>
      </c>
    </row>
    <row r="199" spans="1:10" x14ac:dyDescent="0.35">
      <c r="A199" s="23">
        <v>2721</v>
      </c>
      <c r="B199" s="459">
        <v>0.5</v>
      </c>
      <c r="C199" s="483">
        <v>212.5</v>
      </c>
      <c r="D199" s="554">
        <f t="shared" si="18"/>
        <v>3.5999999999999999E-3</v>
      </c>
      <c r="E199" s="459">
        <v>1.06</v>
      </c>
      <c r="F199" s="483">
        <v>50</v>
      </c>
      <c r="G199" s="168">
        <f t="shared" si="19"/>
        <v>3.3250000000000002E-2</v>
      </c>
      <c r="H199" s="459">
        <v>0.71</v>
      </c>
      <c r="I199" s="483">
        <v>4</v>
      </c>
      <c r="J199" s="168">
        <f t="shared" si="20"/>
        <v>0.59833333333333327</v>
      </c>
    </row>
    <row r="200" spans="1:10" x14ac:dyDescent="0.35">
      <c r="A200" s="23">
        <v>2783</v>
      </c>
      <c r="B200" s="459">
        <v>0.25</v>
      </c>
      <c r="C200" s="483">
        <v>156.25</v>
      </c>
      <c r="D200" s="554">
        <f t="shared" si="18"/>
        <v>2.3499999999999997E-3</v>
      </c>
      <c r="E200" s="459">
        <v>1.64</v>
      </c>
      <c r="F200" s="483">
        <v>47.5</v>
      </c>
      <c r="G200" s="168">
        <f t="shared" si="19"/>
        <v>4.7750000000000001E-2</v>
      </c>
      <c r="H200" s="459">
        <v>0.2</v>
      </c>
      <c r="I200" s="483">
        <v>5.25</v>
      </c>
      <c r="J200" s="168">
        <f t="shared" si="20"/>
        <v>0.55583333333333329</v>
      </c>
    </row>
    <row r="201" spans="1:10" x14ac:dyDescent="0.35">
      <c r="A201" s="23">
        <v>2786</v>
      </c>
      <c r="B201" s="459">
        <v>0.26</v>
      </c>
      <c r="C201" s="483">
        <v>156.25</v>
      </c>
      <c r="D201" s="554">
        <f t="shared" si="18"/>
        <v>2.3999999999999998E-3</v>
      </c>
      <c r="E201" s="459">
        <v>0.34</v>
      </c>
      <c r="F201" s="483">
        <v>55</v>
      </c>
      <c r="G201" s="168">
        <f t="shared" si="19"/>
        <v>1.5250000000000003E-2</v>
      </c>
      <c r="H201" s="459">
        <v>0.71</v>
      </c>
      <c r="I201" s="483">
        <v>4</v>
      </c>
      <c r="J201" s="168">
        <f t="shared" si="20"/>
        <v>0.59833333333333327</v>
      </c>
    </row>
    <row r="202" spans="1:10" x14ac:dyDescent="0.35">
      <c r="A202" s="23">
        <v>2798</v>
      </c>
      <c r="B202" s="459">
        <v>0.23</v>
      </c>
      <c r="C202" s="483">
        <v>150</v>
      </c>
      <c r="D202" s="554">
        <f t="shared" si="18"/>
        <v>2.2500000000000003E-3</v>
      </c>
      <c r="E202" s="459">
        <v>0.42</v>
      </c>
      <c r="F202" s="483">
        <v>55</v>
      </c>
      <c r="G202" s="168">
        <f t="shared" si="19"/>
        <v>1.7249999999999998E-2</v>
      </c>
      <c r="H202" s="459">
        <v>-2.1</v>
      </c>
      <c r="I202" s="483">
        <v>9</v>
      </c>
      <c r="J202" s="168">
        <f t="shared" si="20"/>
        <v>0.36416666666666658</v>
      </c>
    </row>
    <row r="203" spans="1:10" x14ac:dyDescent="0.35">
      <c r="A203" s="23">
        <v>2799</v>
      </c>
      <c r="B203" s="459">
        <v>0.65</v>
      </c>
      <c r="C203" s="483">
        <v>250</v>
      </c>
      <c r="D203" s="554">
        <f t="shared" si="18"/>
        <v>4.3499999999999997E-3</v>
      </c>
      <c r="E203" s="459">
        <v>4.38</v>
      </c>
      <c r="F203" s="483">
        <v>40</v>
      </c>
      <c r="G203" s="168">
        <f t="shared" si="19"/>
        <v>0.11625000000000001</v>
      </c>
      <c r="H203" s="459">
        <v>0.71</v>
      </c>
      <c r="I203" s="483">
        <v>4</v>
      </c>
      <c r="J203" s="168">
        <f t="shared" si="20"/>
        <v>0.59833333333333327</v>
      </c>
    </row>
    <row r="204" spans="1:10" x14ac:dyDescent="0.35">
      <c r="A204" s="23">
        <v>2804</v>
      </c>
      <c r="B204" s="459">
        <v>0.51</v>
      </c>
      <c r="C204" s="483">
        <v>218.75</v>
      </c>
      <c r="D204" s="554">
        <f t="shared" si="18"/>
        <v>3.65E-3</v>
      </c>
      <c r="E204" s="459">
        <v>1.64</v>
      </c>
      <c r="F204" s="483">
        <v>47.5</v>
      </c>
      <c r="G204" s="168">
        <f t="shared" si="19"/>
        <v>4.7750000000000001E-2</v>
      </c>
      <c r="H204" s="459">
        <v>0.71</v>
      </c>
      <c r="I204" s="483">
        <v>4</v>
      </c>
      <c r="J204" s="168">
        <f t="shared" si="20"/>
        <v>0.59833333333333327</v>
      </c>
    </row>
    <row r="205" spans="1:10" x14ac:dyDescent="0.35">
      <c r="A205" s="23">
        <v>2820</v>
      </c>
      <c r="B205" s="459">
        <v>0.32</v>
      </c>
      <c r="C205" s="483">
        <v>168.75</v>
      </c>
      <c r="D205" s="554">
        <f t="shared" si="18"/>
        <v>2.7000000000000001E-3</v>
      </c>
      <c r="E205" s="459">
        <v>3.04</v>
      </c>
      <c r="F205" s="483">
        <v>43.75</v>
      </c>
      <c r="G205" s="168">
        <f t="shared" si="19"/>
        <v>8.2750000000000004E-2</v>
      </c>
      <c r="H205" s="459">
        <v>0.71</v>
      </c>
      <c r="I205" s="483">
        <v>4</v>
      </c>
      <c r="J205" s="168">
        <f t="shared" si="20"/>
        <v>0.59833333333333327</v>
      </c>
    </row>
    <row r="206" spans="1:10" x14ac:dyDescent="0.35">
      <c r="A206" s="23">
        <v>2863</v>
      </c>
      <c r="B206" s="459">
        <v>0.46</v>
      </c>
      <c r="C206" s="483">
        <v>206.25</v>
      </c>
      <c r="D206" s="554">
        <f t="shared" si="18"/>
        <v>3.4000000000000002E-3</v>
      </c>
      <c r="E206" s="459">
        <v>0.34</v>
      </c>
      <c r="F206" s="483">
        <v>55</v>
      </c>
      <c r="G206" s="168">
        <f t="shared" si="19"/>
        <v>1.5250000000000003E-2</v>
      </c>
      <c r="H206" s="459">
        <v>0.71</v>
      </c>
      <c r="I206" s="483">
        <v>4</v>
      </c>
      <c r="J206" s="168">
        <f t="shared" si="20"/>
        <v>0.59833333333333327</v>
      </c>
    </row>
    <row r="207" spans="1:10" x14ac:dyDescent="0.35">
      <c r="A207" s="23">
        <v>2872</v>
      </c>
      <c r="B207" s="459">
        <v>0.63</v>
      </c>
      <c r="C207" s="483">
        <v>243.75</v>
      </c>
      <c r="D207" s="554">
        <f t="shared" si="18"/>
        <v>4.2500000000000003E-3</v>
      </c>
      <c r="E207" s="459">
        <v>0.68</v>
      </c>
      <c r="F207" s="483">
        <v>50</v>
      </c>
      <c r="G207" s="168">
        <f t="shared" si="19"/>
        <v>2.375E-2</v>
      </c>
      <c r="H207" s="459">
        <v>0.71</v>
      </c>
      <c r="I207" s="483">
        <v>4</v>
      </c>
      <c r="J207" s="168">
        <f t="shared" si="20"/>
        <v>0.59833333333333327</v>
      </c>
    </row>
    <row r="208" spans="1:10" x14ac:dyDescent="0.35">
      <c r="A208" s="23">
        <v>2901</v>
      </c>
      <c r="B208" s="459">
        <v>0.4</v>
      </c>
      <c r="C208" s="483">
        <v>193.75</v>
      </c>
      <c r="D208" s="554">
        <f t="shared" si="18"/>
        <v>3.0999999999999999E-3</v>
      </c>
      <c r="E208" s="459">
        <v>1.54</v>
      </c>
      <c r="F208" s="483">
        <v>48.75</v>
      </c>
      <c r="G208" s="168">
        <f t="shared" si="19"/>
        <v>4.5249999999999999E-2</v>
      </c>
      <c r="H208" s="459">
        <v>0.71</v>
      </c>
      <c r="I208" s="483">
        <v>4</v>
      </c>
      <c r="J208" s="168">
        <f t="shared" si="20"/>
        <v>0.59833333333333327</v>
      </c>
    </row>
    <row r="209" spans="1:10" x14ac:dyDescent="0.35">
      <c r="A209" s="23">
        <v>2912</v>
      </c>
      <c r="B209" s="459">
        <v>-0.09</v>
      </c>
      <c r="C209" s="483">
        <v>75</v>
      </c>
      <c r="D209" s="554">
        <f t="shared" ref="D209:D272" si="24">(B209-Lowest_bill_SSW_protecting_wildlife)/(Highest_servicelevel_SSW_protecting_wildlife-Lowest_servicelevel_SSW_protecting_wildlife)</f>
        <v>6.4999999999999997E-4</v>
      </c>
      <c r="E209" s="459">
        <v>0.09</v>
      </c>
      <c r="F209" s="483">
        <v>58.75</v>
      </c>
      <c r="G209" s="168">
        <f t="shared" ref="G209:G272" si="25">(E209-Lowest_bill_SSW_leakage)/(Highest_servicelevel_SSW_leakage-Lowest_servicelevel_SSW_leakage)</f>
        <v>8.9999999999999993E-3</v>
      </c>
      <c r="H209" s="459">
        <v>0.71</v>
      </c>
      <c r="I209" s="483">
        <v>4</v>
      </c>
      <c r="J209" s="168">
        <f t="shared" ref="J209:J272" si="26">(H209-Lowest_bill_SSW_interruptions)/(Highest_servicelevel_SSW_interruptions-Lowest_servicelevel_SSW_interruptions)</f>
        <v>0.59833333333333327</v>
      </c>
    </row>
    <row r="210" spans="1:10" x14ac:dyDescent="0.35">
      <c r="A210" s="23">
        <v>2937</v>
      </c>
      <c r="B210" s="459">
        <v>0.43</v>
      </c>
      <c r="C210" s="483">
        <v>200</v>
      </c>
      <c r="D210" s="554">
        <f t="shared" si="24"/>
        <v>3.2500000000000003E-3</v>
      </c>
      <c r="E210" s="459">
        <v>1.38</v>
      </c>
      <c r="F210" s="483">
        <v>48.75</v>
      </c>
      <c r="G210" s="168">
        <f t="shared" si="25"/>
        <v>4.1249999999999995E-2</v>
      </c>
      <c r="H210" s="459">
        <v>0.71</v>
      </c>
      <c r="I210" s="483">
        <v>4</v>
      </c>
      <c r="J210" s="168">
        <f t="shared" si="26"/>
        <v>0.59833333333333327</v>
      </c>
    </row>
    <row r="211" spans="1:10" x14ac:dyDescent="0.35">
      <c r="A211" s="23">
        <v>2943</v>
      </c>
      <c r="B211" s="459">
        <v>0.43</v>
      </c>
      <c r="C211" s="483">
        <v>200</v>
      </c>
      <c r="D211" s="554">
        <f t="shared" si="24"/>
        <v>3.2500000000000003E-3</v>
      </c>
      <c r="E211" s="459">
        <v>0.68</v>
      </c>
      <c r="F211" s="483">
        <v>50</v>
      </c>
      <c r="G211" s="168">
        <f t="shared" si="25"/>
        <v>2.375E-2</v>
      </c>
      <c r="H211" s="459">
        <v>0.71</v>
      </c>
      <c r="I211" s="483">
        <v>4</v>
      </c>
      <c r="J211" s="168">
        <f t="shared" si="26"/>
        <v>0.59833333333333327</v>
      </c>
    </row>
    <row r="212" spans="1:10" x14ac:dyDescent="0.35">
      <c r="A212" s="23">
        <v>2945</v>
      </c>
      <c r="B212" s="459">
        <v>0.4</v>
      </c>
      <c r="C212" s="483">
        <v>193.75</v>
      </c>
      <c r="D212" s="554">
        <f t="shared" si="24"/>
        <v>3.0999999999999999E-3</v>
      </c>
      <c r="E212" s="459">
        <v>0.68</v>
      </c>
      <c r="F212" s="483">
        <v>50</v>
      </c>
      <c r="G212" s="168">
        <f t="shared" si="25"/>
        <v>2.375E-2</v>
      </c>
      <c r="H212" s="459">
        <v>0.71</v>
      </c>
      <c r="I212" s="483">
        <v>4</v>
      </c>
      <c r="J212" s="168">
        <f t="shared" si="26"/>
        <v>0.59833333333333327</v>
      </c>
    </row>
    <row r="213" spans="1:10" x14ac:dyDescent="0.35">
      <c r="A213" s="23">
        <v>2976</v>
      </c>
      <c r="B213" s="459">
        <v>0.65</v>
      </c>
      <c r="C213" s="483">
        <v>250</v>
      </c>
      <c r="D213" s="554">
        <f t="shared" si="24"/>
        <v>4.3499999999999997E-3</v>
      </c>
      <c r="E213" s="459">
        <v>3.82</v>
      </c>
      <c r="F213" s="483">
        <v>42.5</v>
      </c>
      <c r="G213" s="168">
        <f t="shared" si="25"/>
        <v>0.10224999999999999</v>
      </c>
      <c r="H213" s="459">
        <v>0.15</v>
      </c>
      <c r="I213" s="483">
        <v>5.75</v>
      </c>
      <c r="J213" s="168">
        <f t="shared" si="26"/>
        <v>0.55166666666666664</v>
      </c>
    </row>
    <row r="214" spans="1:10" x14ac:dyDescent="0.35">
      <c r="A214" s="23">
        <v>2977</v>
      </c>
      <c r="B214" s="459">
        <v>0.43</v>
      </c>
      <c r="C214" s="483">
        <v>200</v>
      </c>
      <c r="D214" s="554">
        <f t="shared" si="24"/>
        <v>3.2500000000000003E-3</v>
      </c>
      <c r="E214" s="459">
        <v>0.68</v>
      </c>
      <c r="F214" s="483">
        <v>50</v>
      </c>
      <c r="G214" s="168">
        <f t="shared" si="25"/>
        <v>2.375E-2</v>
      </c>
      <c r="H214" s="459">
        <v>0.71</v>
      </c>
      <c r="I214" s="483">
        <v>4</v>
      </c>
      <c r="J214" s="168">
        <f t="shared" si="26"/>
        <v>0.59833333333333327</v>
      </c>
    </row>
    <row r="215" spans="1:10" x14ac:dyDescent="0.35">
      <c r="A215" s="23">
        <v>2983</v>
      </c>
      <c r="B215" s="459">
        <v>0.11</v>
      </c>
      <c r="C215" s="483">
        <v>125</v>
      </c>
      <c r="D215" s="554">
        <f t="shared" si="24"/>
        <v>1.65E-3</v>
      </c>
      <c r="E215" s="459">
        <v>0.68</v>
      </c>
      <c r="F215" s="483">
        <v>50</v>
      </c>
      <c r="G215" s="168">
        <f t="shared" si="25"/>
        <v>2.375E-2</v>
      </c>
      <c r="H215" s="459">
        <v>0.71</v>
      </c>
      <c r="I215" s="483">
        <v>4</v>
      </c>
      <c r="J215" s="168">
        <f t="shared" si="26"/>
        <v>0.59833333333333327</v>
      </c>
    </row>
    <row r="216" spans="1:10" x14ac:dyDescent="0.35">
      <c r="A216" s="23">
        <v>2994</v>
      </c>
      <c r="B216" s="459">
        <v>0.43</v>
      </c>
      <c r="C216" s="483">
        <v>200</v>
      </c>
      <c r="D216" s="554">
        <f t="shared" si="24"/>
        <v>3.2500000000000003E-3</v>
      </c>
      <c r="E216" s="459">
        <v>0.34</v>
      </c>
      <c r="F216" s="483">
        <v>55</v>
      </c>
      <c r="G216" s="168">
        <f t="shared" si="25"/>
        <v>1.5250000000000003E-2</v>
      </c>
      <c r="H216" s="459">
        <v>0.71</v>
      </c>
      <c r="I216" s="483">
        <v>4</v>
      </c>
      <c r="J216" s="168">
        <f t="shared" si="26"/>
        <v>0.59833333333333327</v>
      </c>
    </row>
    <row r="217" spans="1:10" x14ac:dyDescent="0.35">
      <c r="A217" s="23">
        <v>3030</v>
      </c>
      <c r="B217" s="459">
        <v>0.46</v>
      </c>
      <c r="C217" s="483">
        <v>206.25</v>
      </c>
      <c r="D217" s="554">
        <f t="shared" si="24"/>
        <v>3.4000000000000002E-3</v>
      </c>
      <c r="E217" s="459">
        <v>0.99</v>
      </c>
      <c r="F217" s="483">
        <v>50</v>
      </c>
      <c r="G217" s="168">
        <f t="shared" si="25"/>
        <v>3.15E-2</v>
      </c>
      <c r="H217" s="459">
        <v>0.71</v>
      </c>
      <c r="I217" s="483">
        <v>4</v>
      </c>
      <c r="J217" s="168">
        <f t="shared" si="26"/>
        <v>0.59833333333333327</v>
      </c>
    </row>
    <row r="218" spans="1:10" x14ac:dyDescent="0.35">
      <c r="A218" s="23">
        <v>3033</v>
      </c>
      <c r="B218" s="459">
        <v>0.43</v>
      </c>
      <c r="C218" s="483">
        <v>200</v>
      </c>
      <c r="D218" s="554">
        <f t="shared" si="24"/>
        <v>3.2500000000000003E-3</v>
      </c>
      <c r="E218" s="459">
        <v>0.68</v>
      </c>
      <c r="F218" s="483">
        <v>50</v>
      </c>
      <c r="G218" s="168">
        <f t="shared" si="25"/>
        <v>2.375E-2</v>
      </c>
      <c r="H218" s="459">
        <v>0.68</v>
      </c>
      <c r="I218" s="483">
        <v>4.25</v>
      </c>
      <c r="J218" s="168">
        <f t="shared" si="26"/>
        <v>0.59583333333333333</v>
      </c>
    </row>
    <row r="219" spans="1:10" x14ac:dyDescent="0.35">
      <c r="A219" s="23">
        <v>3034</v>
      </c>
      <c r="B219" s="459">
        <v>-0.01</v>
      </c>
      <c r="C219" s="483">
        <v>93.75</v>
      </c>
      <c r="D219" s="554">
        <f t="shared" si="24"/>
        <v>1.0499999999999999E-3</v>
      </c>
      <c r="E219" s="459">
        <v>4.38</v>
      </c>
      <c r="F219" s="483">
        <v>40</v>
      </c>
      <c r="G219" s="168">
        <f t="shared" si="25"/>
        <v>0.11625000000000001</v>
      </c>
      <c r="H219" s="459">
        <v>6.47</v>
      </c>
      <c r="I219" s="483">
        <v>2</v>
      </c>
      <c r="J219" s="168">
        <f t="shared" si="26"/>
        <v>1.0783333333333334</v>
      </c>
    </row>
    <row r="220" spans="1:10" x14ac:dyDescent="0.35">
      <c r="A220" s="23">
        <v>3054</v>
      </c>
      <c r="B220" s="459">
        <v>0.36</v>
      </c>
      <c r="C220" s="483">
        <v>181.25</v>
      </c>
      <c r="D220" s="554">
        <f t="shared" si="24"/>
        <v>2.8999999999999998E-3</v>
      </c>
      <c r="E220" s="459">
        <v>1.92</v>
      </c>
      <c r="F220" s="483">
        <v>47.5</v>
      </c>
      <c r="G220" s="168">
        <f t="shared" si="25"/>
        <v>5.475E-2</v>
      </c>
      <c r="H220" s="459">
        <v>0.5</v>
      </c>
      <c r="I220" s="483">
        <v>4.75</v>
      </c>
      <c r="J220" s="168">
        <f t="shared" si="26"/>
        <v>0.58083333333333331</v>
      </c>
    </row>
    <row r="221" spans="1:10" x14ac:dyDescent="0.35">
      <c r="A221" s="23">
        <v>3057</v>
      </c>
      <c r="B221" s="459">
        <v>0.45</v>
      </c>
      <c r="C221" s="483">
        <v>200</v>
      </c>
      <c r="D221" s="554">
        <f t="shared" si="24"/>
        <v>3.3500000000000001E-3</v>
      </c>
      <c r="E221" s="459">
        <v>0.68</v>
      </c>
      <c r="F221" s="483">
        <v>50</v>
      </c>
      <c r="G221" s="168">
        <f t="shared" si="25"/>
        <v>2.375E-2</v>
      </c>
      <c r="H221" s="459">
        <v>0.71</v>
      </c>
      <c r="I221" s="483">
        <v>4</v>
      </c>
      <c r="J221" s="168">
        <f t="shared" si="26"/>
        <v>0.59833333333333327</v>
      </c>
    </row>
    <row r="222" spans="1:10" x14ac:dyDescent="0.35">
      <c r="A222" s="23">
        <v>3059</v>
      </c>
      <c r="B222" s="459">
        <v>0.55000000000000004</v>
      </c>
      <c r="C222" s="483">
        <v>225</v>
      </c>
      <c r="D222" s="554">
        <f t="shared" si="24"/>
        <v>3.8500000000000001E-3</v>
      </c>
      <c r="E222" s="459">
        <v>0.96</v>
      </c>
      <c r="F222" s="483">
        <v>50</v>
      </c>
      <c r="G222" s="168">
        <f t="shared" si="25"/>
        <v>3.075E-2</v>
      </c>
      <c r="H222" s="459">
        <v>0.84</v>
      </c>
      <c r="I222" s="483">
        <v>4</v>
      </c>
      <c r="J222" s="168">
        <f t="shared" si="26"/>
        <v>0.60916666666666663</v>
      </c>
    </row>
    <row r="223" spans="1:10" x14ac:dyDescent="0.35">
      <c r="A223" s="23">
        <v>3060</v>
      </c>
      <c r="B223" s="459">
        <v>0.43</v>
      </c>
      <c r="C223" s="483">
        <v>200</v>
      </c>
      <c r="D223" s="554">
        <f t="shared" si="24"/>
        <v>3.2500000000000003E-3</v>
      </c>
      <c r="E223" s="459">
        <v>1.1399999999999999</v>
      </c>
      <c r="F223" s="483">
        <v>48.75</v>
      </c>
      <c r="G223" s="168">
        <f t="shared" si="25"/>
        <v>3.5249999999999997E-2</v>
      </c>
      <c r="H223" s="459">
        <v>0.95</v>
      </c>
      <c r="I223" s="483">
        <v>4</v>
      </c>
      <c r="J223" s="168">
        <f t="shared" si="26"/>
        <v>0.61833333333333329</v>
      </c>
    </row>
    <row r="224" spans="1:10" x14ac:dyDescent="0.35">
      <c r="A224" s="23">
        <v>3071</v>
      </c>
      <c r="B224" s="459">
        <v>0.43</v>
      </c>
      <c r="C224" s="483">
        <v>200</v>
      </c>
      <c r="D224" s="554">
        <f t="shared" si="24"/>
        <v>3.2500000000000003E-3</v>
      </c>
      <c r="E224" s="459">
        <v>0.68</v>
      </c>
      <c r="F224" s="483">
        <v>50</v>
      </c>
      <c r="G224" s="168">
        <f t="shared" si="25"/>
        <v>2.375E-2</v>
      </c>
      <c r="H224" s="459">
        <v>0.71</v>
      </c>
      <c r="I224" s="483">
        <v>4</v>
      </c>
      <c r="J224" s="168">
        <f t="shared" si="26"/>
        <v>0.59833333333333327</v>
      </c>
    </row>
    <row r="225" spans="1:10" x14ac:dyDescent="0.35">
      <c r="A225" s="23">
        <v>3079</v>
      </c>
      <c r="B225" s="459">
        <v>0.36</v>
      </c>
      <c r="C225" s="483">
        <v>181.25</v>
      </c>
      <c r="D225" s="554">
        <f t="shared" si="24"/>
        <v>2.8999999999999998E-3</v>
      </c>
      <c r="E225" s="459">
        <v>0.68</v>
      </c>
      <c r="F225" s="483">
        <v>50</v>
      </c>
      <c r="G225" s="168">
        <f t="shared" si="25"/>
        <v>2.375E-2</v>
      </c>
      <c r="H225" s="459">
        <v>0.71</v>
      </c>
      <c r="I225" s="483">
        <v>4</v>
      </c>
      <c r="J225" s="168">
        <f t="shared" si="26"/>
        <v>0.59833333333333327</v>
      </c>
    </row>
    <row r="226" spans="1:10" x14ac:dyDescent="0.35">
      <c r="A226" s="23">
        <v>3087</v>
      </c>
      <c r="B226" s="459">
        <v>0.4</v>
      </c>
      <c r="C226" s="483">
        <v>193.75</v>
      </c>
      <c r="D226" s="554">
        <f t="shared" si="24"/>
        <v>3.0999999999999999E-3</v>
      </c>
      <c r="E226" s="459">
        <v>0.68</v>
      </c>
      <c r="F226" s="483">
        <v>50</v>
      </c>
      <c r="G226" s="168">
        <f t="shared" si="25"/>
        <v>2.375E-2</v>
      </c>
      <c r="H226" s="459">
        <v>-4.59</v>
      </c>
      <c r="I226" s="483">
        <v>12</v>
      </c>
      <c r="J226" s="168">
        <f t="shared" si="26"/>
        <v>0.15666666666666665</v>
      </c>
    </row>
    <row r="227" spans="1:10" x14ac:dyDescent="0.35">
      <c r="A227" s="23">
        <v>3094</v>
      </c>
      <c r="B227" s="459">
        <v>0.45</v>
      </c>
      <c r="C227" s="483">
        <v>200</v>
      </c>
      <c r="D227" s="554">
        <f t="shared" si="24"/>
        <v>3.3500000000000001E-3</v>
      </c>
      <c r="E227" s="459">
        <v>0.49</v>
      </c>
      <c r="F227" s="483">
        <v>53.75</v>
      </c>
      <c r="G227" s="168">
        <f t="shared" si="25"/>
        <v>1.9E-2</v>
      </c>
      <c r="H227" s="459">
        <v>0.6</v>
      </c>
      <c r="I227" s="483">
        <v>4.75</v>
      </c>
      <c r="J227" s="168">
        <f t="shared" si="26"/>
        <v>0.58916666666666662</v>
      </c>
    </row>
    <row r="228" spans="1:10" x14ac:dyDescent="0.35">
      <c r="A228" s="23">
        <v>3097</v>
      </c>
      <c r="B228" s="459">
        <v>0.43</v>
      </c>
      <c r="C228" s="483">
        <v>200</v>
      </c>
      <c r="D228" s="554">
        <f t="shared" si="24"/>
        <v>3.2500000000000003E-3</v>
      </c>
      <c r="E228" s="459">
        <v>0.68</v>
      </c>
      <c r="F228" s="483">
        <v>50</v>
      </c>
      <c r="G228" s="168">
        <f t="shared" si="25"/>
        <v>2.375E-2</v>
      </c>
      <c r="H228" s="459">
        <v>0.71</v>
      </c>
      <c r="I228" s="483">
        <v>4</v>
      </c>
      <c r="J228" s="168">
        <f t="shared" si="26"/>
        <v>0.59833333333333327</v>
      </c>
    </row>
    <row r="229" spans="1:10" x14ac:dyDescent="0.35">
      <c r="A229" s="23">
        <v>3099</v>
      </c>
      <c r="B229" s="459">
        <v>0.49</v>
      </c>
      <c r="C229" s="483">
        <v>212.5</v>
      </c>
      <c r="D229" s="554">
        <f t="shared" si="24"/>
        <v>3.5499999999999998E-3</v>
      </c>
      <c r="E229" s="459">
        <v>4.38</v>
      </c>
      <c r="F229" s="483">
        <v>40</v>
      </c>
      <c r="G229" s="168">
        <f t="shared" si="25"/>
        <v>0.11625000000000001</v>
      </c>
      <c r="H229" s="459">
        <v>0.71</v>
      </c>
      <c r="I229" s="483">
        <v>4</v>
      </c>
      <c r="J229" s="168">
        <f t="shared" si="26"/>
        <v>0.59833333333333327</v>
      </c>
    </row>
    <row r="230" spans="1:10" x14ac:dyDescent="0.35">
      <c r="A230" s="23">
        <v>3102</v>
      </c>
      <c r="B230" s="459">
        <v>0.43</v>
      </c>
      <c r="C230" s="483">
        <v>200</v>
      </c>
      <c r="D230" s="554">
        <f t="shared" si="24"/>
        <v>3.2500000000000003E-3</v>
      </c>
      <c r="E230" s="459">
        <v>0.68</v>
      </c>
      <c r="F230" s="483">
        <v>50</v>
      </c>
      <c r="G230" s="168">
        <f t="shared" si="25"/>
        <v>2.375E-2</v>
      </c>
      <c r="H230" s="459">
        <v>-1.65</v>
      </c>
      <c r="I230" s="483">
        <v>8.5</v>
      </c>
      <c r="J230" s="168">
        <f t="shared" si="26"/>
        <v>0.40166666666666667</v>
      </c>
    </row>
    <row r="231" spans="1:10" x14ac:dyDescent="0.35">
      <c r="A231" s="23">
        <v>3109</v>
      </c>
      <c r="B231" s="459">
        <v>0.43</v>
      </c>
      <c r="C231" s="483">
        <v>200</v>
      </c>
      <c r="D231" s="554">
        <f t="shared" si="24"/>
        <v>3.2500000000000003E-3</v>
      </c>
      <c r="E231" s="459">
        <v>0.68</v>
      </c>
      <c r="F231" s="483">
        <v>50</v>
      </c>
      <c r="G231" s="168">
        <f t="shared" si="25"/>
        <v>2.375E-2</v>
      </c>
      <c r="H231" s="459">
        <v>0.71</v>
      </c>
      <c r="I231" s="483">
        <v>4</v>
      </c>
      <c r="J231" s="168">
        <f t="shared" si="26"/>
        <v>0.59833333333333327</v>
      </c>
    </row>
    <row r="232" spans="1:10" x14ac:dyDescent="0.35">
      <c r="A232" s="23">
        <v>3112</v>
      </c>
      <c r="B232" s="459">
        <v>0.43</v>
      </c>
      <c r="C232" s="483">
        <v>200</v>
      </c>
      <c r="D232" s="554">
        <f t="shared" si="24"/>
        <v>3.2500000000000003E-3</v>
      </c>
      <c r="E232" s="459">
        <v>0.9</v>
      </c>
      <c r="F232" s="483">
        <v>50</v>
      </c>
      <c r="G232" s="168">
        <f t="shared" si="25"/>
        <v>2.9249999999999998E-2</v>
      </c>
      <c r="H232" s="459">
        <v>0.49</v>
      </c>
      <c r="I232" s="483">
        <v>4.75</v>
      </c>
      <c r="J232" s="168">
        <f t="shared" si="26"/>
        <v>0.57999999999999996</v>
      </c>
    </row>
    <row r="233" spans="1:10" x14ac:dyDescent="0.35">
      <c r="A233" s="23">
        <v>3121</v>
      </c>
      <c r="B233" s="459">
        <v>0.43</v>
      </c>
      <c r="C233" s="483">
        <v>200</v>
      </c>
      <c r="D233" s="554">
        <f t="shared" si="24"/>
        <v>3.2500000000000003E-3</v>
      </c>
      <c r="E233" s="459">
        <v>2.68</v>
      </c>
      <c r="F233" s="483">
        <v>45</v>
      </c>
      <c r="G233" s="168">
        <f t="shared" si="25"/>
        <v>7.375000000000001E-2</v>
      </c>
      <c r="H233" s="459">
        <v>6.47</v>
      </c>
      <c r="I233" s="483">
        <v>2</v>
      </c>
      <c r="J233" s="168">
        <f t="shared" si="26"/>
        <v>1.0783333333333334</v>
      </c>
    </row>
    <row r="234" spans="1:10" x14ac:dyDescent="0.35">
      <c r="A234" s="23">
        <v>3122</v>
      </c>
      <c r="B234" s="459">
        <v>0.4</v>
      </c>
      <c r="C234" s="483">
        <v>193.75</v>
      </c>
      <c r="D234" s="554">
        <f t="shared" si="24"/>
        <v>3.0999999999999999E-3</v>
      </c>
      <c r="E234" s="459">
        <v>0.68</v>
      </c>
      <c r="F234" s="483">
        <v>50</v>
      </c>
      <c r="G234" s="168">
        <f t="shared" si="25"/>
        <v>2.375E-2</v>
      </c>
      <c r="H234" s="459">
        <v>0.65</v>
      </c>
      <c r="I234" s="483">
        <v>4.25</v>
      </c>
      <c r="J234" s="168">
        <f t="shared" si="26"/>
        <v>0.59333333333333338</v>
      </c>
    </row>
    <row r="235" spans="1:10" x14ac:dyDescent="0.35">
      <c r="A235" s="23">
        <v>3163</v>
      </c>
      <c r="B235" s="459">
        <v>0.55000000000000004</v>
      </c>
      <c r="C235" s="483">
        <v>225</v>
      </c>
      <c r="D235" s="554">
        <f t="shared" si="24"/>
        <v>3.8500000000000001E-3</v>
      </c>
      <c r="E235" s="459">
        <v>4.38</v>
      </c>
      <c r="F235" s="483">
        <v>40</v>
      </c>
      <c r="G235" s="168">
        <f t="shared" si="25"/>
        <v>0.11625000000000001</v>
      </c>
      <c r="H235" s="459">
        <v>0.53</v>
      </c>
      <c r="I235" s="483">
        <v>4.75</v>
      </c>
      <c r="J235" s="168">
        <f t="shared" si="26"/>
        <v>0.58333333333333337</v>
      </c>
    </row>
    <row r="236" spans="1:10" x14ac:dyDescent="0.35">
      <c r="A236" s="23">
        <v>3172</v>
      </c>
      <c r="B236" s="459">
        <v>0.22</v>
      </c>
      <c r="C236" s="483">
        <v>150</v>
      </c>
      <c r="D236" s="554">
        <f t="shared" si="24"/>
        <v>2.2000000000000001E-3</v>
      </c>
      <c r="E236" s="459">
        <v>0.6</v>
      </c>
      <c r="F236" s="483">
        <v>51.25</v>
      </c>
      <c r="G236" s="168">
        <f t="shared" si="25"/>
        <v>2.1749999999999999E-2</v>
      </c>
      <c r="H236" s="459">
        <v>0.51</v>
      </c>
      <c r="I236" s="483">
        <v>4.75</v>
      </c>
      <c r="J236" s="168">
        <f t="shared" si="26"/>
        <v>0.58166666666666667</v>
      </c>
    </row>
    <row r="237" spans="1:10" x14ac:dyDescent="0.35">
      <c r="A237" s="23">
        <v>3173</v>
      </c>
      <c r="B237" s="459">
        <v>0.09</v>
      </c>
      <c r="C237" s="483">
        <v>118.75</v>
      </c>
      <c r="D237" s="554">
        <f t="shared" si="24"/>
        <v>1.5499999999999999E-3</v>
      </c>
      <c r="E237" s="459">
        <v>1.06</v>
      </c>
      <c r="F237" s="483">
        <v>50</v>
      </c>
      <c r="G237" s="168">
        <f t="shared" si="25"/>
        <v>3.3250000000000002E-2</v>
      </c>
      <c r="H237" s="459">
        <v>0.71</v>
      </c>
      <c r="I237" s="483">
        <v>4</v>
      </c>
      <c r="J237" s="168">
        <f t="shared" si="26"/>
        <v>0.59833333333333327</v>
      </c>
    </row>
    <row r="238" spans="1:10" x14ac:dyDescent="0.35">
      <c r="A238" s="23">
        <v>3180</v>
      </c>
      <c r="B238" s="459">
        <v>0.26</v>
      </c>
      <c r="C238" s="483">
        <v>156.25</v>
      </c>
      <c r="D238" s="554">
        <f t="shared" si="24"/>
        <v>2.3999999999999998E-3</v>
      </c>
      <c r="E238" s="459">
        <v>0.08</v>
      </c>
      <c r="F238" s="483">
        <v>60</v>
      </c>
      <c r="G238" s="168">
        <f t="shared" si="25"/>
        <v>8.7500000000000008E-3</v>
      </c>
      <c r="H238" s="459">
        <v>0.12</v>
      </c>
      <c r="I238" s="483">
        <v>5.75</v>
      </c>
      <c r="J238" s="168">
        <f t="shared" si="26"/>
        <v>0.54916666666666669</v>
      </c>
    </row>
    <row r="239" spans="1:10" x14ac:dyDescent="0.35">
      <c r="A239" s="23">
        <v>3209</v>
      </c>
      <c r="B239" s="459">
        <v>0.43</v>
      </c>
      <c r="C239" s="483">
        <v>200</v>
      </c>
      <c r="D239" s="554">
        <f t="shared" si="24"/>
        <v>3.2500000000000003E-3</v>
      </c>
      <c r="E239" s="459">
        <v>1.83</v>
      </c>
      <c r="F239" s="483">
        <v>47.5</v>
      </c>
      <c r="G239" s="168">
        <f t="shared" si="25"/>
        <v>5.2500000000000005E-2</v>
      </c>
      <c r="H239" s="459">
        <v>0.67</v>
      </c>
      <c r="I239" s="483">
        <v>4.25</v>
      </c>
      <c r="J239" s="168">
        <f t="shared" si="26"/>
        <v>0.59499999999999997</v>
      </c>
    </row>
    <row r="240" spans="1:10" x14ac:dyDescent="0.35">
      <c r="A240" s="23">
        <v>3246</v>
      </c>
      <c r="B240" s="459">
        <v>0.51</v>
      </c>
      <c r="C240" s="483">
        <v>218.75</v>
      </c>
      <c r="D240" s="554">
        <f t="shared" si="24"/>
        <v>3.65E-3</v>
      </c>
      <c r="E240" s="459">
        <v>0.42</v>
      </c>
      <c r="F240" s="483">
        <v>55</v>
      </c>
      <c r="G240" s="168">
        <f t="shared" si="25"/>
        <v>1.7249999999999998E-2</v>
      </c>
      <c r="H240" s="459">
        <v>-1.26</v>
      </c>
      <c r="I240" s="483">
        <v>8</v>
      </c>
      <c r="J240" s="168">
        <f t="shared" si="26"/>
        <v>0.43416666666666665</v>
      </c>
    </row>
    <row r="241" spans="1:10" x14ac:dyDescent="0.35">
      <c r="A241" s="23">
        <v>3247</v>
      </c>
      <c r="B241" s="459">
        <v>0.36</v>
      </c>
      <c r="C241" s="483">
        <v>181.25</v>
      </c>
      <c r="D241" s="554">
        <f t="shared" si="24"/>
        <v>2.8999999999999998E-3</v>
      </c>
      <c r="E241" s="459">
        <v>3.21</v>
      </c>
      <c r="F241" s="483">
        <v>43.75</v>
      </c>
      <c r="G241" s="168">
        <f t="shared" si="25"/>
        <v>8.6999999999999994E-2</v>
      </c>
      <c r="H241" s="459">
        <v>2.67</v>
      </c>
      <c r="I241" s="483">
        <v>3.75</v>
      </c>
      <c r="J241" s="168">
        <f t="shared" si="26"/>
        <v>0.76166666666666671</v>
      </c>
    </row>
    <row r="242" spans="1:10" x14ac:dyDescent="0.35">
      <c r="A242" s="23">
        <v>3256</v>
      </c>
      <c r="B242" s="459">
        <v>0.5</v>
      </c>
      <c r="C242" s="483">
        <v>212.5</v>
      </c>
      <c r="D242" s="554">
        <f t="shared" si="24"/>
        <v>3.5999999999999999E-3</v>
      </c>
      <c r="E242" s="459">
        <v>0.68</v>
      </c>
      <c r="F242" s="483">
        <v>50</v>
      </c>
      <c r="G242" s="168">
        <f t="shared" si="25"/>
        <v>2.375E-2</v>
      </c>
      <c r="H242" s="459">
        <v>1.5</v>
      </c>
      <c r="I242" s="483">
        <v>3.75</v>
      </c>
      <c r="J242" s="168">
        <f t="shared" si="26"/>
        <v>0.66416666666666668</v>
      </c>
    </row>
    <row r="243" spans="1:10" x14ac:dyDescent="0.35">
      <c r="A243" s="23">
        <v>3258</v>
      </c>
      <c r="B243" s="459">
        <v>0.49</v>
      </c>
      <c r="C243" s="483">
        <v>212.5</v>
      </c>
      <c r="D243" s="554">
        <f t="shared" si="24"/>
        <v>3.5499999999999998E-3</v>
      </c>
      <c r="E243" s="459">
        <v>0.38</v>
      </c>
      <c r="F243" s="483">
        <v>55</v>
      </c>
      <c r="G243" s="168">
        <f t="shared" si="25"/>
        <v>1.6250000000000001E-2</v>
      </c>
      <c r="H243" s="459">
        <v>0.71</v>
      </c>
      <c r="I243" s="483">
        <v>4</v>
      </c>
      <c r="J243" s="168">
        <f t="shared" si="26"/>
        <v>0.59833333333333327</v>
      </c>
    </row>
    <row r="244" spans="1:10" x14ac:dyDescent="0.35">
      <c r="A244" s="23">
        <v>3266</v>
      </c>
      <c r="B244" s="459">
        <v>0.54</v>
      </c>
      <c r="C244" s="483">
        <v>225</v>
      </c>
      <c r="D244" s="554">
        <f t="shared" si="24"/>
        <v>3.8E-3</v>
      </c>
      <c r="E244" s="459">
        <v>0.68</v>
      </c>
      <c r="F244" s="483">
        <v>50</v>
      </c>
      <c r="G244" s="168">
        <f t="shared" si="25"/>
        <v>2.375E-2</v>
      </c>
      <c r="H244" s="459">
        <v>0.33</v>
      </c>
      <c r="I244" s="483">
        <v>5.25</v>
      </c>
      <c r="J244" s="168">
        <f t="shared" si="26"/>
        <v>0.56666666666666665</v>
      </c>
    </row>
    <row r="245" spans="1:10" x14ac:dyDescent="0.35">
      <c r="A245" s="23">
        <v>3337</v>
      </c>
      <c r="B245" s="459">
        <v>0.43</v>
      </c>
      <c r="C245" s="483">
        <v>200</v>
      </c>
      <c r="D245" s="554">
        <f t="shared" si="24"/>
        <v>3.2500000000000003E-3</v>
      </c>
      <c r="E245" s="459">
        <v>0.68</v>
      </c>
      <c r="F245" s="483">
        <v>50</v>
      </c>
      <c r="G245" s="168">
        <f t="shared" si="25"/>
        <v>2.375E-2</v>
      </c>
      <c r="H245" s="459">
        <v>0.71</v>
      </c>
      <c r="I245" s="483">
        <v>4</v>
      </c>
      <c r="J245" s="168">
        <f t="shared" si="26"/>
        <v>0.59833333333333327</v>
      </c>
    </row>
    <row r="246" spans="1:10" x14ac:dyDescent="0.35">
      <c r="A246" s="23">
        <v>3343</v>
      </c>
      <c r="B246" s="459">
        <v>0.3</v>
      </c>
      <c r="C246" s="483">
        <v>168.75</v>
      </c>
      <c r="D246" s="554">
        <f t="shared" si="24"/>
        <v>2.5999999999999999E-3</v>
      </c>
      <c r="E246" s="459">
        <v>0.68</v>
      </c>
      <c r="F246" s="483">
        <v>50</v>
      </c>
      <c r="G246" s="168">
        <f t="shared" si="25"/>
        <v>2.375E-2</v>
      </c>
      <c r="H246" s="459">
        <v>0.71</v>
      </c>
      <c r="I246" s="483">
        <v>4</v>
      </c>
      <c r="J246" s="168">
        <f t="shared" si="26"/>
        <v>0.59833333333333327</v>
      </c>
    </row>
    <row r="247" spans="1:10" x14ac:dyDescent="0.35">
      <c r="A247" s="23">
        <v>3345</v>
      </c>
      <c r="B247" s="459">
        <v>0.45</v>
      </c>
      <c r="C247" s="483">
        <v>200</v>
      </c>
      <c r="D247" s="554">
        <f t="shared" si="24"/>
        <v>3.3500000000000001E-3</v>
      </c>
      <c r="E247" s="459">
        <v>0.79</v>
      </c>
      <c r="F247" s="483">
        <v>50</v>
      </c>
      <c r="G247" s="168">
        <f t="shared" si="25"/>
        <v>2.6500000000000003E-2</v>
      </c>
      <c r="H247" s="459">
        <v>0.71</v>
      </c>
      <c r="I247" s="483">
        <v>4</v>
      </c>
      <c r="J247" s="168">
        <f t="shared" si="26"/>
        <v>0.59833333333333327</v>
      </c>
    </row>
    <row r="248" spans="1:10" x14ac:dyDescent="0.35">
      <c r="A248" s="23">
        <v>3347</v>
      </c>
      <c r="B248" s="459">
        <v>7.0000000000000007E-2</v>
      </c>
      <c r="C248" s="483">
        <v>112.5</v>
      </c>
      <c r="D248" s="554">
        <f t="shared" si="24"/>
        <v>1.4500000000000001E-3</v>
      </c>
      <c r="E248" s="459">
        <v>0.68</v>
      </c>
      <c r="F248" s="483">
        <v>50</v>
      </c>
      <c r="G248" s="168">
        <f t="shared" si="25"/>
        <v>2.375E-2</v>
      </c>
      <c r="H248" s="459">
        <v>0.71</v>
      </c>
      <c r="I248" s="483">
        <v>4</v>
      </c>
      <c r="J248" s="168">
        <f t="shared" si="26"/>
        <v>0.59833333333333327</v>
      </c>
    </row>
    <row r="249" spans="1:10" x14ac:dyDescent="0.35">
      <c r="A249" s="23">
        <v>3348</v>
      </c>
      <c r="B249" s="459">
        <v>0</v>
      </c>
      <c r="C249" s="483">
        <v>100</v>
      </c>
      <c r="D249" s="554">
        <f t="shared" si="24"/>
        <v>1.1000000000000001E-3</v>
      </c>
      <c r="E249" s="459">
        <v>0.68</v>
      </c>
      <c r="F249" s="483">
        <v>50</v>
      </c>
      <c r="G249" s="168">
        <f t="shared" si="25"/>
        <v>2.375E-2</v>
      </c>
      <c r="H249" s="459">
        <v>0.71</v>
      </c>
      <c r="I249" s="483">
        <v>4</v>
      </c>
      <c r="J249" s="168">
        <f t="shared" si="26"/>
        <v>0.59833333333333327</v>
      </c>
    </row>
    <row r="250" spans="1:10" x14ac:dyDescent="0.35">
      <c r="A250" s="23">
        <v>3349</v>
      </c>
      <c r="B250" s="459">
        <v>0.56999999999999995</v>
      </c>
      <c r="C250" s="483">
        <v>231.25</v>
      </c>
      <c r="D250" s="554">
        <f t="shared" si="24"/>
        <v>3.9499999999999995E-3</v>
      </c>
      <c r="E250" s="459">
        <v>0.68</v>
      </c>
      <c r="F250" s="483">
        <v>50</v>
      </c>
      <c r="G250" s="168">
        <f t="shared" si="25"/>
        <v>2.375E-2</v>
      </c>
      <c r="H250" s="459">
        <v>0.71</v>
      </c>
      <c r="I250" s="483">
        <v>4</v>
      </c>
      <c r="J250" s="168">
        <f t="shared" si="26"/>
        <v>0.59833333333333327</v>
      </c>
    </row>
    <row r="251" spans="1:10" x14ac:dyDescent="0.35">
      <c r="A251" s="23">
        <v>3377</v>
      </c>
      <c r="B251" s="459">
        <v>0.5</v>
      </c>
      <c r="C251" s="483">
        <v>212.5</v>
      </c>
      <c r="D251" s="554">
        <f t="shared" si="24"/>
        <v>3.5999999999999999E-3</v>
      </c>
      <c r="E251" s="459">
        <v>2.96</v>
      </c>
      <c r="F251" s="483">
        <v>45</v>
      </c>
      <c r="G251" s="168">
        <f t="shared" si="25"/>
        <v>8.0750000000000002E-2</v>
      </c>
      <c r="H251" s="459">
        <v>3.23</v>
      </c>
      <c r="I251" s="483">
        <v>3.25</v>
      </c>
      <c r="J251" s="168">
        <f t="shared" si="26"/>
        <v>0.80833333333333324</v>
      </c>
    </row>
    <row r="252" spans="1:10" x14ac:dyDescent="0.35">
      <c r="A252" s="23">
        <v>3378</v>
      </c>
      <c r="B252" s="459">
        <v>0.1</v>
      </c>
      <c r="C252" s="483">
        <v>118.75</v>
      </c>
      <c r="D252" s="554">
        <f t="shared" si="24"/>
        <v>1.6000000000000001E-3</v>
      </c>
      <c r="E252" s="459">
        <v>0.68</v>
      </c>
      <c r="F252" s="483">
        <v>50</v>
      </c>
      <c r="G252" s="168">
        <f t="shared" si="25"/>
        <v>2.375E-2</v>
      </c>
      <c r="H252" s="459">
        <v>0.71</v>
      </c>
      <c r="I252" s="483">
        <v>4</v>
      </c>
      <c r="J252" s="168">
        <f t="shared" si="26"/>
        <v>0.59833333333333327</v>
      </c>
    </row>
    <row r="253" spans="1:10" x14ac:dyDescent="0.35">
      <c r="A253" s="23">
        <v>3380</v>
      </c>
      <c r="B253" s="459">
        <v>0.43</v>
      </c>
      <c r="C253" s="483">
        <v>200</v>
      </c>
      <c r="D253" s="554">
        <f t="shared" si="24"/>
        <v>3.2500000000000003E-3</v>
      </c>
      <c r="E253" s="459">
        <v>0.68</v>
      </c>
      <c r="F253" s="483">
        <v>50</v>
      </c>
      <c r="G253" s="168">
        <f t="shared" si="25"/>
        <v>2.375E-2</v>
      </c>
      <c r="H253" s="459">
        <v>3.18</v>
      </c>
      <c r="I253" s="483">
        <v>3.25</v>
      </c>
      <c r="J253" s="168">
        <f t="shared" si="26"/>
        <v>0.8041666666666667</v>
      </c>
    </row>
    <row r="254" spans="1:10" x14ac:dyDescent="0.35">
      <c r="A254" s="23">
        <v>3390</v>
      </c>
      <c r="B254" s="459">
        <v>0.43</v>
      </c>
      <c r="C254" s="483">
        <v>200</v>
      </c>
      <c r="D254" s="554">
        <f t="shared" si="24"/>
        <v>3.2500000000000003E-3</v>
      </c>
      <c r="E254" s="459">
        <v>0.68</v>
      </c>
      <c r="F254" s="483">
        <v>50</v>
      </c>
      <c r="G254" s="168">
        <f t="shared" si="25"/>
        <v>2.375E-2</v>
      </c>
      <c r="H254" s="459">
        <v>0.71</v>
      </c>
      <c r="I254" s="483">
        <v>4</v>
      </c>
      <c r="J254" s="168">
        <f t="shared" si="26"/>
        <v>0.59833333333333327</v>
      </c>
    </row>
    <row r="255" spans="1:10" x14ac:dyDescent="0.35">
      <c r="A255" s="23">
        <v>3405</v>
      </c>
      <c r="B255" s="459">
        <v>0.32</v>
      </c>
      <c r="C255" s="483">
        <v>168.75</v>
      </c>
      <c r="D255" s="554">
        <f t="shared" si="24"/>
        <v>2.7000000000000001E-3</v>
      </c>
      <c r="E255" s="459">
        <v>0.53</v>
      </c>
      <c r="F255" s="483">
        <v>52.5</v>
      </c>
      <c r="G255" s="168">
        <f t="shared" si="25"/>
        <v>0.02</v>
      </c>
      <c r="H255" s="459">
        <v>0.71</v>
      </c>
      <c r="I255" s="483">
        <v>4</v>
      </c>
      <c r="J255" s="168">
        <f t="shared" si="26"/>
        <v>0.59833333333333327</v>
      </c>
    </row>
    <row r="256" spans="1:10" x14ac:dyDescent="0.35">
      <c r="A256" s="23">
        <v>3423</v>
      </c>
      <c r="B256" s="459">
        <v>0.43</v>
      </c>
      <c r="C256" s="483">
        <v>200</v>
      </c>
      <c r="D256" s="554">
        <f t="shared" si="24"/>
        <v>3.2500000000000003E-3</v>
      </c>
      <c r="E256" s="459">
        <v>0.17</v>
      </c>
      <c r="F256" s="483">
        <v>57.5</v>
      </c>
      <c r="G256" s="168">
        <f t="shared" si="25"/>
        <v>1.1000000000000001E-2</v>
      </c>
      <c r="H256" s="459">
        <v>-6.47</v>
      </c>
      <c r="I256" s="483">
        <v>14</v>
      </c>
      <c r="J256" s="168">
        <f t="shared" si="26"/>
        <v>0</v>
      </c>
    </row>
    <row r="257" spans="1:10" x14ac:dyDescent="0.35">
      <c r="A257" s="23">
        <v>3428</v>
      </c>
      <c r="B257" s="459">
        <v>0.1</v>
      </c>
      <c r="C257" s="483">
        <v>118.75</v>
      </c>
      <c r="D257" s="554">
        <f t="shared" si="24"/>
        <v>1.6000000000000001E-3</v>
      </c>
      <c r="E257" s="459">
        <v>0.68</v>
      </c>
      <c r="F257" s="483">
        <v>50</v>
      </c>
      <c r="G257" s="168">
        <f t="shared" si="25"/>
        <v>2.375E-2</v>
      </c>
      <c r="H257" s="459">
        <v>0.71</v>
      </c>
      <c r="I257" s="483">
        <v>4</v>
      </c>
      <c r="J257" s="168">
        <f t="shared" si="26"/>
        <v>0.59833333333333327</v>
      </c>
    </row>
    <row r="258" spans="1:10" x14ac:dyDescent="0.35">
      <c r="A258" s="23">
        <v>3429</v>
      </c>
      <c r="B258" s="459">
        <v>0.52</v>
      </c>
      <c r="C258" s="483">
        <v>218.75</v>
      </c>
      <c r="D258" s="554">
        <f t="shared" si="24"/>
        <v>3.7000000000000002E-3</v>
      </c>
      <c r="E258" s="459">
        <v>1.94</v>
      </c>
      <c r="F258" s="483">
        <v>47.5</v>
      </c>
      <c r="G258" s="168">
        <f t="shared" si="25"/>
        <v>5.525E-2</v>
      </c>
      <c r="H258" s="459">
        <v>0.71</v>
      </c>
      <c r="I258" s="483">
        <v>4</v>
      </c>
      <c r="J258" s="168">
        <f t="shared" si="26"/>
        <v>0.59833333333333327</v>
      </c>
    </row>
    <row r="259" spans="1:10" x14ac:dyDescent="0.35">
      <c r="A259" s="23">
        <v>3437</v>
      </c>
      <c r="B259" s="459">
        <v>0.37</v>
      </c>
      <c r="C259" s="483">
        <v>181.25</v>
      </c>
      <c r="D259" s="554">
        <f t="shared" si="24"/>
        <v>2.9499999999999999E-3</v>
      </c>
      <c r="E259" s="459">
        <v>0.68</v>
      </c>
      <c r="F259" s="483">
        <v>50</v>
      </c>
      <c r="G259" s="168">
        <f t="shared" si="25"/>
        <v>2.375E-2</v>
      </c>
      <c r="H259" s="459">
        <v>0.71</v>
      </c>
      <c r="I259" s="483">
        <v>4</v>
      </c>
      <c r="J259" s="168">
        <f t="shared" si="26"/>
        <v>0.59833333333333327</v>
      </c>
    </row>
    <row r="260" spans="1:10" x14ac:dyDescent="0.35">
      <c r="A260" s="23">
        <v>3438</v>
      </c>
      <c r="B260" s="459">
        <v>0.43</v>
      </c>
      <c r="C260" s="483">
        <v>200</v>
      </c>
      <c r="D260" s="554">
        <f t="shared" si="24"/>
        <v>3.2500000000000003E-3</v>
      </c>
      <c r="E260" s="459">
        <v>0.66</v>
      </c>
      <c r="F260" s="483">
        <v>51.25</v>
      </c>
      <c r="G260" s="168">
        <f t="shared" si="25"/>
        <v>2.325E-2</v>
      </c>
      <c r="H260" s="459">
        <v>0.71</v>
      </c>
      <c r="I260" s="483">
        <v>4</v>
      </c>
      <c r="J260" s="168">
        <f t="shared" si="26"/>
        <v>0.59833333333333327</v>
      </c>
    </row>
    <row r="261" spans="1:10" x14ac:dyDescent="0.35">
      <c r="A261" s="23">
        <v>3441</v>
      </c>
      <c r="B261" s="459">
        <v>0.43</v>
      </c>
      <c r="C261" s="483">
        <v>200</v>
      </c>
      <c r="D261" s="554">
        <f t="shared" si="24"/>
        <v>3.2500000000000003E-3</v>
      </c>
      <c r="E261" s="459">
        <v>0.39</v>
      </c>
      <c r="F261" s="483">
        <v>55</v>
      </c>
      <c r="G261" s="168">
        <f t="shared" si="25"/>
        <v>1.6500000000000001E-2</v>
      </c>
      <c r="H261" s="459">
        <v>0.56999999999999995</v>
      </c>
      <c r="I261" s="483">
        <v>4.75</v>
      </c>
      <c r="J261" s="168">
        <f t="shared" si="26"/>
        <v>0.58666666666666667</v>
      </c>
    </row>
    <row r="262" spans="1:10" x14ac:dyDescent="0.35">
      <c r="A262" s="23">
        <v>3448</v>
      </c>
      <c r="B262" s="459">
        <v>0.43</v>
      </c>
      <c r="C262" s="483">
        <v>200</v>
      </c>
      <c r="D262" s="554">
        <f t="shared" si="24"/>
        <v>3.2500000000000003E-3</v>
      </c>
      <c r="E262" s="459">
        <v>0.68</v>
      </c>
      <c r="F262" s="483">
        <v>50</v>
      </c>
      <c r="G262" s="168">
        <f t="shared" si="25"/>
        <v>2.375E-2</v>
      </c>
      <c r="H262" s="459">
        <v>0.71</v>
      </c>
      <c r="I262" s="483">
        <v>4</v>
      </c>
      <c r="J262" s="168">
        <f t="shared" si="26"/>
        <v>0.59833333333333327</v>
      </c>
    </row>
    <row r="263" spans="1:10" x14ac:dyDescent="0.35">
      <c r="A263" s="23">
        <v>3454</v>
      </c>
      <c r="B263" s="459">
        <v>0.43</v>
      </c>
      <c r="C263" s="483">
        <v>200</v>
      </c>
      <c r="D263" s="554">
        <f t="shared" si="24"/>
        <v>3.2500000000000003E-3</v>
      </c>
      <c r="E263" s="459">
        <v>0.68</v>
      </c>
      <c r="F263" s="483">
        <v>50</v>
      </c>
      <c r="G263" s="168">
        <f t="shared" si="25"/>
        <v>2.375E-2</v>
      </c>
      <c r="H263" s="459">
        <v>0.71</v>
      </c>
      <c r="I263" s="483">
        <v>4</v>
      </c>
      <c r="J263" s="168">
        <f t="shared" si="26"/>
        <v>0.59833333333333327</v>
      </c>
    </row>
    <row r="264" spans="1:10" x14ac:dyDescent="0.35">
      <c r="A264" s="23">
        <v>3457</v>
      </c>
      <c r="B264" s="459">
        <v>0.43</v>
      </c>
      <c r="C264" s="483">
        <v>200</v>
      </c>
      <c r="D264" s="554">
        <f t="shared" si="24"/>
        <v>3.2500000000000003E-3</v>
      </c>
      <c r="E264" s="459">
        <v>0.57999999999999996</v>
      </c>
      <c r="F264" s="483">
        <v>52.5</v>
      </c>
      <c r="G264" s="168">
        <f t="shared" si="25"/>
        <v>2.1249999999999998E-2</v>
      </c>
      <c r="H264" s="459">
        <v>0.44</v>
      </c>
      <c r="I264" s="483">
        <v>5</v>
      </c>
      <c r="J264" s="168">
        <f t="shared" si="26"/>
        <v>0.57583333333333331</v>
      </c>
    </row>
    <row r="265" spans="1:10" x14ac:dyDescent="0.35">
      <c r="A265" s="23">
        <v>3462</v>
      </c>
      <c r="B265" s="459">
        <v>0.33</v>
      </c>
      <c r="C265" s="483">
        <v>175</v>
      </c>
      <c r="D265" s="554">
        <f t="shared" si="24"/>
        <v>2.7500000000000003E-3</v>
      </c>
      <c r="E265" s="459">
        <v>0.45</v>
      </c>
      <c r="F265" s="483">
        <v>53.75</v>
      </c>
      <c r="G265" s="168">
        <f t="shared" si="25"/>
        <v>1.7999999999999999E-2</v>
      </c>
      <c r="H265" s="459">
        <v>0.71</v>
      </c>
      <c r="I265" s="483">
        <v>4</v>
      </c>
      <c r="J265" s="168">
        <f t="shared" si="26"/>
        <v>0.59833333333333327</v>
      </c>
    </row>
    <row r="266" spans="1:10" x14ac:dyDescent="0.35">
      <c r="A266" s="23">
        <v>3489</v>
      </c>
      <c r="B266" s="459">
        <v>0.52</v>
      </c>
      <c r="C266" s="483">
        <v>218.75</v>
      </c>
      <c r="D266" s="554">
        <f t="shared" si="24"/>
        <v>3.7000000000000002E-3</v>
      </c>
      <c r="E266" s="459">
        <v>0.68</v>
      </c>
      <c r="F266" s="483">
        <v>50</v>
      </c>
      <c r="G266" s="168">
        <f t="shared" si="25"/>
        <v>2.375E-2</v>
      </c>
      <c r="H266" s="459">
        <v>0.42</v>
      </c>
      <c r="I266" s="483">
        <v>5</v>
      </c>
      <c r="J266" s="168">
        <f t="shared" si="26"/>
        <v>0.5741666666666666</v>
      </c>
    </row>
    <row r="267" spans="1:10" x14ac:dyDescent="0.35">
      <c r="A267" s="23">
        <v>3509</v>
      </c>
      <c r="B267" s="459">
        <v>0.46</v>
      </c>
      <c r="C267" s="483">
        <v>206.25</v>
      </c>
      <c r="D267" s="554">
        <f t="shared" si="24"/>
        <v>3.4000000000000002E-3</v>
      </c>
      <c r="E267" s="459">
        <v>0.68</v>
      </c>
      <c r="F267" s="483">
        <v>50</v>
      </c>
      <c r="G267" s="168">
        <f t="shared" si="25"/>
        <v>2.375E-2</v>
      </c>
      <c r="H267" s="459">
        <v>0.61</v>
      </c>
      <c r="I267" s="483">
        <v>4.75</v>
      </c>
      <c r="J267" s="168">
        <f t="shared" si="26"/>
        <v>0.59</v>
      </c>
    </row>
    <row r="268" spans="1:10" x14ac:dyDescent="0.35">
      <c r="A268" s="23">
        <v>3531</v>
      </c>
      <c r="B268" s="459">
        <v>0.19</v>
      </c>
      <c r="C268" s="483">
        <v>143.75</v>
      </c>
      <c r="D268" s="554">
        <f t="shared" si="24"/>
        <v>2.0500000000000002E-3</v>
      </c>
      <c r="E268" s="459">
        <v>4.3</v>
      </c>
      <c r="F268" s="483">
        <v>41.25</v>
      </c>
      <c r="G268" s="168">
        <f t="shared" si="25"/>
        <v>0.11425</v>
      </c>
      <c r="H268" s="459">
        <v>0.55000000000000004</v>
      </c>
      <c r="I268" s="483">
        <v>4.75</v>
      </c>
      <c r="J268" s="168">
        <f t="shared" si="26"/>
        <v>0.58499999999999996</v>
      </c>
    </row>
    <row r="269" spans="1:10" x14ac:dyDescent="0.35">
      <c r="A269" s="23">
        <v>3533</v>
      </c>
      <c r="B269" s="459">
        <v>0.31</v>
      </c>
      <c r="C269" s="483">
        <v>168.75</v>
      </c>
      <c r="D269" s="554">
        <f t="shared" si="24"/>
        <v>2.65E-3</v>
      </c>
      <c r="E269" s="459">
        <v>1.54</v>
      </c>
      <c r="F269" s="483">
        <v>48.75</v>
      </c>
      <c r="G269" s="168">
        <f t="shared" si="25"/>
        <v>4.5249999999999999E-2</v>
      </c>
      <c r="H269" s="459">
        <v>0.44</v>
      </c>
      <c r="I269" s="483">
        <v>5</v>
      </c>
      <c r="J269" s="168">
        <f t="shared" si="26"/>
        <v>0.57583333333333331</v>
      </c>
    </row>
    <row r="270" spans="1:10" x14ac:dyDescent="0.35">
      <c r="A270" s="23">
        <v>3542</v>
      </c>
      <c r="B270" s="459">
        <v>0.43</v>
      </c>
      <c r="C270" s="483">
        <v>200</v>
      </c>
      <c r="D270" s="554">
        <f t="shared" si="24"/>
        <v>3.2500000000000003E-3</v>
      </c>
      <c r="E270" s="459">
        <v>0.68</v>
      </c>
      <c r="F270" s="483">
        <v>50</v>
      </c>
      <c r="G270" s="168">
        <f t="shared" si="25"/>
        <v>2.375E-2</v>
      </c>
      <c r="H270" s="459">
        <v>0.71</v>
      </c>
      <c r="I270" s="483">
        <v>4</v>
      </c>
      <c r="J270" s="168">
        <f t="shared" si="26"/>
        <v>0.59833333333333327</v>
      </c>
    </row>
    <row r="271" spans="1:10" x14ac:dyDescent="0.35">
      <c r="A271" s="23">
        <v>3543</v>
      </c>
      <c r="B271" s="459">
        <v>0.65</v>
      </c>
      <c r="C271" s="483">
        <v>250</v>
      </c>
      <c r="D271" s="554">
        <f t="shared" si="24"/>
        <v>4.3499999999999997E-3</v>
      </c>
      <c r="E271" s="459">
        <v>1.25</v>
      </c>
      <c r="F271" s="483">
        <v>48.75</v>
      </c>
      <c r="G271" s="168">
        <f t="shared" si="25"/>
        <v>3.7999999999999999E-2</v>
      </c>
      <c r="H271" s="459">
        <v>-0.34</v>
      </c>
      <c r="I271" s="483">
        <v>6</v>
      </c>
      <c r="J271" s="168">
        <f t="shared" si="26"/>
        <v>0.51083333333333336</v>
      </c>
    </row>
    <row r="272" spans="1:10" x14ac:dyDescent="0.35">
      <c r="A272" s="23">
        <v>3557</v>
      </c>
      <c r="B272" s="459">
        <v>0.43</v>
      </c>
      <c r="C272" s="483">
        <v>200</v>
      </c>
      <c r="D272" s="554">
        <f t="shared" si="24"/>
        <v>3.2500000000000003E-3</v>
      </c>
      <c r="E272" s="459">
        <v>0.68</v>
      </c>
      <c r="F272" s="483">
        <v>50</v>
      </c>
      <c r="G272" s="168">
        <f t="shared" si="25"/>
        <v>2.375E-2</v>
      </c>
      <c r="H272" s="459">
        <v>0.71</v>
      </c>
      <c r="I272" s="483">
        <v>4</v>
      </c>
      <c r="J272" s="168">
        <f t="shared" si="26"/>
        <v>0.59833333333333327</v>
      </c>
    </row>
    <row r="273" spans="1:10" x14ac:dyDescent="0.35">
      <c r="A273" s="23">
        <v>3580</v>
      </c>
      <c r="B273" s="459">
        <v>0.5</v>
      </c>
      <c r="C273" s="483">
        <v>212.5</v>
      </c>
      <c r="D273" s="554">
        <f t="shared" ref="D273:D335" si="27">(B273-Lowest_bill_SSW_protecting_wildlife)/(Highest_servicelevel_SSW_protecting_wildlife-Lowest_servicelevel_SSW_protecting_wildlife)</f>
        <v>3.5999999999999999E-3</v>
      </c>
      <c r="E273" s="459">
        <v>1.64</v>
      </c>
      <c r="F273" s="483">
        <v>47.5</v>
      </c>
      <c r="G273" s="168">
        <f t="shared" ref="G273:G335" si="28">(E273-Lowest_bill_SSW_leakage)/(Highest_servicelevel_SSW_leakage-Lowest_servicelevel_SSW_leakage)</f>
        <v>4.7750000000000001E-2</v>
      </c>
      <c r="H273" s="459">
        <v>0.65</v>
      </c>
      <c r="I273" s="483">
        <v>4.25</v>
      </c>
      <c r="J273" s="168">
        <f t="shared" ref="J273:J335" si="29">(H273-Lowest_bill_SSW_interruptions)/(Highest_servicelevel_SSW_interruptions-Lowest_servicelevel_SSW_interruptions)</f>
        <v>0.59333333333333338</v>
      </c>
    </row>
    <row r="274" spans="1:10" x14ac:dyDescent="0.35">
      <c r="A274" s="23">
        <v>3585</v>
      </c>
      <c r="B274" s="459">
        <v>-0.12</v>
      </c>
      <c r="C274" s="483">
        <v>68.75</v>
      </c>
      <c r="D274" s="554">
        <f t="shared" si="27"/>
        <v>5.0000000000000001E-4</v>
      </c>
      <c r="E274" s="459">
        <v>0.09</v>
      </c>
      <c r="F274" s="483">
        <v>58.75</v>
      </c>
      <c r="G274" s="168">
        <f t="shared" si="28"/>
        <v>8.9999999999999993E-3</v>
      </c>
      <c r="H274" s="459">
        <v>7.0000000000000007E-2</v>
      </c>
      <c r="I274" s="483">
        <v>6</v>
      </c>
      <c r="J274" s="168">
        <f t="shared" si="29"/>
        <v>0.54500000000000004</v>
      </c>
    </row>
    <row r="275" spans="1:10" x14ac:dyDescent="0.35">
      <c r="A275" s="23">
        <v>3656</v>
      </c>
      <c r="B275" s="459">
        <v>0.45</v>
      </c>
      <c r="C275" s="483">
        <v>200</v>
      </c>
      <c r="D275" s="554">
        <f t="shared" si="27"/>
        <v>3.3500000000000001E-3</v>
      </c>
      <c r="E275" s="459">
        <v>0.63</v>
      </c>
      <c r="F275" s="483">
        <v>51.25</v>
      </c>
      <c r="G275" s="168">
        <f t="shared" si="28"/>
        <v>2.2499999999999999E-2</v>
      </c>
      <c r="H275" s="459">
        <v>0.71</v>
      </c>
      <c r="I275" s="483">
        <v>4</v>
      </c>
      <c r="J275" s="168">
        <f t="shared" si="29"/>
        <v>0.59833333333333327</v>
      </c>
    </row>
    <row r="276" spans="1:10" x14ac:dyDescent="0.35">
      <c r="A276" s="23">
        <v>3660</v>
      </c>
      <c r="B276" s="459">
        <v>0.43</v>
      </c>
      <c r="C276" s="483">
        <v>200</v>
      </c>
      <c r="D276" s="554">
        <f t="shared" si="27"/>
        <v>3.2500000000000003E-3</v>
      </c>
      <c r="E276" s="459">
        <v>1.73</v>
      </c>
      <c r="F276" s="483">
        <v>47.5</v>
      </c>
      <c r="G276" s="168">
        <f t="shared" si="28"/>
        <v>0.05</v>
      </c>
      <c r="H276" s="459">
        <v>0.71</v>
      </c>
      <c r="I276" s="483">
        <v>4</v>
      </c>
      <c r="J276" s="168">
        <f t="shared" si="29"/>
        <v>0.59833333333333327</v>
      </c>
    </row>
    <row r="277" spans="1:10" x14ac:dyDescent="0.35">
      <c r="A277" s="23">
        <v>3673</v>
      </c>
      <c r="B277" s="459">
        <v>0.43</v>
      </c>
      <c r="C277" s="483">
        <v>200</v>
      </c>
      <c r="D277" s="554">
        <f t="shared" si="27"/>
        <v>3.2500000000000003E-3</v>
      </c>
      <c r="E277" s="459">
        <v>1.01</v>
      </c>
      <c r="F277" s="483">
        <v>50</v>
      </c>
      <c r="G277" s="168">
        <f t="shared" si="28"/>
        <v>3.2000000000000001E-2</v>
      </c>
      <c r="H277" s="459">
        <v>1.41</v>
      </c>
      <c r="I277" s="483">
        <v>4</v>
      </c>
      <c r="J277" s="168">
        <f t="shared" si="29"/>
        <v>0.65666666666666662</v>
      </c>
    </row>
    <row r="278" spans="1:10" x14ac:dyDescent="0.35">
      <c r="A278" s="23">
        <v>3676</v>
      </c>
      <c r="B278" s="459">
        <v>0.43</v>
      </c>
      <c r="C278" s="483">
        <v>200</v>
      </c>
      <c r="D278" s="554">
        <f t="shared" si="27"/>
        <v>3.2500000000000003E-3</v>
      </c>
      <c r="E278" s="459">
        <v>0.34</v>
      </c>
      <c r="F278" s="483">
        <v>55</v>
      </c>
      <c r="G278" s="168">
        <f t="shared" si="28"/>
        <v>1.5250000000000003E-2</v>
      </c>
      <c r="H278" s="459">
        <v>0.71</v>
      </c>
      <c r="I278" s="483">
        <v>4</v>
      </c>
      <c r="J278" s="168">
        <f t="shared" si="29"/>
        <v>0.59833333333333327</v>
      </c>
    </row>
    <row r="279" spans="1:10" x14ac:dyDescent="0.35">
      <c r="A279" s="23">
        <v>3684</v>
      </c>
      <c r="B279" s="459">
        <v>0.36</v>
      </c>
      <c r="C279" s="483">
        <v>181.25</v>
      </c>
      <c r="D279" s="554">
        <f t="shared" si="27"/>
        <v>2.8999999999999998E-3</v>
      </c>
      <c r="E279" s="459">
        <v>0.68</v>
      </c>
      <c r="F279" s="483">
        <v>50</v>
      </c>
      <c r="G279" s="168">
        <f t="shared" si="28"/>
        <v>2.375E-2</v>
      </c>
      <c r="H279" s="459">
        <v>0.71</v>
      </c>
      <c r="I279" s="483">
        <v>4</v>
      </c>
      <c r="J279" s="168">
        <f t="shared" si="29"/>
        <v>0.59833333333333327</v>
      </c>
    </row>
    <row r="280" spans="1:10" x14ac:dyDescent="0.35">
      <c r="A280" s="23">
        <v>3689</v>
      </c>
      <c r="B280" s="459">
        <v>0.1</v>
      </c>
      <c r="C280" s="483">
        <v>118.75</v>
      </c>
      <c r="D280" s="554">
        <f t="shared" si="27"/>
        <v>1.6000000000000001E-3</v>
      </c>
      <c r="E280" s="459">
        <v>0.35</v>
      </c>
      <c r="F280" s="483">
        <v>55</v>
      </c>
      <c r="G280" s="168">
        <f t="shared" si="28"/>
        <v>1.55E-2</v>
      </c>
      <c r="H280" s="459">
        <v>0.2</v>
      </c>
      <c r="I280" s="483">
        <v>5.25</v>
      </c>
      <c r="J280" s="168">
        <f t="shared" si="29"/>
        <v>0.55583333333333329</v>
      </c>
    </row>
    <row r="281" spans="1:10" x14ac:dyDescent="0.35">
      <c r="A281" s="23">
        <v>3690</v>
      </c>
      <c r="B281" s="459">
        <v>0.34</v>
      </c>
      <c r="C281" s="483">
        <v>175</v>
      </c>
      <c r="D281" s="554">
        <f t="shared" si="27"/>
        <v>2.8000000000000004E-3</v>
      </c>
      <c r="E281" s="459">
        <v>0.68</v>
      </c>
      <c r="F281" s="483">
        <v>50</v>
      </c>
      <c r="G281" s="168">
        <f t="shared" si="28"/>
        <v>2.375E-2</v>
      </c>
      <c r="H281" s="459">
        <v>0.71</v>
      </c>
      <c r="I281" s="483">
        <v>4</v>
      </c>
      <c r="J281" s="168">
        <f t="shared" si="29"/>
        <v>0.59833333333333327</v>
      </c>
    </row>
    <row r="282" spans="1:10" x14ac:dyDescent="0.35">
      <c r="A282" s="23">
        <v>3701</v>
      </c>
      <c r="B282" s="459">
        <v>0.43</v>
      </c>
      <c r="C282" s="483">
        <v>200</v>
      </c>
      <c r="D282" s="554">
        <f t="shared" si="27"/>
        <v>3.2500000000000003E-3</v>
      </c>
      <c r="E282" s="459">
        <v>0.77</v>
      </c>
      <c r="F282" s="483">
        <v>50</v>
      </c>
      <c r="G282" s="168">
        <f t="shared" si="28"/>
        <v>2.6000000000000002E-2</v>
      </c>
      <c r="H282" s="459">
        <v>0.71</v>
      </c>
      <c r="I282" s="483">
        <v>4</v>
      </c>
      <c r="J282" s="168">
        <f t="shared" si="29"/>
        <v>0.59833333333333327</v>
      </c>
    </row>
    <row r="283" spans="1:10" x14ac:dyDescent="0.35">
      <c r="A283" s="23">
        <v>3703</v>
      </c>
      <c r="B283" s="459">
        <v>0.1</v>
      </c>
      <c r="C283" s="483">
        <v>118.75</v>
      </c>
      <c r="D283" s="554">
        <f t="shared" si="27"/>
        <v>1.6000000000000001E-3</v>
      </c>
      <c r="E283" s="459">
        <v>0.68</v>
      </c>
      <c r="F283" s="483">
        <v>50</v>
      </c>
      <c r="G283" s="168">
        <f t="shared" si="28"/>
        <v>2.375E-2</v>
      </c>
      <c r="H283" s="459">
        <v>0.28999999999999998</v>
      </c>
      <c r="I283" s="483">
        <v>5.25</v>
      </c>
      <c r="J283" s="168">
        <f t="shared" si="29"/>
        <v>0.56333333333333335</v>
      </c>
    </row>
    <row r="284" spans="1:10" x14ac:dyDescent="0.35">
      <c r="A284" s="23">
        <v>3718</v>
      </c>
      <c r="B284" s="459">
        <v>0.43</v>
      </c>
      <c r="C284" s="483">
        <v>200</v>
      </c>
      <c r="D284" s="554">
        <f t="shared" si="27"/>
        <v>3.2500000000000003E-3</v>
      </c>
      <c r="E284" s="459">
        <v>0.68</v>
      </c>
      <c r="F284" s="483">
        <v>50</v>
      </c>
      <c r="G284" s="168">
        <f t="shared" si="28"/>
        <v>2.375E-2</v>
      </c>
      <c r="H284" s="459">
        <v>3.21</v>
      </c>
      <c r="I284" s="483">
        <v>3.25</v>
      </c>
      <c r="J284" s="168">
        <f t="shared" si="29"/>
        <v>0.80666666666666664</v>
      </c>
    </row>
    <row r="285" spans="1:10" x14ac:dyDescent="0.35">
      <c r="A285" s="23">
        <v>3722</v>
      </c>
      <c r="B285" s="459">
        <v>0.46</v>
      </c>
      <c r="C285" s="483">
        <v>206.25</v>
      </c>
      <c r="D285" s="554">
        <f t="shared" si="27"/>
        <v>3.4000000000000002E-3</v>
      </c>
      <c r="E285" s="459">
        <v>0.68</v>
      </c>
      <c r="F285" s="483">
        <v>50</v>
      </c>
      <c r="G285" s="168">
        <f t="shared" si="28"/>
        <v>2.375E-2</v>
      </c>
      <c r="H285" s="459">
        <v>0.37</v>
      </c>
      <c r="I285" s="483">
        <v>5</v>
      </c>
      <c r="J285" s="168">
        <f t="shared" si="29"/>
        <v>0.56999999999999995</v>
      </c>
    </row>
    <row r="286" spans="1:10" x14ac:dyDescent="0.35">
      <c r="A286" s="23">
        <v>3737</v>
      </c>
      <c r="B286" s="459">
        <v>0.5</v>
      </c>
      <c r="C286" s="483">
        <v>212.5</v>
      </c>
      <c r="D286" s="554">
        <f t="shared" si="27"/>
        <v>3.5999999999999999E-3</v>
      </c>
      <c r="E286" s="459">
        <v>0.87</v>
      </c>
      <c r="F286" s="483">
        <v>50</v>
      </c>
      <c r="G286" s="168">
        <f t="shared" si="28"/>
        <v>2.8500000000000004E-2</v>
      </c>
      <c r="H286" s="459">
        <v>0.6</v>
      </c>
      <c r="I286" s="483">
        <v>4.75</v>
      </c>
      <c r="J286" s="168">
        <f t="shared" si="29"/>
        <v>0.58916666666666662</v>
      </c>
    </row>
    <row r="287" spans="1:10" x14ac:dyDescent="0.35">
      <c r="A287" s="23">
        <v>3741</v>
      </c>
      <c r="B287" s="459">
        <v>0.43</v>
      </c>
      <c r="C287" s="483">
        <v>200</v>
      </c>
      <c r="D287" s="554">
        <f t="shared" si="27"/>
        <v>3.2500000000000003E-3</v>
      </c>
      <c r="E287" s="459">
        <v>0.09</v>
      </c>
      <c r="F287" s="483">
        <v>58.75</v>
      </c>
      <c r="G287" s="168">
        <f t="shared" si="28"/>
        <v>8.9999999999999993E-3</v>
      </c>
      <c r="H287" s="459">
        <v>0.15</v>
      </c>
      <c r="I287" s="483">
        <v>5.75</v>
      </c>
      <c r="J287" s="168">
        <f t="shared" si="29"/>
        <v>0.55166666666666664</v>
      </c>
    </row>
    <row r="288" spans="1:10" x14ac:dyDescent="0.35">
      <c r="A288" s="23">
        <v>3743</v>
      </c>
      <c r="B288" s="459">
        <v>0.43</v>
      </c>
      <c r="C288" s="483">
        <v>200</v>
      </c>
      <c r="D288" s="554">
        <f t="shared" si="27"/>
        <v>3.2500000000000003E-3</v>
      </c>
      <c r="E288" s="459">
        <v>1.25</v>
      </c>
      <c r="F288" s="483">
        <v>48.75</v>
      </c>
      <c r="G288" s="168">
        <f t="shared" si="28"/>
        <v>3.7999999999999999E-2</v>
      </c>
      <c r="H288" s="459">
        <v>0.71</v>
      </c>
      <c r="I288" s="483">
        <v>4</v>
      </c>
      <c r="J288" s="168">
        <f t="shared" si="29"/>
        <v>0.59833333333333327</v>
      </c>
    </row>
    <row r="289" spans="1:10" x14ac:dyDescent="0.35">
      <c r="A289" s="23">
        <v>3747</v>
      </c>
      <c r="B289" s="459">
        <v>0.45</v>
      </c>
      <c r="C289" s="483">
        <v>200</v>
      </c>
      <c r="D289" s="554">
        <f t="shared" si="27"/>
        <v>3.3500000000000001E-3</v>
      </c>
      <c r="E289" s="459">
        <v>0.68</v>
      </c>
      <c r="F289" s="483">
        <v>50</v>
      </c>
      <c r="G289" s="168">
        <f t="shared" si="28"/>
        <v>2.375E-2</v>
      </c>
      <c r="H289" s="459">
        <v>0.67</v>
      </c>
      <c r="I289" s="483">
        <v>4.25</v>
      </c>
      <c r="J289" s="168">
        <f t="shared" si="29"/>
        <v>0.59499999999999997</v>
      </c>
    </row>
    <row r="290" spans="1:10" x14ac:dyDescent="0.35">
      <c r="A290" s="23">
        <v>3761</v>
      </c>
      <c r="B290" s="459">
        <v>0.49</v>
      </c>
      <c r="C290" s="483">
        <v>212.5</v>
      </c>
      <c r="D290" s="554">
        <f t="shared" si="27"/>
        <v>3.5499999999999998E-3</v>
      </c>
      <c r="E290" s="459">
        <v>2.39</v>
      </c>
      <c r="F290" s="483">
        <v>46.25</v>
      </c>
      <c r="G290" s="168">
        <f t="shared" si="28"/>
        <v>6.6500000000000004E-2</v>
      </c>
      <c r="H290" s="459">
        <v>6.47</v>
      </c>
      <c r="I290" s="483">
        <v>2</v>
      </c>
      <c r="J290" s="168">
        <f t="shared" si="29"/>
        <v>1.0783333333333334</v>
      </c>
    </row>
    <row r="291" spans="1:10" x14ac:dyDescent="0.35">
      <c r="A291" s="23">
        <v>3775</v>
      </c>
      <c r="B291" s="459">
        <v>0.4</v>
      </c>
      <c r="C291" s="483">
        <v>193.75</v>
      </c>
      <c r="D291" s="554">
        <f t="shared" si="27"/>
        <v>3.0999999999999999E-3</v>
      </c>
      <c r="E291" s="459">
        <v>0.68</v>
      </c>
      <c r="F291" s="483">
        <v>50</v>
      </c>
      <c r="G291" s="168">
        <f t="shared" si="28"/>
        <v>2.375E-2</v>
      </c>
      <c r="H291" s="459">
        <v>0.55000000000000004</v>
      </c>
      <c r="I291" s="483">
        <v>4.75</v>
      </c>
      <c r="J291" s="168">
        <f t="shared" si="29"/>
        <v>0.58499999999999996</v>
      </c>
    </row>
    <row r="292" spans="1:10" x14ac:dyDescent="0.35">
      <c r="A292" s="23">
        <v>3781</v>
      </c>
      <c r="B292" s="459">
        <v>0.3</v>
      </c>
      <c r="C292" s="483">
        <v>168.75</v>
      </c>
      <c r="D292" s="554">
        <f t="shared" si="27"/>
        <v>2.5999999999999999E-3</v>
      </c>
      <c r="E292" s="459">
        <v>0.5</v>
      </c>
      <c r="F292" s="483">
        <v>53.75</v>
      </c>
      <c r="G292" s="168">
        <f t="shared" si="28"/>
        <v>1.925E-2</v>
      </c>
      <c r="H292" s="459">
        <v>0.71</v>
      </c>
      <c r="I292" s="483">
        <v>4</v>
      </c>
      <c r="J292" s="168">
        <f t="shared" si="29"/>
        <v>0.59833333333333327</v>
      </c>
    </row>
    <row r="293" spans="1:10" x14ac:dyDescent="0.35">
      <c r="A293" s="23">
        <v>3787</v>
      </c>
      <c r="B293" s="459">
        <v>0.43</v>
      </c>
      <c r="C293" s="483">
        <v>200</v>
      </c>
      <c r="D293" s="554">
        <f t="shared" si="27"/>
        <v>3.2500000000000003E-3</v>
      </c>
      <c r="E293" s="459">
        <v>1.1499999999999999</v>
      </c>
      <c r="F293" s="483">
        <v>48.75</v>
      </c>
      <c r="G293" s="168">
        <f t="shared" si="28"/>
        <v>3.5499999999999997E-2</v>
      </c>
      <c r="H293" s="459">
        <v>0.71</v>
      </c>
      <c r="I293" s="483">
        <v>4</v>
      </c>
      <c r="J293" s="168">
        <f t="shared" si="29"/>
        <v>0.59833333333333327</v>
      </c>
    </row>
    <row r="294" spans="1:10" x14ac:dyDescent="0.35">
      <c r="A294" s="23">
        <v>3791</v>
      </c>
      <c r="B294" s="459">
        <v>0.4</v>
      </c>
      <c r="C294" s="483">
        <v>193.75</v>
      </c>
      <c r="D294" s="554">
        <f t="shared" si="27"/>
        <v>3.0999999999999999E-3</v>
      </c>
      <c r="E294" s="459">
        <v>0.57999999999999996</v>
      </c>
      <c r="F294" s="483">
        <v>52.5</v>
      </c>
      <c r="G294" s="168">
        <f t="shared" si="28"/>
        <v>2.1249999999999998E-2</v>
      </c>
      <c r="H294" s="459">
        <v>-0.93</v>
      </c>
      <c r="I294" s="483">
        <v>7.5</v>
      </c>
      <c r="J294" s="168">
        <f t="shared" si="29"/>
        <v>0.46166666666666667</v>
      </c>
    </row>
    <row r="295" spans="1:10" x14ac:dyDescent="0.35">
      <c r="A295" s="23">
        <v>3793</v>
      </c>
      <c r="B295" s="459">
        <v>0.57999999999999996</v>
      </c>
      <c r="C295" s="483">
        <v>231.25</v>
      </c>
      <c r="D295" s="554">
        <f t="shared" si="27"/>
        <v>4.0000000000000001E-3</v>
      </c>
      <c r="E295" s="459">
        <v>0.68</v>
      </c>
      <c r="F295" s="483">
        <v>50</v>
      </c>
      <c r="G295" s="168">
        <f t="shared" si="28"/>
        <v>2.375E-2</v>
      </c>
      <c r="H295" s="459">
        <v>0.02</v>
      </c>
      <c r="I295" s="483">
        <v>6</v>
      </c>
      <c r="J295" s="168">
        <f t="shared" si="29"/>
        <v>0.54083333333333328</v>
      </c>
    </row>
    <row r="296" spans="1:10" x14ac:dyDescent="0.35">
      <c r="A296" s="23">
        <v>3793</v>
      </c>
      <c r="B296" s="459">
        <v>0.57999999999999996</v>
      </c>
      <c r="C296" s="483">
        <v>231.25</v>
      </c>
      <c r="D296" s="554">
        <f t="shared" si="27"/>
        <v>4.0000000000000001E-3</v>
      </c>
      <c r="E296" s="459">
        <v>0.68</v>
      </c>
      <c r="F296" s="483">
        <v>50</v>
      </c>
      <c r="G296" s="168">
        <f t="shared" si="28"/>
        <v>2.375E-2</v>
      </c>
      <c r="H296" s="459">
        <v>0.02</v>
      </c>
      <c r="I296" s="483">
        <v>6</v>
      </c>
      <c r="J296" s="168">
        <f t="shared" si="29"/>
        <v>0.54083333333333328</v>
      </c>
    </row>
    <row r="297" spans="1:10" x14ac:dyDescent="0.35">
      <c r="A297" s="23">
        <v>3826</v>
      </c>
      <c r="B297" s="459">
        <v>0.28000000000000003</v>
      </c>
      <c r="C297" s="483">
        <v>162.5</v>
      </c>
      <c r="D297" s="554">
        <f t="shared" si="27"/>
        <v>2.5000000000000001E-3</v>
      </c>
      <c r="E297" s="459">
        <v>0.68</v>
      </c>
      <c r="F297" s="483">
        <v>50</v>
      </c>
      <c r="G297" s="168">
        <f t="shared" si="28"/>
        <v>2.375E-2</v>
      </c>
      <c r="H297" s="459">
        <v>0.26</v>
      </c>
      <c r="I297" s="483">
        <v>5.25</v>
      </c>
      <c r="J297" s="168">
        <f t="shared" si="29"/>
        <v>0.56083333333333329</v>
      </c>
    </row>
    <row r="298" spans="1:10" x14ac:dyDescent="0.35">
      <c r="A298" s="23">
        <v>3919</v>
      </c>
      <c r="B298" s="459">
        <v>0.47</v>
      </c>
      <c r="C298" s="483">
        <v>206.25</v>
      </c>
      <c r="D298" s="554">
        <f t="shared" si="27"/>
        <v>3.4499999999999999E-3</v>
      </c>
      <c r="E298" s="459">
        <v>0.87</v>
      </c>
      <c r="F298" s="483">
        <v>50</v>
      </c>
      <c r="G298" s="168">
        <f t="shared" si="28"/>
        <v>2.8500000000000004E-2</v>
      </c>
      <c r="H298" s="459">
        <v>0.71</v>
      </c>
      <c r="I298" s="483">
        <v>4</v>
      </c>
      <c r="J298" s="168">
        <f t="shared" si="29"/>
        <v>0.59833333333333327</v>
      </c>
    </row>
    <row r="299" spans="1:10" x14ac:dyDescent="0.35">
      <c r="A299" s="23">
        <v>4002</v>
      </c>
      <c r="B299" s="459">
        <v>0.21</v>
      </c>
      <c r="C299" s="483">
        <v>143.75</v>
      </c>
      <c r="D299" s="554">
        <f t="shared" si="27"/>
        <v>2.15E-3</v>
      </c>
      <c r="E299" s="459">
        <v>0.68</v>
      </c>
      <c r="F299" s="483">
        <v>50</v>
      </c>
      <c r="G299" s="168">
        <f t="shared" si="28"/>
        <v>2.375E-2</v>
      </c>
      <c r="H299" s="459">
        <v>0.71</v>
      </c>
      <c r="I299" s="483">
        <v>4</v>
      </c>
      <c r="J299" s="168">
        <f t="shared" si="29"/>
        <v>0.59833333333333327</v>
      </c>
    </row>
    <row r="300" spans="1:10" x14ac:dyDescent="0.35">
      <c r="A300" s="23">
        <v>4004</v>
      </c>
      <c r="B300" s="459">
        <v>0.52</v>
      </c>
      <c r="C300" s="483">
        <v>218.75</v>
      </c>
      <c r="D300" s="554">
        <f t="shared" si="27"/>
        <v>3.7000000000000002E-3</v>
      </c>
      <c r="E300" s="459">
        <v>2.2999999999999998</v>
      </c>
      <c r="F300" s="483">
        <v>46.25</v>
      </c>
      <c r="G300" s="168">
        <f t="shared" si="28"/>
        <v>6.4250000000000002E-2</v>
      </c>
      <c r="H300" s="459">
        <v>0.71</v>
      </c>
      <c r="I300" s="483">
        <v>4</v>
      </c>
      <c r="J300" s="168">
        <f t="shared" si="29"/>
        <v>0.59833333333333327</v>
      </c>
    </row>
    <row r="301" spans="1:10" x14ac:dyDescent="0.35">
      <c r="A301" s="23">
        <v>4012</v>
      </c>
      <c r="B301" s="459">
        <v>0.43</v>
      </c>
      <c r="C301" s="483">
        <v>200</v>
      </c>
      <c r="D301" s="554">
        <f t="shared" si="27"/>
        <v>3.2500000000000003E-3</v>
      </c>
      <c r="E301" s="459">
        <v>1.92</v>
      </c>
      <c r="F301" s="483">
        <v>47.5</v>
      </c>
      <c r="G301" s="168">
        <f t="shared" si="28"/>
        <v>5.475E-2</v>
      </c>
      <c r="H301" s="459">
        <v>0.71</v>
      </c>
      <c r="I301" s="483">
        <v>4</v>
      </c>
      <c r="J301" s="168">
        <f t="shared" si="29"/>
        <v>0.59833333333333327</v>
      </c>
    </row>
    <row r="302" spans="1:10" x14ac:dyDescent="0.35">
      <c r="A302" s="23">
        <v>4027</v>
      </c>
      <c r="B302" s="459">
        <v>0.38</v>
      </c>
      <c r="C302" s="483">
        <v>187.5</v>
      </c>
      <c r="D302" s="554">
        <f t="shared" si="27"/>
        <v>3.0000000000000001E-3</v>
      </c>
      <c r="E302" s="459">
        <v>0.68</v>
      </c>
      <c r="F302" s="483">
        <v>50</v>
      </c>
      <c r="G302" s="168">
        <f t="shared" si="28"/>
        <v>2.375E-2</v>
      </c>
      <c r="H302" s="459">
        <v>0.71</v>
      </c>
      <c r="I302" s="483">
        <v>4</v>
      </c>
      <c r="J302" s="168">
        <f t="shared" si="29"/>
        <v>0.59833333333333327</v>
      </c>
    </row>
    <row r="303" spans="1:10" x14ac:dyDescent="0.35">
      <c r="A303" s="23">
        <v>4032</v>
      </c>
      <c r="B303" s="459">
        <v>0.43</v>
      </c>
      <c r="C303" s="483">
        <v>200</v>
      </c>
      <c r="D303" s="554">
        <f t="shared" si="27"/>
        <v>3.2500000000000003E-3</v>
      </c>
      <c r="E303" s="459">
        <v>0.45</v>
      </c>
      <c r="F303" s="483">
        <v>53.75</v>
      </c>
      <c r="G303" s="168">
        <f t="shared" si="28"/>
        <v>1.7999999999999999E-2</v>
      </c>
      <c r="H303" s="459">
        <v>0.71</v>
      </c>
      <c r="I303" s="483">
        <v>4</v>
      </c>
      <c r="J303" s="168">
        <f t="shared" si="29"/>
        <v>0.59833333333333327</v>
      </c>
    </row>
    <row r="304" spans="1:10" x14ac:dyDescent="0.35">
      <c r="A304" s="23">
        <v>4039</v>
      </c>
      <c r="B304" s="459">
        <v>0.49</v>
      </c>
      <c r="C304" s="483">
        <v>212.5</v>
      </c>
      <c r="D304" s="554">
        <f t="shared" si="27"/>
        <v>3.5499999999999998E-3</v>
      </c>
      <c r="E304" s="459">
        <v>0.68</v>
      </c>
      <c r="F304" s="483">
        <v>50</v>
      </c>
      <c r="G304" s="168">
        <f t="shared" si="28"/>
        <v>2.375E-2</v>
      </c>
      <c r="H304" s="459">
        <v>0.71</v>
      </c>
      <c r="I304" s="483">
        <v>4</v>
      </c>
      <c r="J304" s="168">
        <f t="shared" si="29"/>
        <v>0.59833333333333327</v>
      </c>
    </row>
    <row r="305" spans="1:10" x14ac:dyDescent="0.35">
      <c r="A305" s="23">
        <v>4071</v>
      </c>
      <c r="B305" s="459">
        <v>0.56000000000000005</v>
      </c>
      <c r="C305" s="483">
        <v>225</v>
      </c>
      <c r="D305" s="554">
        <f t="shared" si="27"/>
        <v>3.9000000000000003E-3</v>
      </c>
      <c r="E305" s="459">
        <v>0.96</v>
      </c>
      <c r="F305" s="483">
        <v>50</v>
      </c>
      <c r="G305" s="168">
        <f t="shared" si="28"/>
        <v>3.075E-2</v>
      </c>
      <c r="H305" s="459">
        <v>0.6</v>
      </c>
      <c r="I305" s="483">
        <v>4.75</v>
      </c>
      <c r="J305" s="168">
        <f t="shared" si="29"/>
        <v>0.58916666666666662</v>
      </c>
    </row>
    <row r="306" spans="1:10" x14ac:dyDescent="0.35">
      <c r="A306" s="23">
        <v>4093</v>
      </c>
      <c r="B306" s="459">
        <v>0.43</v>
      </c>
      <c r="C306" s="483">
        <v>200</v>
      </c>
      <c r="D306" s="554">
        <f t="shared" si="27"/>
        <v>3.2500000000000003E-3</v>
      </c>
      <c r="E306" s="459">
        <v>4.38</v>
      </c>
      <c r="F306" s="483">
        <v>40</v>
      </c>
      <c r="G306" s="168">
        <f t="shared" si="28"/>
        <v>0.11625000000000001</v>
      </c>
      <c r="H306" s="459">
        <v>3.38</v>
      </c>
      <c r="I306" s="483">
        <v>3.25</v>
      </c>
      <c r="J306" s="168">
        <f t="shared" si="29"/>
        <v>0.8208333333333333</v>
      </c>
    </row>
    <row r="307" spans="1:10" x14ac:dyDescent="0.35">
      <c r="A307" s="23">
        <v>4145</v>
      </c>
      <c r="B307" s="459">
        <v>0.43</v>
      </c>
      <c r="C307" s="483">
        <v>200</v>
      </c>
      <c r="D307" s="554">
        <f t="shared" si="27"/>
        <v>3.2500000000000003E-3</v>
      </c>
      <c r="E307" s="459">
        <v>0.68</v>
      </c>
      <c r="F307" s="483">
        <v>50</v>
      </c>
      <c r="G307" s="168">
        <f t="shared" si="28"/>
        <v>2.375E-2</v>
      </c>
      <c r="H307" s="459">
        <v>0.71</v>
      </c>
      <c r="I307" s="483">
        <v>4</v>
      </c>
      <c r="J307" s="168">
        <f t="shared" si="29"/>
        <v>0.59833333333333327</v>
      </c>
    </row>
    <row r="308" spans="1:10" x14ac:dyDescent="0.35">
      <c r="A308" s="23">
        <v>4148</v>
      </c>
      <c r="B308" s="459">
        <v>0.5</v>
      </c>
      <c r="C308" s="483">
        <v>212.5</v>
      </c>
      <c r="D308" s="554">
        <f t="shared" si="27"/>
        <v>3.5999999999999999E-3</v>
      </c>
      <c r="E308" s="459">
        <v>1.1499999999999999</v>
      </c>
      <c r="F308" s="483">
        <v>48.75</v>
      </c>
      <c r="G308" s="168">
        <f t="shared" si="28"/>
        <v>3.5499999999999997E-2</v>
      </c>
      <c r="H308" s="459">
        <v>0.71</v>
      </c>
      <c r="I308" s="483">
        <v>4</v>
      </c>
      <c r="J308" s="168">
        <f t="shared" si="29"/>
        <v>0.59833333333333327</v>
      </c>
    </row>
    <row r="309" spans="1:10" x14ac:dyDescent="0.35">
      <c r="A309" s="23">
        <v>4183</v>
      </c>
      <c r="B309" s="459">
        <v>0.2</v>
      </c>
      <c r="C309" s="483">
        <v>143.75</v>
      </c>
      <c r="D309" s="554">
        <f t="shared" si="27"/>
        <v>2.1000000000000003E-3</v>
      </c>
      <c r="E309" s="459">
        <v>0.68</v>
      </c>
      <c r="F309" s="483">
        <v>50</v>
      </c>
      <c r="G309" s="168">
        <f t="shared" si="28"/>
        <v>2.375E-2</v>
      </c>
      <c r="H309" s="459">
        <v>0.47</v>
      </c>
      <c r="I309" s="483">
        <v>4.75</v>
      </c>
      <c r="J309" s="168">
        <f t="shared" si="29"/>
        <v>0.57833333333333325</v>
      </c>
    </row>
    <row r="310" spans="1:10" x14ac:dyDescent="0.35">
      <c r="A310" s="23">
        <v>4207</v>
      </c>
      <c r="B310" s="459">
        <v>0.32</v>
      </c>
      <c r="C310" s="483">
        <v>168.75</v>
      </c>
      <c r="D310" s="554">
        <f t="shared" si="27"/>
        <v>2.7000000000000001E-3</v>
      </c>
      <c r="E310" s="459">
        <v>0.68</v>
      </c>
      <c r="F310" s="483">
        <v>50</v>
      </c>
      <c r="G310" s="168">
        <f t="shared" si="28"/>
        <v>2.375E-2</v>
      </c>
      <c r="H310" s="459">
        <v>0.71</v>
      </c>
      <c r="I310" s="483">
        <v>4</v>
      </c>
      <c r="J310" s="168">
        <f t="shared" si="29"/>
        <v>0.59833333333333327</v>
      </c>
    </row>
    <row r="311" spans="1:10" x14ac:dyDescent="0.35">
      <c r="A311" s="23">
        <v>4229</v>
      </c>
      <c r="B311" s="459">
        <v>0.43</v>
      </c>
      <c r="C311" s="483">
        <v>200</v>
      </c>
      <c r="D311" s="554">
        <f t="shared" si="27"/>
        <v>3.2500000000000003E-3</v>
      </c>
      <c r="E311" s="459">
        <v>0.68</v>
      </c>
      <c r="F311" s="483">
        <v>50</v>
      </c>
      <c r="G311" s="168">
        <f t="shared" si="28"/>
        <v>2.375E-2</v>
      </c>
      <c r="H311" s="459">
        <v>0.71</v>
      </c>
      <c r="I311" s="483">
        <v>4</v>
      </c>
      <c r="J311" s="168">
        <f t="shared" si="29"/>
        <v>0.59833333333333327</v>
      </c>
    </row>
    <row r="312" spans="1:10" x14ac:dyDescent="0.35">
      <c r="A312" s="23">
        <v>4231</v>
      </c>
      <c r="B312" s="459">
        <v>0.43</v>
      </c>
      <c r="C312" s="483">
        <v>200</v>
      </c>
      <c r="D312" s="554">
        <f t="shared" si="27"/>
        <v>3.2500000000000003E-3</v>
      </c>
      <c r="E312" s="459">
        <v>0.08</v>
      </c>
      <c r="F312" s="483">
        <v>60</v>
      </c>
      <c r="G312" s="168">
        <f t="shared" si="28"/>
        <v>8.7500000000000008E-3</v>
      </c>
      <c r="H312" s="459">
        <v>0.71</v>
      </c>
      <c r="I312" s="483">
        <v>4</v>
      </c>
      <c r="J312" s="168">
        <f t="shared" si="29"/>
        <v>0.59833333333333327</v>
      </c>
    </row>
    <row r="313" spans="1:10" x14ac:dyDescent="0.35">
      <c r="A313" s="23">
        <v>4234</v>
      </c>
      <c r="B313" s="459">
        <v>0.4</v>
      </c>
      <c r="C313" s="483">
        <v>193.75</v>
      </c>
      <c r="D313" s="554">
        <f t="shared" si="27"/>
        <v>3.0999999999999999E-3</v>
      </c>
      <c r="E313" s="459">
        <v>0.68</v>
      </c>
      <c r="F313" s="483">
        <v>50</v>
      </c>
      <c r="G313" s="168">
        <f t="shared" si="28"/>
        <v>2.375E-2</v>
      </c>
      <c r="H313" s="459">
        <v>0.71</v>
      </c>
      <c r="I313" s="483">
        <v>4</v>
      </c>
      <c r="J313" s="168">
        <f t="shared" si="29"/>
        <v>0.59833333333333327</v>
      </c>
    </row>
    <row r="314" spans="1:10" x14ac:dyDescent="0.35">
      <c r="A314" s="23">
        <v>4244</v>
      </c>
      <c r="B314" s="459">
        <v>0.46</v>
      </c>
      <c r="C314" s="483">
        <v>206.25</v>
      </c>
      <c r="D314" s="554">
        <f t="shared" si="27"/>
        <v>3.4000000000000002E-3</v>
      </c>
      <c r="E314" s="459">
        <v>1.64</v>
      </c>
      <c r="F314" s="483">
        <v>47.5</v>
      </c>
      <c r="G314" s="168">
        <f t="shared" si="28"/>
        <v>4.7750000000000001E-2</v>
      </c>
      <c r="H314" s="459">
        <v>0.86</v>
      </c>
      <c r="I314" s="483">
        <v>4</v>
      </c>
      <c r="J314" s="168">
        <f t="shared" si="29"/>
        <v>0.61083333333333334</v>
      </c>
    </row>
    <row r="315" spans="1:10" x14ac:dyDescent="0.35">
      <c r="A315" s="23">
        <v>4249</v>
      </c>
      <c r="B315" s="459">
        <v>0.52</v>
      </c>
      <c r="C315" s="483">
        <v>218.75</v>
      </c>
      <c r="D315" s="554">
        <f t="shared" si="27"/>
        <v>3.7000000000000002E-3</v>
      </c>
      <c r="E315" s="459">
        <v>0.68</v>
      </c>
      <c r="F315" s="483">
        <v>50</v>
      </c>
      <c r="G315" s="168">
        <f t="shared" si="28"/>
        <v>2.375E-2</v>
      </c>
      <c r="H315" s="459">
        <v>0.71</v>
      </c>
      <c r="I315" s="483">
        <v>4</v>
      </c>
      <c r="J315" s="168">
        <f t="shared" si="29"/>
        <v>0.59833333333333327</v>
      </c>
    </row>
    <row r="316" spans="1:10" x14ac:dyDescent="0.35">
      <c r="A316" s="23">
        <v>4252</v>
      </c>
      <c r="B316" s="459">
        <v>0.43</v>
      </c>
      <c r="C316" s="483">
        <v>200</v>
      </c>
      <c r="D316" s="554">
        <f t="shared" si="27"/>
        <v>3.2500000000000003E-3</v>
      </c>
      <c r="E316" s="459">
        <v>0.68</v>
      </c>
      <c r="F316" s="483">
        <v>50</v>
      </c>
      <c r="G316" s="168">
        <f t="shared" si="28"/>
        <v>2.375E-2</v>
      </c>
      <c r="H316" s="459">
        <v>0.71</v>
      </c>
      <c r="I316" s="483">
        <v>4</v>
      </c>
      <c r="J316" s="168">
        <f t="shared" si="29"/>
        <v>0.59833333333333327</v>
      </c>
    </row>
    <row r="317" spans="1:10" x14ac:dyDescent="0.35">
      <c r="A317" s="23">
        <v>4259</v>
      </c>
      <c r="B317" s="459">
        <v>0.65</v>
      </c>
      <c r="C317" s="483">
        <v>250</v>
      </c>
      <c r="D317" s="554">
        <f t="shared" si="27"/>
        <v>4.3499999999999997E-3</v>
      </c>
      <c r="E317" s="459">
        <v>1.06</v>
      </c>
      <c r="F317" s="483">
        <v>50</v>
      </c>
      <c r="G317" s="168">
        <f t="shared" si="28"/>
        <v>3.3250000000000002E-2</v>
      </c>
      <c r="H317" s="459">
        <v>0.11</v>
      </c>
      <c r="I317" s="483">
        <v>5.75</v>
      </c>
      <c r="J317" s="168">
        <f t="shared" si="29"/>
        <v>0.54833333333333334</v>
      </c>
    </row>
    <row r="318" spans="1:10" x14ac:dyDescent="0.35">
      <c r="A318" s="23">
        <v>4262</v>
      </c>
      <c r="B318" s="459">
        <v>0.31</v>
      </c>
      <c r="C318" s="483">
        <v>168.75</v>
      </c>
      <c r="D318" s="554">
        <f t="shared" si="27"/>
        <v>2.65E-3</v>
      </c>
      <c r="E318" s="459">
        <v>2.02</v>
      </c>
      <c r="F318" s="483">
        <v>47.5</v>
      </c>
      <c r="G318" s="168">
        <f t="shared" si="28"/>
        <v>5.7250000000000002E-2</v>
      </c>
      <c r="H318" s="459">
        <v>0.71</v>
      </c>
      <c r="I318" s="483">
        <v>4</v>
      </c>
      <c r="J318" s="168">
        <f t="shared" si="29"/>
        <v>0.59833333333333327</v>
      </c>
    </row>
    <row r="319" spans="1:10" x14ac:dyDescent="0.35">
      <c r="A319" s="23">
        <v>4265</v>
      </c>
      <c r="B319" s="459">
        <v>0.43</v>
      </c>
      <c r="C319" s="483">
        <v>200</v>
      </c>
      <c r="D319" s="554">
        <f t="shared" si="27"/>
        <v>3.2500000000000003E-3</v>
      </c>
      <c r="E319" s="459">
        <v>0.68</v>
      </c>
      <c r="F319" s="483">
        <v>50</v>
      </c>
      <c r="G319" s="168">
        <f t="shared" si="28"/>
        <v>2.375E-2</v>
      </c>
      <c r="H319" s="459">
        <v>0.71</v>
      </c>
      <c r="I319" s="483">
        <v>4</v>
      </c>
      <c r="J319" s="168">
        <f t="shared" si="29"/>
        <v>0.59833333333333327</v>
      </c>
    </row>
    <row r="320" spans="1:10" x14ac:dyDescent="0.35">
      <c r="A320" s="23">
        <v>4292</v>
      </c>
      <c r="B320" s="459">
        <v>0.27</v>
      </c>
      <c r="C320" s="483">
        <v>162.5</v>
      </c>
      <c r="D320" s="554">
        <f t="shared" si="27"/>
        <v>2.4499999999999999E-3</v>
      </c>
      <c r="E320" s="459">
        <v>1.81</v>
      </c>
      <c r="F320" s="483">
        <v>47.5</v>
      </c>
      <c r="G320" s="168">
        <f t="shared" si="28"/>
        <v>5.2000000000000005E-2</v>
      </c>
      <c r="H320" s="459">
        <v>0.67</v>
      </c>
      <c r="I320" s="483">
        <v>4.25</v>
      </c>
      <c r="J320" s="168">
        <f t="shared" si="29"/>
        <v>0.59499999999999997</v>
      </c>
    </row>
    <row r="321" spans="1:25" x14ac:dyDescent="0.35">
      <c r="A321" s="23">
        <v>4298</v>
      </c>
      <c r="B321" s="459">
        <v>0.43</v>
      </c>
      <c r="C321" s="483">
        <v>200</v>
      </c>
      <c r="D321" s="554">
        <f t="shared" si="27"/>
        <v>3.2500000000000003E-3</v>
      </c>
      <c r="E321" s="459">
        <v>1.81</v>
      </c>
      <c r="F321" s="483">
        <v>47.5</v>
      </c>
      <c r="G321" s="168">
        <f t="shared" si="28"/>
        <v>5.2000000000000005E-2</v>
      </c>
      <c r="H321" s="459">
        <v>1.9</v>
      </c>
      <c r="I321" s="483">
        <v>3.75</v>
      </c>
      <c r="J321" s="168">
        <f t="shared" si="29"/>
        <v>0.6974999999999999</v>
      </c>
    </row>
    <row r="322" spans="1:25" x14ac:dyDescent="0.35">
      <c r="A322" s="23">
        <v>4300</v>
      </c>
      <c r="B322" s="459">
        <v>0.43</v>
      </c>
      <c r="C322" s="483">
        <v>200</v>
      </c>
      <c r="D322" s="554">
        <f t="shared" si="27"/>
        <v>3.2500000000000003E-3</v>
      </c>
      <c r="E322" s="459">
        <v>2.58</v>
      </c>
      <c r="F322" s="483">
        <v>45</v>
      </c>
      <c r="G322" s="168">
        <f t="shared" si="28"/>
        <v>7.1250000000000008E-2</v>
      </c>
      <c r="H322" s="459">
        <v>-6.47</v>
      </c>
      <c r="I322" s="483">
        <v>14</v>
      </c>
      <c r="J322" s="168">
        <f t="shared" si="29"/>
        <v>0</v>
      </c>
    </row>
    <row r="323" spans="1:25" x14ac:dyDescent="0.35">
      <c r="A323" s="23">
        <v>4414</v>
      </c>
      <c r="B323" s="459">
        <v>0.34</v>
      </c>
      <c r="C323" s="483">
        <v>175</v>
      </c>
      <c r="D323" s="554">
        <f t="shared" si="27"/>
        <v>2.8000000000000004E-3</v>
      </c>
      <c r="E323" s="459">
        <v>0.68</v>
      </c>
      <c r="F323" s="483">
        <v>50</v>
      </c>
      <c r="G323" s="168">
        <f t="shared" si="28"/>
        <v>2.375E-2</v>
      </c>
      <c r="H323" s="459">
        <v>0.71</v>
      </c>
      <c r="I323" s="483">
        <v>4</v>
      </c>
      <c r="J323" s="168">
        <f t="shared" si="29"/>
        <v>0.59833333333333327</v>
      </c>
    </row>
    <row r="324" spans="1:25" x14ac:dyDescent="0.35">
      <c r="A324" s="23">
        <v>4425</v>
      </c>
      <c r="B324" s="459">
        <v>0.37</v>
      </c>
      <c r="C324" s="483">
        <v>181.25</v>
      </c>
      <c r="D324" s="554">
        <f t="shared" si="27"/>
        <v>2.9499999999999999E-3</v>
      </c>
      <c r="E324" s="459">
        <v>0.68</v>
      </c>
      <c r="F324" s="483">
        <v>50</v>
      </c>
      <c r="G324" s="168">
        <f t="shared" si="28"/>
        <v>2.375E-2</v>
      </c>
      <c r="H324" s="459">
        <v>0.71</v>
      </c>
      <c r="I324" s="483">
        <v>4</v>
      </c>
      <c r="J324" s="168">
        <f t="shared" si="29"/>
        <v>0.59833333333333327</v>
      </c>
    </row>
    <row r="325" spans="1:25" x14ac:dyDescent="0.35">
      <c r="A325" s="23">
        <v>4426</v>
      </c>
      <c r="B325" s="459">
        <v>0.43</v>
      </c>
      <c r="C325" s="483">
        <v>200</v>
      </c>
      <c r="D325" s="554">
        <f t="shared" si="27"/>
        <v>3.2500000000000003E-3</v>
      </c>
      <c r="E325" s="459">
        <v>2.0499999999999998</v>
      </c>
      <c r="F325" s="483">
        <v>47.5</v>
      </c>
      <c r="G325" s="168">
        <f t="shared" si="28"/>
        <v>5.7999999999999996E-2</v>
      </c>
      <c r="H325" s="459">
        <v>0.71</v>
      </c>
      <c r="I325" s="483">
        <v>4</v>
      </c>
      <c r="J325" s="168">
        <f t="shared" si="29"/>
        <v>0.59833333333333327</v>
      </c>
    </row>
    <row r="326" spans="1:25" x14ac:dyDescent="0.35">
      <c r="A326" s="23">
        <v>4430</v>
      </c>
      <c r="B326" s="459">
        <v>0.43</v>
      </c>
      <c r="C326" s="483">
        <v>200</v>
      </c>
      <c r="D326" s="554">
        <f t="shared" si="27"/>
        <v>3.2500000000000003E-3</v>
      </c>
      <c r="E326" s="459">
        <v>0.68</v>
      </c>
      <c r="F326" s="483">
        <v>50</v>
      </c>
      <c r="G326" s="168">
        <f t="shared" si="28"/>
        <v>2.375E-2</v>
      </c>
      <c r="H326" s="459">
        <v>0.71</v>
      </c>
      <c r="I326" s="483">
        <v>4</v>
      </c>
      <c r="J326" s="168">
        <f t="shared" si="29"/>
        <v>0.59833333333333327</v>
      </c>
    </row>
    <row r="327" spans="1:25" x14ac:dyDescent="0.35">
      <c r="A327" s="23">
        <v>4449</v>
      </c>
      <c r="B327" s="459">
        <v>0.46</v>
      </c>
      <c r="C327" s="483">
        <v>206.25</v>
      </c>
      <c r="D327" s="554">
        <f t="shared" si="27"/>
        <v>3.4000000000000002E-3</v>
      </c>
      <c r="E327" s="459">
        <v>0.68</v>
      </c>
      <c r="F327" s="483">
        <v>50</v>
      </c>
      <c r="G327" s="168">
        <f t="shared" si="28"/>
        <v>2.375E-2</v>
      </c>
      <c r="H327" s="459">
        <v>0.71</v>
      </c>
      <c r="I327" s="483">
        <v>4</v>
      </c>
      <c r="J327" s="168">
        <f t="shared" si="29"/>
        <v>0.59833333333333327</v>
      </c>
    </row>
    <row r="328" spans="1:25" x14ac:dyDescent="0.35">
      <c r="A328" s="23">
        <v>4450</v>
      </c>
      <c r="B328" s="459">
        <v>0.43</v>
      </c>
      <c r="C328" s="483">
        <v>200</v>
      </c>
      <c r="D328" s="554">
        <f t="shared" si="27"/>
        <v>3.2500000000000003E-3</v>
      </c>
      <c r="E328" s="459">
        <v>1.94</v>
      </c>
      <c r="F328" s="483">
        <v>47.5</v>
      </c>
      <c r="G328" s="168">
        <f t="shared" si="28"/>
        <v>5.525E-2</v>
      </c>
      <c r="H328" s="459">
        <v>2.87</v>
      </c>
      <c r="I328" s="483">
        <v>3.25</v>
      </c>
      <c r="J328" s="168">
        <f t="shared" si="29"/>
        <v>0.77833333333333332</v>
      </c>
    </row>
    <row r="329" spans="1:25" x14ac:dyDescent="0.35">
      <c r="A329" s="23">
        <v>4457</v>
      </c>
      <c r="B329" s="459">
        <v>0.43</v>
      </c>
      <c r="C329" s="483">
        <v>200</v>
      </c>
      <c r="D329" s="554">
        <f t="shared" si="27"/>
        <v>3.2500000000000003E-3</v>
      </c>
      <c r="E329" s="459">
        <v>1.67</v>
      </c>
      <c r="F329" s="483">
        <v>47.5</v>
      </c>
      <c r="G329" s="168">
        <f t="shared" si="28"/>
        <v>4.8500000000000001E-2</v>
      </c>
      <c r="H329" s="459">
        <v>2.39</v>
      </c>
      <c r="I329" s="483">
        <v>3.75</v>
      </c>
      <c r="J329" s="168">
        <f t="shared" si="29"/>
        <v>0.73833333333333329</v>
      </c>
    </row>
    <row r="330" spans="1:25" x14ac:dyDescent="0.35">
      <c r="A330" s="23">
        <v>4474</v>
      </c>
      <c r="B330" s="459">
        <v>0.36</v>
      </c>
      <c r="C330" s="483">
        <v>181.25</v>
      </c>
      <c r="D330" s="554">
        <f t="shared" si="27"/>
        <v>2.8999999999999998E-3</v>
      </c>
      <c r="E330" s="459">
        <v>0.68</v>
      </c>
      <c r="F330" s="483">
        <v>50</v>
      </c>
      <c r="G330" s="168">
        <f t="shared" si="28"/>
        <v>2.375E-2</v>
      </c>
      <c r="H330" s="459">
        <v>0.71</v>
      </c>
      <c r="I330" s="483">
        <v>4</v>
      </c>
      <c r="J330" s="168">
        <f t="shared" si="29"/>
        <v>0.59833333333333327</v>
      </c>
    </row>
    <row r="331" spans="1:25" x14ac:dyDescent="0.35">
      <c r="A331" s="23">
        <v>4477</v>
      </c>
      <c r="B331" s="459">
        <v>0.43</v>
      </c>
      <c r="C331" s="483">
        <v>200</v>
      </c>
      <c r="D331" s="554">
        <f t="shared" si="27"/>
        <v>3.2500000000000003E-3</v>
      </c>
      <c r="E331" s="459">
        <v>0.59</v>
      </c>
      <c r="F331" s="483">
        <v>52.5</v>
      </c>
      <c r="G331" s="168">
        <f t="shared" si="28"/>
        <v>2.1499999999999998E-2</v>
      </c>
      <c r="H331" s="459">
        <v>1.9</v>
      </c>
      <c r="I331" s="483">
        <v>3.75</v>
      </c>
      <c r="J331" s="168">
        <f t="shared" si="29"/>
        <v>0.6974999999999999</v>
      </c>
    </row>
    <row r="332" spans="1:25" x14ac:dyDescent="0.35">
      <c r="A332" s="23">
        <v>4478</v>
      </c>
      <c r="B332" s="459">
        <v>0.43</v>
      </c>
      <c r="C332" s="483">
        <v>200</v>
      </c>
      <c r="D332" s="554">
        <f t="shared" si="27"/>
        <v>3.2500000000000003E-3</v>
      </c>
      <c r="E332" s="459">
        <v>0.68</v>
      </c>
      <c r="F332" s="483">
        <v>50</v>
      </c>
      <c r="G332" s="168">
        <f t="shared" si="28"/>
        <v>2.375E-2</v>
      </c>
      <c r="H332" s="459">
        <v>0.71</v>
      </c>
      <c r="I332" s="483">
        <v>4</v>
      </c>
      <c r="J332" s="168">
        <f t="shared" si="29"/>
        <v>0.59833333333333327</v>
      </c>
    </row>
    <row r="333" spans="1:25" x14ac:dyDescent="0.35">
      <c r="A333" s="23">
        <v>4479</v>
      </c>
      <c r="B333" s="459">
        <v>0.43</v>
      </c>
      <c r="C333" s="483">
        <v>200</v>
      </c>
      <c r="D333" s="554">
        <f t="shared" si="27"/>
        <v>3.2500000000000003E-3</v>
      </c>
      <c r="E333" s="459">
        <v>1.69</v>
      </c>
      <c r="F333" s="483">
        <v>47.5</v>
      </c>
      <c r="G333" s="168">
        <f t="shared" si="28"/>
        <v>4.9000000000000002E-2</v>
      </c>
      <c r="H333" s="459">
        <v>1.88</v>
      </c>
      <c r="I333" s="483">
        <v>3.75</v>
      </c>
      <c r="J333" s="168">
        <f t="shared" si="29"/>
        <v>0.6958333333333333</v>
      </c>
    </row>
    <row r="334" spans="1:25" x14ac:dyDescent="0.35">
      <c r="A334" s="23">
        <v>4481</v>
      </c>
      <c r="B334" s="459">
        <v>0.36</v>
      </c>
      <c r="C334" s="483">
        <v>181.25</v>
      </c>
      <c r="D334" s="554">
        <f t="shared" si="27"/>
        <v>2.8999999999999998E-3</v>
      </c>
      <c r="E334" s="459">
        <v>0.34</v>
      </c>
      <c r="F334" s="483">
        <v>55</v>
      </c>
      <c r="G334" s="168">
        <f t="shared" si="28"/>
        <v>1.5250000000000003E-2</v>
      </c>
      <c r="H334" s="459">
        <v>0.71</v>
      </c>
      <c r="I334" s="483">
        <v>4</v>
      </c>
      <c r="J334" s="168">
        <f t="shared" si="29"/>
        <v>0.59833333333333327</v>
      </c>
    </row>
    <row r="335" spans="1:25" x14ac:dyDescent="0.35">
      <c r="A335" s="23">
        <v>4482</v>
      </c>
      <c r="B335" s="459">
        <v>0.43</v>
      </c>
      <c r="C335" s="483">
        <v>200</v>
      </c>
      <c r="D335" s="554">
        <f t="shared" si="27"/>
        <v>3.2500000000000003E-3</v>
      </c>
      <c r="E335" s="459">
        <v>1.56</v>
      </c>
      <c r="F335" s="483">
        <v>48.75</v>
      </c>
      <c r="G335" s="168">
        <f t="shared" si="28"/>
        <v>4.5749999999999999E-2</v>
      </c>
      <c r="H335" s="459">
        <v>0.71</v>
      </c>
      <c r="I335" s="483">
        <v>4</v>
      </c>
      <c r="J335" s="168">
        <f t="shared" si="29"/>
        <v>0.59833333333333327</v>
      </c>
    </row>
    <row r="336" spans="1:25" x14ac:dyDescent="0.35">
      <c r="A336" s="4" t="s">
        <v>722</v>
      </c>
      <c r="B336" s="39"/>
      <c r="C336" s="39"/>
      <c r="D336" s="544">
        <f>AVERAGE(D17:D335)</f>
        <v>3.1269592476488983E-3</v>
      </c>
      <c r="E336" s="38"/>
      <c r="F336" s="38"/>
      <c r="G336" s="545">
        <f>AVERAGE(G17:G335)</f>
        <v>3.5471003134796175E-2</v>
      </c>
      <c r="H336" s="39"/>
      <c r="I336" s="546"/>
      <c r="J336" s="547">
        <f>AVERAGE(J17:J335)</f>
        <v>0.59172936259143039</v>
      </c>
      <c r="P336" s="11"/>
      <c r="Q336" s="39"/>
      <c r="R336" s="39"/>
      <c r="S336" s="544">
        <f>AVERAGE(S17:S335)</f>
        <v>3.1280575539568306E-3</v>
      </c>
      <c r="T336" s="548"/>
      <c r="U336" s="548"/>
      <c r="V336" s="544">
        <f>AVERAGE(V17:V335)</f>
        <v>0.13713257965056522</v>
      </c>
      <c r="W336" s="548"/>
      <c r="X336" s="548"/>
      <c r="Y336" s="544">
        <f>AVERAGE(Y17:Y335)</f>
        <v>0.55057553956834482</v>
      </c>
    </row>
    <row r="337" spans="1:42" x14ac:dyDescent="0.35">
      <c r="A337" s="11"/>
      <c r="B337" s="39"/>
      <c r="C337" s="39"/>
      <c r="D337" s="768">
        <f>1.96*(STDEV(D17:D335)/SQRT(COUNT(D17:D335)-1))/D336</f>
        <v>2.6154542709382032E-2</v>
      </c>
      <c r="E337" s="484"/>
      <c r="F337" s="484"/>
      <c r="G337" s="768">
        <f>1.96*(STDEV(G17:G335)/SQRT(COUNT(G17:G335)-1))/G336</f>
        <v>8.0308870930148074E-2</v>
      </c>
      <c r="H337" s="455"/>
      <c r="I337" s="455"/>
      <c r="J337" s="768">
        <f>1.96*(STDEV(J17:J335)/SQRT(COUNT(J17:J335)-1))/J336</f>
        <v>2.4772380105769185E-2</v>
      </c>
      <c r="P337" s="11"/>
      <c r="Q337" s="11"/>
      <c r="R337" s="11"/>
      <c r="S337" s="768">
        <f>1.96*(STDEV(S17:S335)/SQRT(COUNT(S17:S335)-1))/S336</f>
        <v>4.6597097071819991E-2</v>
      </c>
      <c r="T337" s="11"/>
      <c r="U337" s="11"/>
      <c r="V337" s="768">
        <f>1.96*(STDEV(V17:V335)/SQRT(COUNT(V17:V335)-1))/V336</f>
        <v>0.14148702579523303</v>
      </c>
      <c r="W337" s="11"/>
      <c r="X337" s="11"/>
      <c r="Y337" s="768">
        <f>1.96*(STDEV(Y17:Y335)/SQRT(COUNT(Y17:Y335)-1))/Y336</f>
        <v>4.3295757490400058E-2</v>
      </c>
    </row>
    <row r="340" spans="1:42" x14ac:dyDescent="0.35">
      <c r="A340" s="482" t="s">
        <v>723</v>
      </c>
    </row>
    <row r="343" spans="1:42" s="7" customFormat="1" x14ac:dyDescent="0.35">
      <c r="A343" s="50"/>
      <c r="B343" s="50"/>
      <c r="C343" s="50"/>
      <c r="D343" s="52"/>
      <c r="E343" s="52"/>
      <c r="F343" s="52"/>
      <c r="G343" s="52"/>
      <c r="H343" s="52"/>
      <c r="I343" s="52"/>
      <c r="J343" s="84"/>
      <c r="K343" s="52"/>
      <c r="L343" s="52"/>
      <c r="M343" s="52"/>
      <c r="N343" s="52"/>
      <c r="O343" s="52"/>
      <c r="P343" s="52"/>
      <c r="Q343" s="52"/>
      <c r="R343" s="52"/>
      <c r="S343" s="84"/>
      <c r="T343" s="52"/>
      <c r="U343" s="52"/>
      <c r="V343" s="52"/>
      <c r="W343" s="52"/>
      <c r="X343" s="52"/>
      <c r="Y343" s="84"/>
      <c r="Z343" s="52"/>
      <c r="AA343" s="52"/>
      <c r="AB343" s="52"/>
      <c r="AC343" s="52"/>
      <c r="AD343" s="52"/>
      <c r="AE343" s="52"/>
      <c r="AF343" s="52"/>
      <c r="AG343" s="52"/>
    </row>
    <row r="344" spans="1:42" s="7" customFormat="1" ht="19.5" x14ac:dyDescent="0.45">
      <c r="A344" s="85" t="s">
        <v>341</v>
      </c>
      <c r="B344" s="50"/>
      <c r="C344" s="50"/>
      <c r="D344" s="185"/>
      <c r="E344" s="98"/>
      <c r="F344" s="98"/>
      <c r="G344" s="98"/>
      <c r="H344" s="98"/>
      <c r="I344" s="98"/>
      <c r="J344" s="186"/>
      <c r="K344" s="52"/>
      <c r="L344" s="52"/>
      <c r="M344" s="52"/>
      <c r="N344" s="52"/>
      <c r="O344" s="52"/>
      <c r="P344" s="52"/>
      <c r="Q344" s="52"/>
      <c r="R344" s="52"/>
      <c r="S344" s="84"/>
      <c r="T344" s="52"/>
      <c r="U344" s="52"/>
      <c r="V344" s="52"/>
      <c r="W344" s="52"/>
      <c r="X344" s="52"/>
      <c r="Y344" s="186"/>
      <c r="Z344" s="52"/>
      <c r="AA344" s="52"/>
      <c r="AB344" s="52"/>
      <c r="AC344" s="52"/>
      <c r="AD344" s="52"/>
      <c r="AE344" s="52"/>
      <c r="AF344" s="52"/>
      <c r="AG344" s="52"/>
    </row>
    <row r="345" spans="1:42" s="7" customFormat="1" ht="15.75" customHeight="1" thickBot="1" x14ac:dyDescent="0.4">
      <c r="A345" s="50"/>
      <c r="B345" s="52"/>
      <c r="C345" s="188"/>
      <c r="D345" s="98" t="s">
        <v>342</v>
      </c>
      <c r="E345" s="148"/>
      <c r="F345" s="148"/>
      <c r="G345" s="98" t="s">
        <v>343</v>
      </c>
      <c r="H345" s="98"/>
      <c r="I345" s="99"/>
      <c r="J345" s="1007" t="s">
        <v>724</v>
      </c>
      <c r="K345" s="1006" t="s">
        <v>725</v>
      </c>
      <c r="L345" s="88"/>
      <c r="M345" s="88"/>
      <c r="N345" s="88"/>
      <c r="O345" s="88"/>
      <c r="P345" s="1006" t="s">
        <v>346</v>
      </c>
      <c r="Q345" s="50"/>
      <c r="R345" s="50"/>
      <c r="S345" s="98" t="s">
        <v>342</v>
      </c>
      <c r="T345" s="148"/>
      <c r="U345" s="148"/>
      <c r="V345" s="98" t="s">
        <v>343</v>
      </c>
      <c r="W345" s="98"/>
      <c r="X345" s="99"/>
      <c r="Y345" s="1007" t="s">
        <v>724</v>
      </c>
      <c r="Z345" s="1006" t="s">
        <v>725</v>
      </c>
      <c r="AA345" s="88"/>
      <c r="AB345" s="88"/>
      <c r="AC345" s="88"/>
      <c r="AD345" s="88"/>
      <c r="AE345" s="1006" t="s">
        <v>346</v>
      </c>
      <c r="AF345" s="50"/>
      <c r="AG345" s="50"/>
    </row>
    <row r="346" spans="1:42" s="53" customFormat="1" ht="30" customHeight="1" x14ac:dyDescent="0.35">
      <c r="A346" s="54" t="s">
        <v>347</v>
      </c>
      <c r="B346" s="54" t="s">
        <v>348</v>
      </c>
      <c r="C346" s="54" t="s">
        <v>123</v>
      </c>
      <c r="D346" s="88" t="s">
        <v>350</v>
      </c>
      <c r="E346" s="88" t="s">
        <v>351</v>
      </c>
      <c r="F346" s="88" t="s">
        <v>352</v>
      </c>
      <c r="G346" s="88" t="s">
        <v>353</v>
      </c>
      <c r="H346" s="88" t="s">
        <v>354</v>
      </c>
      <c r="I346" s="88" t="s">
        <v>355</v>
      </c>
      <c r="J346" s="1007"/>
      <c r="K346" s="1006"/>
      <c r="L346" s="598" t="s">
        <v>356</v>
      </c>
      <c r="M346" s="598" t="s">
        <v>357</v>
      </c>
      <c r="N346" s="598" t="s">
        <v>358</v>
      </c>
      <c r="O346" s="598" t="s">
        <v>359</v>
      </c>
      <c r="P346" s="1006"/>
      <c r="Q346" s="189" t="s">
        <v>124</v>
      </c>
      <c r="R346" s="268" t="s">
        <v>360</v>
      </c>
      <c r="S346" s="88" t="s">
        <v>350</v>
      </c>
      <c r="T346" s="88" t="s">
        <v>351</v>
      </c>
      <c r="U346" s="88" t="s">
        <v>352</v>
      </c>
      <c r="V346" s="88" t="s">
        <v>353</v>
      </c>
      <c r="W346" s="88" t="s">
        <v>354</v>
      </c>
      <c r="X346" s="88" t="s">
        <v>355</v>
      </c>
      <c r="Y346" s="1007"/>
      <c r="Z346" s="1006"/>
      <c r="AA346" s="598" t="s">
        <v>356</v>
      </c>
      <c r="AB346" s="598" t="s">
        <v>357</v>
      </c>
      <c r="AC346" s="598" t="s">
        <v>358</v>
      </c>
      <c r="AD346" s="598" t="s">
        <v>359</v>
      </c>
      <c r="AE346" s="1006"/>
      <c r="AF346" s="189" t="s">
        <v>124</v>
      </c>
      <c r="AG346" s="268" t="s">
        <v>360</v>
      </c>
    </row>
    <row r="347" spans="1:42" s="133" customFormat="1" x14ac:dyDescent="0.35">
      <c r="A347" s="7" t="s">
        <v>726</v>
      </c>
      <c r="B347" s="7" t="s">
        <v>153</v>
      </c>
      <c r="C347" s="7" t="s">
        <v>154</v>
      </c>
      <c r="D347" s="190">
        <f ca="1">INDEX(INDIRECT("SSW_WTPCore2_"&amp;$C347&amp;"_Levels"),1,MATCH(D$346,WTPCore2_AttLevels,0))</f>
        <v>0</v>
      </c>
      <c r="E347" s="190"/>
      <c r="F347" s="190">
        <f ca="1">INDEX(INDIRECT("SSW_WTPCore2_"&amp;$C347&amp;"_Levels"),1,MATCH(F$346,WTPCore2_AttLevels,0))</f>
        <v>50</v>
      </c>
      <c r="G347" s="89">
        <f ca="1">INDEX(INDIRECT("SSW_WTPCore2_"&amp;$C347&amp;"_LevelValues"),1,MATCH("S1 MEAN",WTPCore2_LevelValues,0))</f>
        <v>0.31132700138064179</v>
      </c>
      <c r="H347" s="89">
        <f ca="1">INDEX(INDIRECT("SSW_WTPCore2_"&amp;$C347&amp;"_LevelValues"),1,MATCH("S2 MEAN",WTPCore2_LevelValues,0))</f>
        <v>0.13284027031511708</v>
      </c>
      <c r="I347" s="89">
        <f ca="1">SUM(G347:H347)</f>
        <v>0.44416727169575887</v>
      </c>
      <c r="J347" s="436">
        <f>D336</f>
        <v>3.1269592476488983E-3</v>
      </c>
      <c r="K347" s="266">
        <f ca="1">-J347*(D347-F347)</f>
        <v>0.15634796238244492</v>
      </c>
      <c r="L347" s="605">
        <f t="shared" ref="L347:L349" ca="1" si="30">INDEX(INDIRECT("SSW_WTPCore_DCE_"&amp;$C347&amp;"_UnitValues"),MATCH("COMBINED-HH",WTPCore_Group,0),MATCH("MEAN",LMH,0))</f>
        <v>10249.302999999998</v>
      </c>
      <c r="M347" s="429">
        <f ca="1">-L347*(D347-F347)/HHProps_SSW</f>
        <v>0.94999999999999984</v>
      </c>
      <c r="N347" s="245">
        <f ca="1">INDEX(INDIRECT("SSW_WTPCore2_"&amp;$C347&amp;"_UnitValues"),1,MATCH("MEAN",LMH,0))</f>
        <v>4792.0052108349018</v>
      </c>
      <c r="O347" s="429">
        <f ca="1">-N347*(D347-F347)/HHProps_SSW</f>
        <v>0.44416727169575887</v>
      </c>
      <c r="P347" s="10">
        <f ca="1">K347*N$351/K$350</f>
        <v>0.12905958478544405</v>
      </c>
      <c r="Q347" s="23" t="s">
        <v>155</v>
      </c>
      <c r="R347" s="494">
        <f ca="1">-(P347*HHProps_SSW)/((D347-F347))</f>
        <v>1392.3903047581116</v>
      </c>
      <c r="S347" s="190">
        <f ca="1">INDEX(INDIRECT("CAM_WTPCore2_"&amp;$C347&amp;"_Levels"),1,MATCH(S$346,WTPCore2_AttLevels,0))</f>
        <v>0</v>
      </c>
      <c r="T347" s="190"/>
      <c r="U347" s="190">
        <f ca="1">INDEX(INDIRECT("CAM_WTPCore2_"&amp;$C347&amp;"_Levels"),1,MATCH(U$346,WTPCore2_AttLevels,0))</f>
        <v>9</v>
      </c>
      <c r="V347" s="89">
        <f ca="1">INDEX(INDIRECT("CAM_WTPCore2_"&amp;$C347&amp;"_LevelValues"),1,MATCH("S1 MEAN",WTPCore2_LevelValues,0))</f>
        <v>0.16524275196632074</v>
      </c>
      <c r="W347" s="89">
        <f ca="1">INDEX(INDIRECT("CAM_WTPCore2_"&amp;$C347&amp;"_LevelValues"),1,MATCH("S2 MEAN",WTPCore2_LevelValues,0))</f>
        <v>2.2165878650139109E-2</v>
      </c>
      <c r="X347" s="89">
        <f ca="1">SUM(V347:W347)</f>
        <v>0.18740863061645985</v>
      </c>
      <c r="Y347" s="436">
        <f>S336</f>
        <v>3.1280575539568306E-3</v>
      </c>
      <c r="Z347" s="266">
        <f ca="1">-Y347*(S347-U347)</f>
        <v>2.8152517985611476E-2</v>
      </c>
      <c r="AA347" s="429">
        <f ca="1">INDEX(INDIRECT("CAM_WTPCore_"&amp;$C347&amp;"_UnitValues"),MATCH("COMBINED-HH",WTPCore_Group,0),MATCH("MEAN",LMH,0))</f>
        <v>15354.666000000001</v>
      </c>
      <c r="AB347" s="429">
        <f ca="1">-AA347*(S347-U347)/HHProps_CAM</f>
        <v>1.0170000000000001</v>
      </c>
      <c r="AC347" s="89">
        <f t="shared" ref="AC347:AC349" ca="1" si="31">INDEX(INDIRECT("CAM_WTPCore2_"&amp;$C347&amp;"_UnitValues"),1,MATCH("MEAN",LMH,0))</f>
        <v>2829.4955050473109</v>
      </c>
      <c r="AD347" s="429">
        <f ca="1">-AC347*(S347-U347)/HHProps_CAM</f>
        <v>0.18740863061645985</v>
      </c>
      <c r="AE347" s="492">
        <f ca="1">Z347*AD$351/Z$350</f>
        <v>9.1639455317766655E-2</v>
      </c>
      <c r="AF347" s="23" t="s">
        <v>155</v>
      </c>
      <c r="AG347" s="494">
        <f ca="1">-(AE347*HHProps_CAM)/((S347-U347))</f>
        <v>1383.572496387641</v>
      </c>
    </row>
    <row r="348" spans="1:42" s="133" customFormat="1" x14ac:dyDescent="0.35">
      <c r="A348" s="7" t="s">
        <v>727</v>
      </c>
      <c r="B348" s="7" t="s">
        <v>40</v>
      </c>
      <c r="C348" s="7" t="s">
        <v>40</v>
      </c>
      <c r="D348" s="190">
        <f ca="1">INDEX(INDIRECT("SSW_WTPCore2_"&amp;$C348&amp;"_Levels"),1,MATCH(D$346,WTPCore2_AttLevels,0))</f>
        <v>70.5</v>
      </c>
      <c r="E348" s="147"/>
      <c r="F348" s="147">
        <f ca="1">INDEX(INDIRECT("SSW_WTPCore2_"&amp;$C348&amp;"_Levels"),1,MATCH(F$346,WTPCore2_AttLevels,0))</f>
        <v>35.25</v>
      </c>
      <c r="G348" s="89">
        <f ca="1">INDEX(INDIRECT("SSW_WTPCore2_"&amp;$C348&amp;"_LevelValues"),1,MATCH("S1 MEAN",WTPCore2_LevelValues,0))</f>
        <v>1.2301339708448666</v>
      </c>
      <c r="H348" s="89">
        <f ca="1">INDEX(INDIRECT("SSW_WTPCore2_"&amp;$C348&amp;"_LevelValues"),1,MATCH("S2 MEAN",WTPCore2_LevelValues,0))</f>
        <v>0.44133293088857806</v>
      </c>
      <c r="I348" s="89">
        <f ca="1">SUM(G348:H348)</f>
        <v>1.6714669017334447</v>
      </c>
      <c r="J348" s="436">
        <f>G336</f>
        <v>3.5471003134796175E-2</v>
      </c>
      <c r="K348" s="266">
        <f ca="1">J348*(D348-F348)</f>
        <v>1.2503528605015652</v>
      </c>
      <c r="L348" s="605">
        <f t="shared" ca="1" si="30"/>
        <v>30606.35460992908</v>
      </c>
      <c r="M348" s="429">
        <f ca="1">L348*(D348-F348)/HHProps_SSW</f>
        <v>2</v>
      </c>
      <c r="N348" s="245">
        <f t="shared" ref="N348:N349" ca="1" si="32">INDEX(INDIRECT("SSW_WTPCore2_"&amp;$C348&amp;"_UnitValues"),1,MATCH("MEAN",LMH,0))</f>
        <v>25578.754356606645</v>
      </c>
      <c r="O348" s="429">
        <f ca="1">N348*($D348-$F348)/HHProps_SSW</f>
        <v>1.6714669017334447</v>
      </c>
      <c r="P348" s="10">
        <f t="shared" ref="P348:P349" ca="1" si="33">K348*N$351/K$350</f>
        <v>1.0321210366457787</v>
      </c>
      <c r="Q348" s="23" t="s">
        <v>728</v>
      </c>
      <c r="R348" s="494">
        <f ca="1">(P348*HHProps_SSW)/((D348-F348))</f>
        <v>15794.731223974153</v>
      </c>
      <c r="S348" s="190">
        <f ca="1">INDEX(INDIRECT("CAM_WTPCore2_"&amp;$C348&amp;"_Levels"),1,MATCH(S$346,WTPCore2_AttLevels,0))</f>
        <v>13.5</v>
      </c>
      <c r="T348" s="147"/>
      <c r="U348" s="190">
        <f ca="1">INDEX(INDIRECT("CAM_WTPCore2_"&amp;$C348&amp;"_Levels"),1,MATCH(U$346,WTPCore2_AttLevels,0))</f>
        <v>6.75</v>
      </c>
      <c r="V348" s="89">
        <f ca="1">INDEX(INDIRECT("CAM_WTPCore2_"&amp;$C348&amp;"_LevelValues"),1,MATCH("S1 MEAN",WTPCore2_LevelValues,0))</f>
        <v>3.1349723048319831</v>
      </c>
      <c r="W348" s="89">
        <f ca="1">INDEX(INDIRECT("CAM_WTPCore2_"&amp;$C348&amp;"_LevelValues"),1,MATCH("S2 MEAN",WTPCore2_LevelValues,0))</f>
        <v>5.1405797633106154E-3</v>
      </c>
      <c r="X348" s="89">
        <f ca="1">SUM(V348:W348)</f>
        <v>3.1401128845952937</v>
      </c>
      <c r="Y348" s="147">
        <f>V336</f>
        <v>0.13713257965056522</v>
      </c>
      <c r="Z348" s="266">
        <f ca="1">Y348*(S348-U348)</f>
        <v>0.92564491264131521</v>
      </c>
      <c r="AA348" s="429">
        <f t="shared" ref="AA348:AA349" ca="1" si="34">INDEX(INDIRECT("CAM_WTPCore_"&amp;$C348&amp;"_UnitValues"),MATCH("COMBINED-HH",WTPCore_Group,0),MATCH("MEAN",LMH,0))</f>
        <v>145343.41333333333</v>
      </c>
      <c r="AB348" s="429">
        <f ca="1">AA348*($S348-$U348)/HHProps_CAM</f>
        <v>7.2200000000000006</v>
      </c>
      <c r="AC348" s="89">
        <f t="shared" ca="1" si="31"/>
        <v>63212.565775492993</v>
      </c>
      <c r="AD348" s="429">
        <f ca="1">AC348*($S348-$U348)/HHProps_CAM</f>
        <v>3.1401128845952937</v>
      </c>
      <c r="AE348" s="492">
        <f t="shared" ref="AE348:AE349" ca="1" si="35">Z348*AD$351/Z$350</f>
        <v>3.0130731345404165</v>
      </c>
      <c r="AF348" s="23" t="s">
        <v>728</v>
      </c>
      <c r="AG348" s="494">
        <f ca="1">(AE348*HHProps_CAM)/((S348-U348))</f>
        <v>60655.170913721609</v>
      </c>
    </row>
    <row r="349" spans="1:42" s="133" customFormat="1" ht="15" thickBot="1" x14ac:dyDescent="0.4">
      <c r="A349" s="7" t="s">
        <v>729</v>
      </c>
      <c r="B349" s="7" t="s">
        <v>137</v>
      </c>
      <c r="C349" s="7" t="s">
        <v>138</v>
      </c>
      <c r="D349" s="423">
        <f ca="1">INDEX(INDIRECT("SSW_WTPCore2_"&amp;$C349&amp;"_Levels"),1,MATCH(D$346,WTPCore2_AttLevels,0))</f>
        <v>1.4285714285714285E-2</v>
      </c>
      <c r="E349" s="36"/>
      <c r="F349" s="423">
        <f ca="1">INDEX(INDIRECT("SSW_WTPCore2_"&amp;$C349&amp;"_Levels"),1,MATCH(F$346,WTPCore2_AttLevels,0))</f>
        <v>9.5238095238095247E-3</v>
      </c>
      <c r="G349" s="89">
        <f ca="1">INDEX(INDIRECT("SSW_WTPCore2_"&amp;$C349&amp;"_LevelValues"),1,MATCH("S1 MEAN",WTPCore2_LevelValues,0))</f>
        <v>0.39718669024665654</v>
      </c>
      <c r="H349" s="89">
        <f ca="1">INDEX(INDIRECT("SSW_WTPCore2_"&amp;$C349&amp;"_LevelValues"),1,MATCH("S2 MEAN",WTPCore2_LevelValues,0))</f>
        <v>0.53859352958370721</v>
      </c>
      <c r="I349" s="89">
        <f ca="1">SUM(G349:H349)</f>
        <v>0.93578021983036375</v>
      </c>
      <c r="J349" s="147">
        <f>J336*AllProps_SSW/720</f>
        <v>467.97985040781288</v>
      </c>
      <c r="K349" s="266">
        <f ca="1">J349*(D349-F349)</f>
        <v>2.2284754781324416</v>
      </c>
      <c r="L349" s="605">
        <f t="shared" ca="1" si="30"/>
        <v>162.10819588181059</v>
      </c>
      <c r="M349" s="429">
        <f ca="1">-L349*(D349-F349)/HHProps_SSW</f>
        <v>-1.4310175051273523E-6</v>
      </c>
      <c r="N349" s="245">
        <f t="shared" ca="1" si="32"/>
        <v>186.16470937063306</v>
      </c>
      <c r="O349" s="429">
        <f ca="1">N349*($D349-$F349)*(AllProps_SSW/HHProps_SSW)</f>
        <v>0.93578021983036375</v>
      </c>
      <c r="P349" s="10">
        <f t="shared" ca="1" si="33"/>
        <v>1.8395258596898085</v>
      </c>
      <c r="Q349" s="23" t="s">
        <v>127</v>
      </c>
      <c r="R349" s="495">
        <f ca="1">(P349*HHProps_SSW)/((D349-F349)*AllProps_SSW)</f>
        <v>365.95643912092589</v>
      </c>
      <c r="S349" s="423">
        <f ca="1">INDEX(INDIRECT("CAM_WTPCore2_"&amp;$C349&amp;"_Levels"),1,MATCH(S$346,WTPCore2_AttLevels,0))</f>
        <v>2.5000000000000001E-2</v>
      </c>
      <c r="T349" s="36"/>
      <c r="U349" s="423">
        <f ca="1">INDEX(INDIRECT("CAM_WTPCore2_"&amp;$C349&amp;"_Levels"),1,MATCH(U$346,WTPCore2_AttLevels,0))</f>
        <v>1.6666666666666666E-2</v>
      </c>
      <c r="V349" s="89">
        <f ca="1">INDEX(INDIRECT("CAM_WTPCore2_"&amp;$C349&amp;"_LevelValues"),1,MATCH("S1 MEAN",WTPCore2_LevelValues,0))</f>
        <v>5.3490671066612649E-2</v>
      </c>
      <c r="W349" s="89">
        <f ca="1">INDEX(INDIRECT("CAM_WTPCore2_"&amp;$C349&amp;"_LevelValues"),1,MATCH("S2 MEAN",WTPCore2_LevelValues,0))</f>
        <v>0.33457681646237136</v>
      </c>
      <c r="X349" s="89">
        <f ca="1">SUM(V349:W349)</f>
        <v>0.38806748752898401</v>
      </c>
      <c r="Y349" s="147">
        <f>Y336*AllProps_CAM/720</f>
        <v>110.47757014388479</v>
      </c>
      <c r="Z349" s="266">
        <f ca="1">Y349*(S349-U349)</f>
        <v>0.92064641786570678</v>
      </c>
      <c r="AA349" s="429">
        <f t="shared" ca="1" si="34"/>
        <v>28.26566546881222</v>
      </c>
      <c r="AB349" s="429">
        <f ca="1">AA349*($S349-$U349)*(AllProps_CAM/HHProps_CAM)</f>
        <v>0.25044117647058828</v>
      </c>
      <c r="AC349" s="89">
        <f t="shared" ca="1" si="31"/>
        <v>43.79865138952065</v>
      </c>
      <c r="AD349" s="429">
        <f ca="1">AC349*($S349-$U349)*(AllProps_CAM/HHProps_CAM)</f>
        <v>0.3880674875289839</v>
      </c>
      <c r="AE349" s="492">
        <f t="shared" ca="1" si="35"/>
        <v>2.9968024997474796</v>
      </c>
      <c r="AF349" s="23" t="s">
        <v>127</v>
      </c>
      <c r="AG349" s="495">
        <f ca="1">(AE349*HHProps_CAM)/((S349-U349)*AllProps_CAM)</f>
        <v>338.22959198528753</v>
      </c>
    </row>
    <row r="350" spans="1:42" x14ac:dyDescent="0.35">
      <c r="A350" s="7"/>
      <c r="B350" s="7"/>
      <c r="C350" s="7"/>
      <c r="D350" s="7"/>
      <c r="E350" s="7"/>
      <c r="F350" s="7"/>
      <c r="G350" s="7"/>
      <c r="H350" s="7"/>
      <c r="I350" s="194">
        <f ca="1">SUM(I347:I349)</f>
        <v>3.0514143932595674</v>
      </c>
      <c r="J350" s="29">
        <f>SUM(J347:J349)</f>
        <v>468.0184483701953</v>
      </c>
      <c r="K350" s="29">
        <f ca="1">SUM(K347:K349)</f>
        <v>3.6351763010164517</v>
      </c>
      <c r="L350" s="29"/>
      <c r="M350" s="194">
        <f ca="1">SUM(M347:M349)</f>
        <v>2.9499985689824948</v>
      </c>
      <c r="N350" s="29"/>
      <c r="O350" s="194">
        <f ca="1">SUM(O347:O349)</f>
        <v>3.0514143932595674</v>
      </c>
      <c r="P350" s="194">
        <f ca="1">SUM(P347:P349)</f>
        <v>3.0007064811210311</v>
      </c>
      <c r="Q350" s="7"/>
      <c r="R350" s="7"/>
      <c r="S350" s="7"/>
      <c r="T350" s="7"/>
      <c r="U350" s="7"/>
      <c r="V350" s="7"/>
      <c r="W350" s="7"/>
      <c r="X350" s="194">
        <f ca="1">SUM(X347:X349)</f>
        <v>3.7155890027407379</v>
      </c>
      <c r="Y350" s="29">
        <f>SUM(Y347:Y349)</f>
        <v>110.61783078108931</v>
      </c>
      <c r="Z350" s="29">
        <f ca="1">SUM(Z347:Z349)</f>
        <v>1.8744438484926333</v>
      </c>
      <c r="AA350" s="29"/>
      <c r="AB350" s="194">
        <f ca="1">SUM(AB347:AB349)</f>
        <v>8.4874411764705879</v>
      </c>
      <c r="AC350" s="29"/>
      <c r="AD350" s="194">
        <f ca="1">SUM(AD347:AD349)</f>
        <v>3.7155890027407374</v>
      </c>
      <c r="AE350" s="194">
        <f ca="1">SUM(AE347:AE349)</f>
        <v>6.1015150896056625</v>
      </c>
      <c r="AF350" s="7"/>
      <c r="AG350" s="7"/>
      <c r="AH350" s="7"/>
      <c r="AI350" s="7"/>
      <c r="AJ350" s="7"/>
      <c r="AK350" s="7"/>
      <c r="AL350" s="7"/>
      <c r="AM350" s="7"/>
      <c r="AN350" s="7"/>
      <c r="AO350" s="7"/>
      <c r="AP350" s="7"/>
    </row>
    <row r="351" spans="1:42" s="133" customFormat="1" x14ac:dyDescent="0.35">
      <c r="A351" s="134"/>
      <c r="B351" s="134"/>
      <c r="C351" s="134"/>
      <c r="D351" s="92"/>
      <c r="E351" s="92"/>
      <c r="F351" s="92"/>
      <c r="G351" s="4"/>
      <c r="H351" s="4"/>
      <c r="I351" s="92"/>
      <c r="J351" s="267"/>
      <c r="K351" s="267"/>
      <c r="L351" s="267"/>
      <c r="M351" s="603" t="s">
        <v>641</v>
      </c>
      <c r="N351" s="92">
        <f ca="1">AVERAGE(M350,O350)</f>
        <v>3.0007064811210311</v>
      </c>
      <c r="O351" s="267"/>
      <c r="P351" s="92"/>
      <c r="Q351" s="33"/>
      <c r="R351" s="33"/>
      <c r="S351" s="32"/>
      <c r="T351" s="33"/>
      <c r="U351" s="33"/>
      <c r="V351" s="33"/>
      <c r="W351" s="34"/>
      <c r="X351" s="92"/>
      <c r="Y351" s="267"/>
      <c r="Z351" s="267"/>
      <c r="AA351" s="267"/>
      <c r="AB351" s="267"/>
      <c r="AC351" s="603" t="s">
        <v>641</v>
      </c>
      <c r="AD351" s="92">
        <f ca="1">AVERAGE(AB350,AD350)</f>
        <v>6.1015150896056625</v>
      </c>
      <c r="AE351" s="92"/>
      <c r="AF351" s="33"/>
      <c r="AG351" s="33"/>
    </row>
    <row r="352" spans="1:42" x14ac:dyDescent="0.35">
      <c r="A352" s="7"/>
      <c r="B352" s="7"/>
      <c r="C352" s="7"/>
      <c r="D352" s="7"/>
      <c r="E352" s="7"/>
      <c r="F352" s="7"/>
      <c r="G352" s="7"/>
      <c r="H352" s="7"/>
      <c r="I352" s="7"/>
      <c r="J352" s="5"/>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row>
    <row r="353" spans="1:42" x14ac:dyDescent="0.35">
      <c r="A353" s="51" t="s">
        <v>730</v>
      </c>
      <c r="B353" s="485" t="s">
        <v>731</v>
      </c>
      <c r="C353" s="51" t="s">
        <v>675</v>
      </c>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row>
    <row r="354" spans="1:42" x14ac:dyDescent="0.35">
      <c r="A354" s="7" t="str">
        <f>A347</f>
        <v>Protecting wildlife</v>
      </c>
      <c r="B354" s="493" t="s">
        <v>732</v>
      </c>
      <c r="C354" s="7" t="s">
        <v>465</v>
      </c>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row>
    <row r="355" spans="1:42" x14ac:dyDescent="0.35">
      <c r="A355" s="7" t="str">
        <f>A348</f>
        <v>Leakage levels</v>
      </c>
      <c r="B355" s="493" t="s">
        <v>733</v>
      </c>
      <c r="C355" s="7" t="s">
        <v>454</v>
      </c>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row>
    <row r="356" spans="1:42" x14ac:dyDescent="0.35">
      <c r="A356" s="7" t="str">
        <f>A349</f>
        <v>Interruptions to water supply</v>
      </c>
      <c r="B356" s="23" t="s">
        <v>734</v>
      </c>
      <c r="C356" s="7" t="s">
        <v>446</v>
      </c>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row>
  </sheetData>
  <mergeCells count="6">
    <mergeCell ref="AE345:AE346"/>
    <mergeCell ref="J345:J346"/>
    <mergeCell ref="K345:K346"/>
    <mergeCell ref="P345:P346"/>
    <mergeCell ref="Y345:Y346"/>
    <mergeCell ref="Z345:Z346"/>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theme="6"/>
  </sheetPr>
  <dimension ref="A1:AE316"/>
  <sheetViews>
    <sheetView zoomScale="70" zoomScaleNormal="70" workbookViewId="0">
      <pane xSplit="1" ySplit="4" topLeftCell="B32" activePane="bottomRight" state="frozen"/>
      <selection activeCell="Y66" sqref="Y66"/>
      <selection pane="topRight" activeCell="Y66" sqref="Y66"/>
      <selection pane="bottomLeft" activeCell="Y66" sqref="Y66"/>
      <selection pane="bottomRight" activeCell="Y66" sqref="Y66"/>
    </sheetView>
  </sheetViews>
  <sheetFormatPr defaultColWidth="0" defaultRowHeight="14.5" zeroHeight="1" x14ac:dyDescent="0.35"/>
  <cols>
    <col min="1" max="1" width="59.1796875" bestFit="1" customWidth="1"/>
    <col min="2" max="2" width="100.54296875" customWidth="1"/>
    <col min="3" max="3" width="50.7265625" customWidth="1"/>
    <col min="4" max="7" width="15.7265625" customWidth="1"/>
    <col min="8" max="13" width="14.1796875" customWidth="1"/>
    <col min="14" max="14" width="21.26953125" customWidth="1"/>
    <col min="15" max="15" width="15.7265625" customWidth="1"/>
    <col min="16" max="17" width="17.453125" customWidth="1"/>
    <col min="18" max="18" width="20.7265625" customWidth="1"/>
    <col min="19" max="19" width="13.453125" customWidth="1"/>
    <col min="20" max="30" width="9.1796875" customWidth="1"/>
    <col min="31" max="31" width="0" hidden="1" customWidth="1"/>
    <col min="32" max="16384" width="9.1796875" hidden="1"/>
  </cols>
  <sheetData>
    <row r="1" spans="1:17" ht="28.5" x14ac:dyDescent="0.65">
      <c r="A1" s="76" t="s">
        <v>735</v>
      </c>
      <c r="B1" s="76"/>
      <c r="C1" s="76"/>
      <c r="D1" s="76"/>
      <c r="E1" s="76"/>
      <c r="F1" s="76"/>
      <c r="G1" s="76"/>
      <c r="H1" s="76"/>
      <c r="I1" s="76"/>
      <c r="J1" s="76"/>
      <c r="K1" s="76"/>
      <c r="L1" s="76"/>
      <c r="M1" s="76"/>
      <c r="N1" s="76"/>
      <c r="O1" s="76"/>
      <c r="P1" s="76"/>
      <c r="Q1" s="76"/>
    </row>
    <row r="2" spans="1:17" ht="19.5" x14ac:dyDescent="0.45">
      <c r="A2" s="85" t="s">
        <v>318</v>
      </c>
      <c r="B2" s="52"/>
      <c r="C2" s="52"/>
      <c r="D2" s="52"/>
      <c r="E2" s="52" t="s">
        <v>410</v>
      </c>
      <c r="F2" s="52"/>
      <c r="G2" s="52"/>
      <c r="H2" s="98" t="s">
        <v>412</v>
      </c>
      <c r="I2" s="98"/>
      <c r="J2" s="98"/>
      <c r="K2" s="98"/>
      <c r="L2" s="98"/>
      <c r="M2" s="98"/>
      <c r="N2" s="52"/>
      <c r="O2" s="52" t="s">
        <v>736</v>
      </c>
      <c r="P2" s="52"/>
      <c r="Q2" s="52"/>
    </row>
    <row r="3" spans="1:17" x14ac:dyDescent="0.35">
      <c r="A3" s="52" t="s">
        <v>416</v>
      </c>
      <c r="B3" s="52" t="s">
        <v>210</v>
      </c>
      <c r="C3" s="52" t="s">
        <v>417</v>
      </c>
      <c r="D3" s="52" t="s">
        <v>418</v>
      </c>
      <c r="E3" s="205" t="s">
        <v>350</v>
      </c>
      <c r="F3" s="205" t="s">
        <v>351</v>
      </c>
      <c r="G3" s="205" t="s">
        <v>352</v>
      </c>
      <c r="H3" s="52" t="s">
        <v>422</v>
      </c>
      <c r="I3" s="52" t="s">
        <v>423</v>
      </c>
      <c r="J3" s="52" t="s">
        <v>424</v>
      </c>
      <c r="K3" s="52" t="s">
        <v>425</v>
      </c>
      <c r="L3" s="52" t="s">
        <v>426</v>
      </c>
      <c r="M3" s="52" t="s">
        <v>427</v>
      </c>
      <c r="N3" s="52" t="s">
        <v>737</v>
      </c>
      <c r="O3" s="52" t="s">
        <v>428</v>
      </c>
      <c r="P3" s="52" t="s">
        <v>429</v>
      </c>
      <c r="Q3" s="52" t="s">
        <v>430</v>
      </c>
    </row>
    <row r="4" spans="1:17" x14ac:dyDescent="0.35">
      <c r="A4" s="82" t="s">
        <v>738</v>
      </c>
      <c r="B4" s="82"/>
      <c r="C4" s="52"/>
      <c r="D4" s="52"/>
      <c r="E4" s="82"/>
      <c r="F4" s="82"/>
      <c r="G4" s="82"/>
      <c r="H4" s="82"/>
      <c r="I4" s="82"/>
      <c r="J4" s="82" t="s">
        <v>739</v>
      </c>
      <c r="K4" s="82"/>
      <c r="L4" s="82"/>
      <c r="M4" s="82"/>
      <c r="N4" s="82" t="s">
        <v>740</v>
      </c>
      <c r="O4" s="82"/>
      <c r="P4" s="82"/>
      <c r="Q4" s="82"/>
    </row>
    <row r="5" spans="1:17" x14ac:dyDescent="0.35">
      <c r="A5" s="356"/>
      <c r="B5" s="340"/>
      <c r="C5" s="340"/>
      <c r="D5" s="340"/>
      <c r="E5" s="340"/>
      <c r="F5" s="340"/>
      <c r="G5" s="357"/>
      <c r="H5" s="357"/>
      <c r="I5" s="340"/>
      <c r="J5" s="358"/>
      <c r="K5" s="340"/>
      <c r="L5" s="357"/>
      <c r="M5" s="357" t="s">
        <v>741</v>
      </c>
      <c r="N5" s="357"/>
      <c r="O5" s="344"/>
      <c r="P5" s="344"/>
      <c r="Q5" s="344"/>
    </row>
    <row r="6" spans="1:17" ht="14.25" customHeight="1" x14ac:dyDescent="0.35">
      <c r="A6" s="339" t="s">
        <v>742</v>
      </c>
      <c r="B6" s="7" t="s">
        <v>743</v>
      </c>
      <c r="C6" s="149" t="s">
        <v>744</v>
      </c>
      <c r="D6" s="7" t="s">
        <v>21</v>
      </c>
      <c r="E6" s="7">
        <v>1000</v>
      </c>
      <c r="F6" s="7">
        <v>750</v>
      </c>
      <c r="G6" s="7">
        <v>500</v>
      </c>
      <c r="H6" s="7"/>
      <c r="I6" s="43">
        <v>0.74</v>
      </c>
      <c r="J6" s="7"/>
      <c r="K6" s="7"/>
      <c r="L6" s="43">
        <v>1.47</v>
      </c>
      <c r="M6" s="7"/>
      <c r="N6" s="149" t="s">
        <v>745</v>
      </c>
      <c r="O6" s="243">
        <v>60</v>
      </c>
      <c r="P6" s="243">
        <v>1570</v>
      </c>
      <c r="Q6" s="243">
        <v>3080</v>
      </c>
    </row>
    <row r="7" spans="1:17" x14ac:dyDescent="0.35">
      <c r="A7" s="17"/>
      <c r="B7" s="7"/>
      <c r="C7" s="149"/>
      <c r="D7" s="7" t="s">
        <v>22</v>
      </c>
      <c r="E7" s="7">
        <v>1000</v>
      </c>
      <c r="F7" s="7">
        <v>750</v>
      </c>
      <c r="G7" s="7">
        <v>500</v>
      </c>
      <c r="H7" s="43"/>
      <c r="I7" s="191">
        <v>9.2999999999999992E-3</v>
      </c>
      <c r="J7" s="191"/>
      <c r="K7" s="7"/>
      <c r="L7" s="30">
        <v>1.8599999999999998E-2</v>
      </c>
      <c r="M7" s="7"/>
      <c r="N7" s="149"/>
      <c r="O7" s="243">
        <v>0</v>
      </c>
      <c r="P7" s="243">
        <v>820</v>
      </c>
      <c r="Q7" s="243">
        <v>1650</v>
      </c>
    </row>
    <row r="8" spans="1:17" x14ac:dyDescent="0.35">
      <c r="A8" s="17"/>
      <c r="B8" s="7"/>
      <c r="C8" s="149"/>
      <c r="D8" s="7" t="s">
        <v>171</v>
      </c>
      <c r="E8" s="7"/>
      <c r="F8" s="7"/>
      <c r="G8" s="7"/>
      <c r="H8" s="43"/>
      <c r="I8" s="191"/>
      <c r="J8" s="191"/>
      <c r="K8" s="7"/>
      <c r="L8" s="43"/>
      <c r="M8" s="7"/>
      <c r="N8" s="341"/>
      <c r="O8" s="243">
        <v>70</v>
      </c>
      <c r="P8" s="243">
        <v>2400</v>
      </c>
      <c r="Q8" s="243">
        <v>4730</v>
      </c>
    </row>
    <row r="9" spans="1:17" ht="15" customHeight="1" x14ac:dyDescent="0.35">
      <c r="A9" s="18" t="s">
        <v>746</v>
      </c>
      <c r="B9" s="7" t="s">
        <v>747</v>
      </c>
      <c r="C9" s="149" t="s">
        <v>744</v>
      </c>
      <c r="D9" s="7" t="s">
        <v>21</v>
      </c>
      <c r="E9" s="345">
        <v>2500</v>
      </c>
      <c r="F9" s="345">
        <v>2000</v>
      </c>
      <c r="G9" s="345">
        <v>1500</v>
      </c>
      <c r="H9" s="7"/>
      <c r="I9" s="43">
        <v>1.44</v>
      </c>
      <c r="J9" s="7"/>
      <c r="K9" s="7"/>
      <c r="L9" s="43">
        <v>2.87</v>
      </c>
      <c r="M9" s="7"/>
      <c r="N9" s="149" t="s">
        <v>745</v>
      </c>
      <c r="O9" s="243">
        <v>980</v>
      </c>
      <c r="P9" s="243">
        <v>1540</v>
      </c>
      <c r="Q9" s="243">
        <v>2090</v>
      </c>
    </row>
    <row r="10" spans="1:17" x14ac:dyDescent="0.35">
      <c r="A10" s="17"/>
      <c r="B10" s="7"/>
      <c r="C10" s="149"/>
      <c r="D10" s="7" t="s">
        <v>22</v>
      </c>
      <c r="E10" s="345">
        <v>2500</v>
      </c>
      <c r="F10" s="345">
        <v>2000</v>
      </c>
      <c r="G10" s="345">
        <v>1500</v>
      </c>
      <c r="H10" s="43"/>
      <c r="I10" s="191">
        <v>1.6899999999999998E-2</v>
      </c>
      <c r="J10" s="191"/>
      <c r="K10" s="7"/>
      <c r="L10" s="30">
        <v>3.3799999999999997E-2</v>
      </c>
      <c r="M10" s="7"/>
      <c r="N10" s="149"/>
      <c r="O10" s="243">
        <v>380</v>
      </c>
      <c r="P10" s="243">
        <v>750</v>
      </c>
      <c r="Q10" s="243">
        <v>1110</v>
      </c>
    </row>
    <row r="11" spans="1:17" x14ac:dyDescent="0.35">
      <c r="A11" s="17"/>
      <c r="B11" s="7"/>
      <c r="C11" s="149"/>
      <c r="D11" s="7" t="s">
        <v>171</v>
      </c>
      <c r="E11" s="345"/>
      <c r="F11" s="345"/>
      <c r="G11" s="345"/>
      <c r="H11" s="43"/>
      <c r="I11" s="191"/>
      <c r="J11" s="191"/>
      <c r="K11" s="7"/>
      <c r="L11" s="43"/>
      <c r="M11" s="7"/>
      <c r="N11" s="341"/>
      <c r="O11" s="243">
        <v>1360</v>
      </c>
      <c r="P11" s="243">
        <v>2290</v>
      </c>
      <c r="Q11" s="243">
        <v>3210</v>
      </c>
    </row>
    <row r="12" spans="1:17" ht="13.5" customHeight="1" x14ac:dyDescent="0.35">
      <c r="A12" s="19" t="s">
        <v>748</v>
      </c>
      <c r="B12" s="7" t="s">
        <v>749</v>
      </c>
      <c r="C12" s="149" t="s">
        <v>744</v>
      </c>
      <c r="D12" s="7" t="s">
        <v>21</v>
      </c>
      <c r="E12" s="7">
        <v>12000</v>
      </c>
      <c r="F12" s="7">
        <v>0</v>
      </c>
      <c r="G12" s="7">
        <v>0</v>
      </c>
      <c r="H12" s="7"/>
      <c r="I12" s="346">
        <v>3.51</v>
      </c>
      <c r="J12" s="347"/>
      <c r="K12" s="7"/>
      <c r="L12" s="43">
        <v>7.28</v>
      </c>
      <c r="M12" s="7"/>
      <c r="N12" s="149" t="s">
        <v>750</v>
      </c>
      <c r="O12" s="243">
        <v>232000</v>
      </c>
      <c r="P12" s="243">
        <v>1879000</v>
      </c>
      <c r="Q12" s="243">
        <v>3525000</v>
      </c>
    </row>
    <row r="13" spans="1:17" x14ac:dyDescent="0.35">
      <c r="A13" s="17"/>
      <c r="B13" s="7"/>
      <c r="C13" s="149"/>
      <c r="D13" s="7" t="s">
        <v>22</v>
      </c>
      <c r="E13" s="7">
        <v>12000</v>
      </c>
      <c r="F13" s="7">
        <v>0</v>
      </c>
      <c r="G13" s="7">
        <v>0</v>
      </c>
      <c r="H13" s="7"/>
      <c r="I13" s="348">
        <v>3.2000000000000001E-2</v>
      </c>
      <c r="J13" s="347"/>
      <c r="K13" s="7"/>
      <c r="L13" s="349">
        <v>2.5700000000000001E-2</v>
      </c>
      <c r="M13" s="7"/>
      <c r="N13" s="149"/>
      <c r="O13" s="243">
        <v>0</v>
      </c>
      <c r="P13" s="243">
        <v>699000</v>
      </c>
      <c r="Q13" s="243">
        <v>1470000</v>
      </c>
    </row>
    <row r="14" spans="1:17" x14ac:dyDescent="0.35">
      <c r="A14" s="17"/>
      <c r="B14" s="7"/>
      <c r="C14" s="149"/>
      <c r="D14" s="7" t="s">
        <v>171</v>
      </c>
      <c r="E14" s="7"/>
      <c r="F14" s="7"/>
      <c r="G14" s="7"/>
      <c r="H14" s="7"/>
      <c r="I14" s="348"/>
      <c r="J14" s="347"/>
      <c r="K14" s="7"/>
      <c r="L14" s="43"/>
      <c r="M14" s="7"/>
      <c r="N14" s="341"/>
      <c r="O14" s="243">
        <v>232000</v>
      </c>
      <c r="P14" s="243">
        <v>2578000</v>
      </c>
      <c r="Q14" s="243">
        <v>5107000</v>
      </c>
    </row>
    <row r="15" spans="1:17" x14ac:dyDescent="0.35">
      <c r="A15" s="18" t="s">
        <v>751</v>
      </c>
      <c r="B15" s="7"/>
      <c r="C15" s="149" t="s">
        <v>744</v>
      </c>
      <c r="D15" s="7" t="s">
        <v>21</v>
      </c>
      <c r="E15" s="345">
        <v>558000</v>
      </c>
      <c r="F15" s="7">
        <v>570000</v>
      </c>
      <c r="G15" s="7">
        <v>0</v>
      </c>
      <c r="H15" s="7"/>
      <c r="I15" s="346">
        <v>3.51</v>
      </c>
      <c r="J15" s="347"/>
      <c r="K15" s="7"/>
      <c r="L15" s="43">
        <v>7.28</v>
      </c>
      <c r="M15" s="7"/>
      <c r="N15" s="149" t="s">
        <v>752</v>
      </c>
      <c r="O15" s="243">
        <v>2259000</v>
      </c>
      <c r="P15" s="243">
        <v>3894000</v>
      </c>
      <c r="Q15" s="243">
        <v>5529000</v>
      </c>
    </row>
    <row r="16" spans="1:17" x14ac:dyDescent="0.35">
      <c r="A16" s="17"/>
      <c r="B16" s="7"/>
      <c r="C16" s="149"/>
      <c r="D16" s="7" t="s">
        <v>22</v>
      </c>
      <c r="E16" s="345">
        <v>558000</v>
      </c>
      <c r="F16" s="7">
        <v>570000</v>
      </c>
      <c r="G16" s="7">
        <v>0</v>
      </c>
      <c r="H16" s="350"/>
      <c r="I16" s="348">
        <v>3.2000000000000001E-2</v>
      </c>
      <c r="J16" s="347"/>
      <c r="K16" s="7"/>
      <c r="L16" s="349">
        <v>2.5700000000000001E-2</v>
      </c>
      <c r="M16" s="7"/>
      <c r="N16" s="149"/>
      <c r="O16" s="243">
        <v>0</v>
      </c>
      <c r="P16" s="243">
        <v>569000</v>
      </c>
      <c r="Q16" s="243">
        <v>1471000</v>
      </c>
    </row>
    <row r="17" spans="1:17" x14ac:dyDescent="0.35">
      <c r="A17" s="17"/>
      <c r="B17" s="7"/>
      <c r="C17" s="149"/>
      <c r="D17" s="7" t="s">
        <v>171</v>
      </c>
      <c r="E17" s="345"/>
      <c r="F17" s="7"/>
      <c r="G17" s="7"/>
      <c r="H17" s="350"/>
      <c r="I17" s="348"/>
      <c r="J17" s="347"/>
      <c r="K17" s="7"/>
      <c r="L17" s="318"/>
      <c r="M17" s="7"/>
      <c r="N17" s="341"/>
      <c r="O17" s="243">
        <v>2259000</v>
      </c>
      <c r="P17" s="243">
        <v>4463000</v>
      </c>
      <c r="Q17" s="243">
        <v>7000000</v>
      </c>
    </row>
    <row r="18" spans="1:17" x14ac:dyDescent="0.35">
      <c r="A18" s="342" t="s">
        <v>753</v>
      </c>
      <c r="B18" s="7" t="s">
        <v>754</v>
      </c>
      <c r="C18" s="149" t="s">
        <v>744</v>
      </c>
      <c r="D18" s="7" t="s">
        <v>21</v>
      </c>
      <c r="E18" s="7">
        <v>2660</v>
      </c>
      <c r="F18" s="7">
        <v>2000</v>
      </c>
      <c r="G18" s="7">
        <v>1500</v>
      </c>
      <c r="H18" s="7"/>
      <c r="I18" s="43">
        <v>2.06</v>
      </c>
      <c r="J18" s="7"/>
      <c r="K18" s="7"/>
      <c r="L18" s="43">
        <v>3.62</v>
      </c>
      <c r="M18" s="7"/>
      <c r="N18" s="149" t="s">
        <v>745</v>
      </c>
      <c r="O18" s="243">
        <v>1080</v>
      </c>
      <c r="P18" s="243">
        <v>1670</v>
      </c>
      <c r="Q18" s="243">
        <v>2260</v>
      </c>
    </row>
    <row r="19" spans="1:17" x14ac:dyDescent="0.35">
      <c r="A19" s="17"/>
      <c r="B19" s="7" t="s">
        <v>755</v>
      </c>
      <c r="C19" s="149"/>
      <c r="D19" s="7" t="s">
        <v>22</v>
      </c>
      <c r="E19" s="7">
        <v>2660</v>
      </c>
      <c r="F19" s="7">
        <v>2000</v>
      </c>
      <c r="G19" s="7">
        <v>1500</v>
      </c>
      <c r="H19" s="43"/>
      <c r="I19" s="191">
        <v>2.2800000000000001E-2</v>
      </c>
      <c r="J19" s="191"/>
      <c r="K19" s="7"/>
      <c r="L19" s="351">
        <v>4.0099999999999997E-2</v>
      </c>
      <c r="M19" s="7"/>
      <c r="N19" s="149"/>
      <c r="O19" s="243">
        <v>420</v>
      </c>
      <c r="P19" s="243">
        <v>770</v>
      </c>
      <c r="Q19" s="243">
        <v>1110</v>
      </c>
    </row>
    <row r="20" spans="1:17" x14ac:dyDescent="0.35">
      <c r="A20" s="17"/>
      <c r="B20" s="7" t="s">
        <v>756</v>
      </c>
      <c r="C20" s="149"/>
      <c r="D20" s="7" t="s">
        <v>171</v>
      </c>
      <c r="E20" s="7"/>
      <c r="F20" s="7"/>
      <c r="G20" s="7"/>
      <c r="H20" s="43"/>
      <c r="I20" s="191"/>
      <c r="J20" s="191"/>
      <c r="K20" s="7"/>
      <c r="L20" s="43"/>
      <c r="M20" s="7"/>
      <c r="N20" s="341"/>
      <c r="O20" s="243">
        <v>1510</v>
      </c>
      <c r="P20" s="243">
        <v>2440</v>
      </c>
      <c r="Q20" s="243">
        <v>3370</v>
      </c>
    </row>
    <row r="21" spans="1:17" x14ac:dyDescent="0.35">
      <c r="A21" s="7" t="s">
        <v>757</v>
      </c>
      <c r="B21" s="7" t="s">
        <v>758</v>
      </c>
      <c r="C21" s="7"/>
      <c r="D21" s="7" t="s">
        <v>21</v>
      </c>
      <c r="E21" s="7"/>
      <c r="F21" s="7"/>
      <c r="G21" s="7"/>
      <c r="H21" s="43"/>
      <c r="I21" s="7"/>
      <c r="J21" s="7"/>
      <c r="K21" s="7"/>
      <c r="L21" s="43"/>
      <c r="M21" s="7"/>
      <c r="N21" s="149" t="s">
        <v>745</v>
      </c>
      <c r="O21" s="243"/>
      <c r="P21" s="243">
        <v>930</v>
      </c>
      <c r="Q21" s="243"/>
    </row>
    <row r="22" spans="1:17" x14ac:dyDescent="0.35">
      <c r="A22" s="7"/>
      <c r="B22" s="7"/>
      <c r="C22" s="7"/>
      <c r="D22" s="7" t="s">
        <v>22</v>
      </c>
      <c r="E22" s="7"/>
      <c r="F22" s="7"/>
      <c r="G22" s="7"/>
      <c r="H22" s="43"/>
      <c r="I22" s="7"/>
      <c r="J22" s="7"/>
      <c r="K22" s="7"/>
      <c r="L22" s="43"/>
      <c r="M22" s="7"/>
      <c r="N22" s="149"/>
      <c r="O22" s="243"/>
      <c r="P22" s="243">
        <v>350</v>
      </c>
      <c r="Q22" s="243"/>
    </row>
    <row r="23" spans="1:17" x14ac:dyDescent="0.35">
      <c r="A23" s="7" t="s">
        <v>759</v>
      </c>
      <c r="B23" s="7"/>
      <c r="C23" s="7"/>
      <c r="D23" s="7" t="s">
        <v>21</v>
      </c>
      <c r="E23" s="7"/>
      <c r="F23" s="7"/>
      <c r="G23" s="7"/>
      <c r="H23" s="43"/>
      <c r="I23" s="7"/>
      <c r="J23" s="7"/>
      <c r="K23" s="7"/>
      <c r="L23" s="43"/>
      <c r="M23" s="7"/>
      <c r="N23" s="149" t="s">
        <v>745</v>
      </c>
      <c r="O23" s="243"/>
      <c r="P23" s="243">
        <v>2400</v>
      </c>
      <c r="Q23" s="243"/>
    </row>
    <row r="24" spans="1:17" x14ac:dyDescent="0.35">
      <c r="A24" s="7"/>
      <c r="B24" s="7"/>
      <c r="C24" s="7"/>
      <c r="D24" s="7" t="s">
        <v>22</v>
      </c>
      <c r="E24" s="7"/>
      <c r="F24" s="7"/>
      <c r="G24" s="7"/>
      <c r="H24" s="43"/>
      <c r="I24" s="7"/>
      <c r="J24" s="7"/>
      <c r="K24" s="7"/>
      <c r="L24" s="43"/>
      <c r="M24" s="7"/>
      <c r="N24" s="149"/>
      <c r="O24" s="243"/>
      <c r="P24" s="243">
        <v>1620</v>
      </c>
      <c r="Q24" s="243"/>
    </row>
    <row r="25" spans="1:17" x14ac:dyDescent="0.35">
      <c r="A25" s="7" t="s">
        <v>760</v>
      </c>
      <c r="B25" s="7"/>
      <c r="C25" s="7"/>
      <c r="D25" s="7" t="s">
        <v>21</v>
      </c>
      <c r="E25" s="7"/>
      <c r="F25" s="7"/>
      <c r="G25" s="7"/>
      <c r="H25" s="43"/>
      <c r="I25" s="7"/>
      <c r="J25" s="7"/>
      <c r="K25" s="7"/>
      <c r="L25" s="43"/>
      <c r="M25" s="7"/>
      <c r="N25" s="149" t="s">
        <v>745</v>
      </c>
      <c r="O25" s="243"/>
      <c r="P25" s="243">
        <v>2970</v>
      </c>
      <c r="Q25" s="243"/>
    </row>
    <row r="26" spans="1:17" x14ac:dyDescent="0.35">
      <c r="A26" s="7"/>
      <c r="B26" s="7"/>
      <c r="C26" s="7"/>
      <c r="D26" s="7" t="s">
        <v>22</v>
      </c>
      <c r="E26" s="7"/>
      <c r="F26" s="7"/>
      <c r="G26" s="7"/>
      <c r="H26" s="43"/>
      <c r="I26" s="7"/>
      <c r="J26" s="7"/>
      <c r="K26" s="7"/>
      <c r="L26" s="43"/>
      <c r="M26" s="7"/>
      <c r="N26" s="149"/>
      <c r="O26" s="243"/>
      <c r="P26" s="243">
        <v>2560</v>
      </c>
      <c r="Q26" s="243"/>
    </row>
    <row r="27" spans="1:17" x14ac:dyDescent="0.35">
      <c r="A27" s="7" t="s">
        <v>761</v>
      </c>
      <c r="B27" s="7"/>
      <c r="C27" s="7"/>
      <c r="D27" s="7" t="s">
        <v>21</v>
      </c>
      <c r="E27" s="7"/>
      <c r="F27" s="7"/>
      <c r="G27" s="7"/>
      <c r="H27" s="43"/>
      <c r="I27" s="7"/>
      <c r="J27" s="7"/>
      <c r="K27" s="7"/>
      <c r="L27" s="43"/>
      <c r="M27" s="7"/>
      <c r="N27" s="149" t="s">
        <v>745</v>
      </c>
      <c r="O27" s="243"/>
      <c r="P27" s="243">
        <v>3040</v>
      </c>
      <c r="Q27" s="243"/>
    </row>
    <row r="28" spans="1:17" x14ac:dyDescent="0.35">
      <c r="A28" s="7"/>
      <c r="B28" s="7"/>
      <c r="C28" s="7"/>
      <c r="D28" s="7" t="s">
        <v>22</v>
      </c>
      <c r="E28" s="7"/>
      <c r="F28" s="7"/>
      <c r="G28" s="7"/>
      <c r="H28" s="43"/>
      <c r="I28" s="7"/>
      <c r="J28" s="7"/>
      <c r="K28" s="7"/>
      <c r="L28" s="43"/>
      <c r="M28" s="7"/>
      <c r="N28" s="149"/>
      <c r="O28" s="243"/>
      <c r="P28" s="243">
        <v>2740</v>
      </c>
      <c r="Q28" s="243"/>
    </row>
    <row r="29" spans="1:17" ht="19.5" customHeight="1" x14ac:dyDescent="0.35">
      <c r="A29" s="7" t="s">
        <v>762</v>
      </c>
      <c r="B29" s="7" t="s">
        <v>763</v>
      </c>
      <c r="C29" s="149" t="s">
        <v>764</v>
      </c>
      <c r="D29" s="7" t="s">
        <v>21</v>
      </c>
      <c r="E29" s="7">
        <f>1/40</f>
        <v>2.5000000000000001E-2</v>
      </c>
      <c r="F29" s="359">
        <f>1/90</f>
        <v>1.1111111111111112E-2</v>
      </c>
      <c r="G29" s="7">
        <f>1/1000</f>
        <v>1E-3</v>
      </c>
      <c r="H29" s="7"/>
      <c r="I29" s="43">
        <v>1.85</v>
      </c>
      <c r="J29" s="7"/>
      <c r="K29" s="7"/>
      <c r="L29" s="43">
        <v>3.08</v>
      </c>
      <c r="M29" s="7"/>
      <c r="N29" s="149" t="s">
        <v>765</v>
      </c>
      <c r="O29" s="243">
        <v>385000</v>
      </c>
      <c r="P29" s="243">
        <v>659000</v>
      </c>
      <c r="Q29" s="243">
        <v>932000</v>
      </c>
    </row>
    <row r="30" spans="1:17" ht="15" customHeight="1" x14ac:dyDescent="0.35">
      <c r="A30" s="7" t="s">
        <v>766</v>
      </c>
      <c r="B30" s="7" t="s">
        <v>767</v>
      </c>
      <c r="C30" s="149" t="s">
        <v>764</v>
      </c>
      <c r="D30" s="7" t="s">
        <v>22</v>
      </c>
      <c r="E30" s="359">
        <f>1/60</f>
        <v>1.6666666666666666E-2</v>
      </c>
      <c r="F30" s="359">
        <f>1/90</f>
        <v>1.1111111111111112E-2</v>
      </c>
      <c r="G30" s="7">
        <f>1/1000</f>
        <v>1E-3</v>
      </c>
      <c r="H30" s="43"/>
      <c r="I30" s="30">
        <v>1.03E-2</v>
      </c>
      <c r="J30" s="191"/>
      <c r="K30" s="7"/>
      <c r="L30" s="351">
        <v>3.0800000000000001E-2</v>
      </c>
      <c r="M30" s="7"/>
      <c r="N30" s="149" t="s">
        <v>765</v>
      </c>
      <c r="O30" s="243">
        <v>241000</v>
      </c>
      <c r="P30" s="354">
        <v>455000</v>
      </c>
      <c r="Q30" s="243">
        <v>669000</v>
      </c>
    </row>
    <row r="31" spans="1:17" x14ac:dyDescent="0.35">
      <c r="A31" s="7" t="s">
        <v>139</v>
      </c>
      <c r="B31" s="7" t="s">
        <v>768</v>
      </c>
      <c r="C31" s="149" t="s">
        <v>744</v>
      </c>
      <c r="D31" s="7" t="s">
        <v>21</v>
      </c>
      <c r="E31" s="7">
        <v>0</v>
      </c>
      <c r="F31" s="7" t="s">
        <v>769</v>
      </c>
      <c r="G31" s="7" t="s">
        <v>770</v>
      </c>
      <c r="H31" s="43"/>
      <c r="I31" s="7" t="s">
        <v>771</v>
      </c>
      <c r="J31" s="7"/>
      <c r="K31" s="7"/>
      <c r="L31" s="43" t="s">
        <v>771</v>
      </c>
      <c r="M31" s="7"/>
      <c r="N31" s="149" t="s">
        <v>772</v>
      </c>
      <c r="O31" s="243" t="s">
        <v>771</v>
      </c>
      <c r="P31" s="353" t="s">
        <v>773</v>
      </c>
      <c r="Q31" s="353"/>
    </row>
    <row r="32" spans="1:17" x14ac:dyDescent="0.35">
      <c r="A32" s="7"/>
      <c r="B32" s="7"/>
      <c r="C32" s="149"/>
      <c r="D32" s="7" t="s">
        <v>22</v>
      </c>
      <c r="E32" s="7">
        <v>0</v>
      </c>
      <c r="F32" s="7" t="s">
        <v>769</v>
      </c>
      <c r="G32" s="7" t="s">
        <v>770</v>
      </c>
      <c r="H32" s="43"/>
      <c r="I32" s="7" t="s">
        <v>771</v>
      </c>
      <c r="J32" s="7"/>
      <c r="K32" s="7"/>
      <c r="L32" s="43" t="s">
        <v>771</v>
      </c>
      <c r="M32" s="7"/>
      <c r="N32" s="149"/>
      <c r="O32" s="243" t="s">
        <v>771</v>
      </c>
      <c r="P32" s="353" t="s">
        <v>773</v>
      </c>
      <c r="Q32" s="353"/>
    </row>
    <row r="33" spans="1:21" x14ac:dyDescent="0.35">
      <c r="A33" s="7"/>
      <c r="B33" s="7" t="s">
        <v>774</v>
      </c>
      <c r="C33" s="17"/>
      <c r="D33" s="7" t="s">
        <v>171</v>
      </c>
      <c r="E33" s="7"/>
      <c r="F33" s="7"/>
      <c r="G33" s="7"/>
      <c r="H33" s="43"/>
      <c r="I33" s="7"/>
      <c r="J33" s="7"/>
      <c r="K33" s="7"/>
      <c r="L33" s="43"/>
      <c r="M33" s="7"/>
      <c r="N33" s="341"/>
      <c r="O33" s="243" t="s">
        <v>771</v>
      </c>
      <c r="P33" s="353" t="s">
        <v>773</v>
      </c>
      <c r="Q33" s="353"/>
    </row>
    <row r="34" spans="1:21" x14ac:dyDescent="0.35">
      <c r="A34" s="7" t="s">
        <v>775</v>
      </c>
      <c r="B34" s="7"/>
      <c r="C34" s="149" t="s">
        <v>744</v>
      </c>
      <c r="D34" s="7" t="s">
        <v>21</v>
      </c>
      <c r="E34" s="7">
        <v>50</v>
      </c>
      <c r="F34" s="7">
        <v>25</v>
      </c>
      <c r="G34" s="7">
        <v>5</v>
      </c>
      <c r="H34" s="7"/>
      <c r="I34" s="43">
        <v>1.53</v>
      </c>
      <c r="J34" s="7"/>
      <c r="K34" s="7"/>
      <c r="L34" s="43">
        <v>2.76</v>
      </c>
      <c r="M34" s="7"/>
      <c r="N34" s="149" t="s">
        <v>772</v>
      </c>
      <c r="O34" s="243">
        <v>21720</v>
      </c>
      <c r="P34" s="243">
        <v>32840</v>
      </c>
      <c r="Q34" s="243">
        <v>43960</v>
      </c>
    </row>
    <row r="35" spans="1:21" x14ac:dyDescent="0.35">
      <c r="A35" s="7"/>
      <c r="B35" s="7"/>
      <c r="C35" s="149"/>
      <c r="D35" s="7" t="s">
        <v>22</v>
      </c>
      <c r="E35" s="7">
        <v>50</v>
      </c>
      <c r="F35" s="7">
        <v>25</v>
      </c>
      <c r="G35" s="7">
        <v>5</v>
      </c>
      <c r="H35" s="43"/>
      <c r="I35" s="191">
        <v>1.34E-2</v>
      </c>
      <c r="J35" s="191"/>
      <c r="K35" s="7"/>
      <c r="L35" s="30">
        <v>2.41E-2</v>
      </c>
      <c r="M35" s="7"/>
      <c r="N35" s="149"/>
      <c r="O35" s="243">
        <v>6350</v>
      </c>
      <c r="P35" s="243">
        <v>11840</v>
      </c>
      <c r="Q35" s="243">
        <v>17330</v>
      </c>
    </row>
    <row r="36" spans="1:21" x14ac:dyDescent="0.35">
      <c r="A36" s="7"/>
      <c r="B36" s="7"/>
      <c r="C36" s="149"/>
      <c r="D36" s="7" t="s">
        <v>171</v>
      </c>
      <c r="E36" s="7"/>
      <c r="F36" s="7"/>
      <c r="G36" s="7"/>
      <c r="H36" s="43"/>
      <c r="I36" s="191"/>
      <c r="J36" s="191"/>
      <c r="K36" s="7"/>
      <c r="L36" s="43"/>
      <c r="M36" s="7"/>
      <c r="N36" s="341"/>
      <c r="O36" s="243">
        <v>28070</v>
      </c>
      <c r="P36" s="243">
        <v>44680</v>
      </c>
      <c r="Q36" s="243">
        <v>61290</v>
      </c>
    </row>
    <row r="37" spans="1:21" ht="15" customHeight="1" x14ac:dyDescent="0.35">
      <c r="A37" s="7" t="s">
        <v>40</v>
      </c>
      <c r="B37" s="7" t="s">
        <v>776</v>
      </c>
      <c r="C37" s="149" t="s">
        <v>777</v>
      </c>
      <c r="D37" s="7" t="s">
        <v>21</v>
      </c>
      <c r="E37" s="7">
        <v>69000</v>
      </c>
      <c r="F37" s="7">
        <v>64000</v>
      </c>
      <c r="G37" s="7">
        <v>59000</v>
      </c>
      <c r="H37" s="7"/>
      <c r="I37" s="43">
        <v>2.35</v>
      </c>
      <c r="J37" s="7"/>
      <c r="K37" s="7"/>
      <c r="L37" s="43">
        <v>4.7</v>
      </c>
      <c r="M37" s="7"/>
      <c r="N37" s="149" t="s">
        <v>778</v>
      </c>
      <c r="O37" s="243">
        <v>110</v>
      </c>
      <c r="P37" s="243">
        <v>250</v>
      </c>
      <c r="Q37" s="243">
        <v>400</v>
      </c>
    </row>
    <row r="38" spans="1:21" x14ac:dyDescent="0.35">
      <c r="A38" s="7"/>
      <c r="B38" s="7"/>
      <c r="C38" s="149"/>
      <c r="D38" s="7" t="s">
        <v>22</v>
      </c>
      <c r="E38" s="7">
        <v>69000</v>
      </c>
      <c r="F38" s="7">
        <v>64000</v>
      </c>
      <c r="G38" s="7">
        <v>59000</v>
      </c>
      <c r="H38" s="43"/>
      <c r="I38" s="191">
        <v>2.8000000000000001E-2</v>
      </c>
      <c r="J38" s="191"/>
      <c r="K38" s="7"/>
      <c r="L38" s="30">
        <v>5.6000000000000001E-2</v>
      </c>
      <c r="M38" s="7"/>
      <c r="N38" s="149"/>
      <c r="O38" s="243">
        <v>50</v>
      </c>
      <c r="P38" s="243">
        <v>120</v>
      </c>
      <c r="Q38" s="243">
        <v>200</v>
      </c>
    </row>
    <row r="39" spans="1:21" x14ac:dyDescent="0.35">
      <c r="A39" s="7"/>
      <c r="B39" s="7"/>
      <c r="C39" s="149"/>
      <c r="D39" s="7" t="s">
        <v>171</v>
      </c>
      <c r="E39" s="7"/>
      <c r="F39" s="7"/>
      <c r="G39" s="7"/>
      <c r="H39" s="43"/>
      <c r="I39" s="191"/>
      <c r="J39" s="191"/>
      <c r="K39" s="7"/>
      <c r="L39" s="43"/>
      <c r="M39" s="7"/>
      <c r="N39" s="341"/>
      <c r="O39" s="243">
        <v>160</v>
      </c>
      <c r="P39" s="243">
        <v>380</v>
      </c>
      <c r="Q39" s="243">
        <v>600</v>
      </c>
    </row>
    <row r="40" spans="1:21" x14ac:dyDescent="0.35">
      <c r="A40" s="7" t="s">
        <v>779</v>
      </c>
      <c r="B40" s="7" t="s">
        <v>780</v>
      </c>
      <c r="C40" s="149" t="s">
        <v>781</v>
      </c>
      <c r="D40" s="7" t="s">
        <v>21</v>
      </c>
      <c r="E40" s="7" t="s">
        <v>782</v>
      </c>
      <c r="F40" s="7" t="s">
        <v>783</v>
      </c>
      <c r="G40" s="7" t="s">
        <v>784</v>
      </c>
      <c r="H40" s="7"/>
      <c r="I40" s="43">
        <v>3.03</v>
      </c>
      <c r="J40" s="7"/>
      <c r="K40" s="7"/>
      <c r="L40" s="43">
        <v>5.05</v>
      </c>
      <c r="M40" s="7"/>
      <c r="N40" s="149" t="s">
        <v>785</v>
      </c>
      <c r="O40" s="243">
        <v>396000</v>
      </c>
      <c r="P40" s="243">
        <v>541000</v>
      </c>
      <c r="Q40" s="243">
        <v>685000</v>
      </c>
    </row>
    <row r="41" spans="1:21" x14ac:dyDescent="0.35">
      <c r="A41" s="7"/>
      <c r="B41" s="7"/>
      <c r="C41" s="149"/>
      <c r="D41" s="7" t="s">
        <v>22</v>
      </c>
      <c r="E41" s="7" t="s">
        <v>782</v>
      </c>
      <c r="F41" s="7" t="s">
        <v>783</v>
      </c>
      <c r="G41" s="7" t="s">
        <v>784</v>
      </c>
      <c r="H41" s="43"/>
      <c r="I41" s="191">
        <v>3.3700000000000001E-2</v>
      </c>
      <c r="J41" s="191"/>
      <c r="K41" s="7"/>
      <c r="L41" s="30">
        <v>5.6099999999999997E-2</v>
      </c>
      <c r="M41" s="7"/>
      <c r="N41" s="149"/>
      <c r="O41" s="243">
        <v>156000</v>
      </c>
      <c r="P41" s="243">
        <v>249000</v>
      </c>
      <c r="Q41" s="243">
        <v>341000</v>
      </c>
    </row>
    <row r="42" spans="1:21" x14ac:dyDescent="0.35">
      <c r="A42" s="7"/>
      <c r="B42" s="7"/>
      <c r="C42" s="149"/>
      <c r="D42" s="7" t="s">
        <v>171</v>
      </c>
      <c r="E42" s="7"/>
      <c r="F42" s="7"/>
      <c r="G42" s="7"/>
      <c r="H42" s="43"/>
      <c r="I42" s="191"/>
      <c r="J42" s="191"/>
      <c r="K42" s="7"/>
      <c r="L42" s="43"/>
      <c r="M42" s="7"/>
      <c r="N42" s="341"/>
      <c r="O42" s="243">
        <v>552000</v>
      </c>
      <c r="P42" s="243">
        <v>789000</v>
      </c>
      <c r="Q42" s="243">
        <v>1027000</v>
      </c>
    </row>
    <row r="43" spans="1:21" x14ac:dyDescent="0.35">
      <c r="A43" s="7" t="s">
        <v>786</v>
      </c>
      <c r="B43" s="7"/>
      <c r="C43" s="149" t="s">
        <v>787</v>
      </c>
      <c r="D43" s="7" t="s">
        <v>21</v>
      </c>
      <c r="E43" s="355" t="s">
        <v>788</v>
      </c>
      <c r="F43" s="355" t="s">
        <v>789</v>
      </c>
      <c r="G43" s="182" t="s">
        <v>790</v>
      </c>
      <c r="H43" s="43"/>
      <c r="I43" s="43">
        <v>1.33</v>
      </c>
      <c r="J43" s="191"/>
      <c r="K43" s="7"/>
      <c r="L43" s="43">
        <v>3.89</v>
      </c>
      <c r="M43" s="7"/>
      <c r="N43" s="149" t="s">
        <v>785</v>
      </c>
      <c r="O43" s="243">
        <v>98000</v>
      </c>
      <c r="P43" s="243">
        <v>229000</v>
      </c>
      <c r="Q43" s="243">
        <v>360000</v>
      </c>
    </row>
    <row r="44" spans="1:21" x14ac:dyDescent="0.35">
      <c r="A44" s="7"/>
      <c r="B44" s="7" t="s">
        <v>791</v>
      </c>
      <c r="C44" s="149"/>
      <c r="D44" s="7" t="s">
        <v>22</v>
      </c>
      <c r="E44" s="355" t="s">
        <v>788</v>
      </c>
      <c r="F44" s="355" t="s">
        <v>789</v>
      </c>
      <c r="G44" s="182" t="s">
        <v>790</v>
      </c>
      <c r="H44" s="7"/>
      <c r="I44" s="191">
        <v>1.35E-2</v>
      </c>
      <c r="J44" s="7"/>
      <c r="K44" s="7"/>
      <c r="L44" s="30">
        <v>3.9600000000000003E-2</v>
      </c>
      <c r="M44" s="7"/>
      <c r="N44" s="149"/>
      <c r="O44" s="243">
        <v>30000</v>
      </c>
      <c r="P44" s="243">
        <v>96000</v>
      </c>
      <c r="Q44" s="243">
        <v>163000</v>
      </c>
    </row>
    <row r="45" spans="1:21" x14ac:dyDescent="0.35">
      <c r="A45" s="7"/>
      <c r="B45" s="7"/>
      <c r="C45" s="149"/>
      <c r="D45" s="7" t="s">
        <v>171</v>
      </c>
      <c r="E45" s="355"/>
      <c r="F45" s="355"/>
      <c r="G45" s="182"/>
      <c r="H45" s="43"/>
      <c r="I45" s="7"/>
      <c r="J45" s="191"/>
      <c r="K45" s="7"/>
      <c r="L45" s="43"/>
      <c r="M45" s="7"/>
      <c r="N45" s="149"/>
      <c r="O45" s="243">
        <v>128000</v>
      </c>
      <c r="P45" s="243">
        <v>325000</v>
      </c>
      <c r="Q45" s="243">
        <v>522000</v>
      </c>
    </row>
    <row r="46" spans="1:21" x14ac:dyDescent="0.35">
      <c r="B46" s="7"/>
      <c r="F46" s="7"/>
      <c r="G46" s="7"/>
      <c r="H46" s="7"/>
      <c r="I46" s="7"/>
      <c r="J46" s="7"/>
      <c r="K46" s="7"/>
      <c r="L46" s="7"/>
      <c r="M46" s="7"/>
      <c r="N46" s="7"/>
      <c r="O46" s="7"/>
      <c r="P46" s="7"/>
      <c r="Q46" s="7"/>
    </row>
    <row r="47" spans="1:21" x14ac:dyDescent="0.35">
      <c r="A47" s="50"/>
      <c r="B47" s="52"/>
      <c r="C47" s="50"/>
      <c r="D47" s="50"/>
      <c r="E47" s="50"/>
      <c r="F47" s="52"/>
      <c r="G47" s="52"/>
      <c r="H47" s="52"/>
      <c r="I47" s="52"/>
      <c r="J47" s="52"/>
      <c r="K47" s="52"/>
      <c r="L47" s="52"/>
      <c r="M47" s="52"/>
      <c r="N47" s="52"/>
      <c r="O47" s="52"/>
      <c r="P47" s="52"/>
      <c r="Q47" s="52"/>
      <c r="R47" s="52"/>
      <c r="S47" s="52"/>
      <c r="T47" s="52"/>
      <c r="U47" s="52"/>
    </row>
    <row r="48" spans="1:21" ht="20" thickBot="1" x14ac:dyDescent="0.5">
      <c r="A48" s="85" t="s">
        <v>341</v>
      </c>
      <c r="B48" s="52"/>
      <c r="C48" s="50"/>
      <c r="D48" s="50"/>
      <c r="E48" s="50"/>
      <c r="F48" s="343"/>
      <c r="G48" s="86"/>
      <c r="H48" s="86"/>
      <c r="I48" s="86"/>
      <c r="J48" s="86"/>
      <c r="K48" s="86"/>
      <c r="L48" s="86"/>
      <c r="M48" s="86"/>
      <c r="N48" s="86"/>
      <c r="O48" s="86"/>
      <c r="P48" s="86"/>
      <c r="Q48" s="86"/>
      <c r="R48" s="86"/>
      <c r="S48" s="86"/>
      <c r="T48" s="86"/>
      <c r="U48" s="86"/>
    </row>
    <row r="49" spans="1:21" ht="56.25" customHeight="1" x14ac:dyDescent="0.35">
      <c r="A49" s="50"/>
      <c r="B49" s="54"/>
      <c r="C49" s="52"/>
      <c r="D49" s="188"/>
      <c r="E49" s="188"/>
      <c r="F49" s="86" t="s">
        <v>342</v>
      </c>
      <c r="G49" s="315"/>
      <c r="H49" s="315"/>
      <c r="I49" s="86" t="s">
        <v>343</v>
      </c>
      <c r="J49" s="86"/>
      <c r="K49" s="251" t="s">
        <v>680</v>
      </c>
      <c r="L49" s="88" t="s">
        <v>674</v>
      </c>
      <c r="M49" s="598" t="s">
        <v>356</v>
      </c>
      <c r="N49" s="598" t="s">
        <v>357</v>
      </c>
      <c r="O49" s="598" t="s">
        <v>358</v>
      </c>
      <c r="P49" s="598" t="s">
        <v>359</v>
      </c>
      <c r="Q49" s="88" t="s">
        <v>346</v>
      </c>
      <c r="R49" s="189" t="s">
        <v>124</v>
      </c>
      <c r="S49" s="268" t="s">
        <v>681</v>
      </c>
      <c r="T49" s="86"/>
      <c r="U49" s="86"/>
    </row>
    <row r="50" spans="1:21" x14ac:dyDescent="0.35">
      <c r="A50" s="54" t="s">
        <v>347</v>
      </c>
      <c r="B50" s="54" t="s">
        <v>348</v>
      </c>
      <c r="C50" s="189" t="s">
        <v>349</v>
      </c>
      <c r="D50" s="189" t="s">
        <v>418</v>
      </c>
      <c r="E50" s="88" t="s">
        <v>350</v>
      </c>
      <c r="F50" s="88" t="s">
        <v>351</v>
      </c>
      <c r="G50" s="88" t="s">
        <v>352</v>
      </c>
      <c r="H50" s="88" t="s">
        <v>353</v>
      </c>
      <c r="I50" s="88" t="s">
        <v>354</v>
      </c>
      <c r="J50" s="88" t="s">
        <v>355</v>
      </c>
      <c r="K50" s="187"/>
      <c r="L50" s="54"/>
      <c r="M50" s="11"/>
      <c r="N50" s="11"/>
      <c r="O50" s="11"/>
      <c r="P50" s="86"/>
      <c r="Q50" s="54"/>
      <c r="R50" s="189"/>
      <c r="S50" s="333"/>
      <c r="T50" s="86"/>
      <c r="U50" s="86"/>
    </row>
    <row r="51" spans="1:21" x14ac:dyDescent="0.35">
      <c r="A51" s="339" t="s">
        <v>742</v>
      </c>
      <c r="B51" s="7" t="s">
        <v>131</v>
      </c>
      <c r="C51" s="7" t="s">
        <v>132</v>
      </c>
      <c r="D51" s="365" t="s">
        <v>21</v>
      </c>
      <c r="E51" s="36">
        <f ca="1">INDEX(INDIRECT("SSW_WTPCore2_"&amp;$C51&amp;"_Levels"),1,MATCH(E$50,WTPCore2_AttLevels,0))</f>
        <v>1.6666666666666666E-2</v>
      </c>
      <c r="F51" s="36"/>
      <c r="G51" s="36">
        <f ca="1">INDEX(INDIRECT("SSW_WTPCore2_"&amp;$C51&amp;"_Levels"),1,MATCH(G$50,WTPCore2_AttLevels,0))</f>
        <v>1.1111111111111112E-2</v>
      </c>
      <c r="H51" s="90">
        <f ca="1">INDEX(INDIRECT("SSW_WTPCore2_"&amp;$C51&amp;"_LevelValues"),1,MATCH("S1 MEAN",WTPCore2_LevelValues,0))</f>
        <v>0.30818609087835352</v>
      </c>
      <c r="I51" s="90">
        <f ca="1">INDEX(INDIRECT("SSW_WTPCore2_"&amp;$C51&amp;"_LevelValues"),1,MATCH("S2 MEAN",WTPCore2_LevelValues,0))</f>
        <v>0.18578205633963885</v>
      </c>
      <c r="J51" s="90">
        <f ca="1">H51+I51</f>
        <v>0.49396814721799237</v>
      </c>
      <c r="K51" s="260">
        <f>VLOOKUP($A51,$A$6:$Q$45,COLUMN($P$3),0)</f>
        <v>1570</v>
      </c>
      <c r="L51" s="260">
        <f ca="1">K51*(E51-G51)</f>
        <v>8.7222222222222214</v>
      </c>
      <c r="M51" s="429">
        <f t="shared" ref="M51:M55" ca="1" si="0">INDEX(INDIRECT("SSW_WTPCore_DCE_"&amp;$C51&amp;"_UnitValues"),MATCH("COMBINED-HH",WTPCore_Group,0),MATCH("MEAN",LMH,0))</f>
        <v>173.83878023943072</v>
      </c>
      <c r="N51" s="429">
        <f ca="1">M51*(E51-G51)*(AllProps_SSW/HHProps_SSW)</f>
        <v>1.0194594594594593</v>
      </c>
      <c r="O51" s="89">
        <f t="shared" ref="O51:O55" ca="1" si="1">INDEX(INDIRECT("SSW_WTPCore2_"&amp;$C51&amp;"_UnitValues"),1,MATCH("MEAN",LMH,0))</f>
        <v>84.231716516748989</v>
      </c>
      <c r="P51" s="429">
        <f ca="1">O51*($E51-$G51)*(AllProps_SSW/HHProps_SSW)</f>
        <v>0.49396814721799237</v>
      </c>
      <c r="Q51" s="10">
        <f ca="1">L51*$O$57/$L$56</f>
        <v>1.0107008542886784</v>
      </c>
      <c r="R51" s="23" t="s">
        <v>127</v>
      </c>
      <c r="S51" s="366">
        <f ca="1">Q51*HHProps_SSW/((E51-G51)*AllProps_SSW)</f>
        <v>172.3452581328286</v>
      </c>
    </row>
    <row r="52" spans="1:21" x14ac:dyDescent="0.35">
      <c r="A52" s="18" t="s">
        <v>746</v>
      </c>
      <c r="B52" s="7" t="s">
        <v>129</v>
      </c>
      <c r="C52" s="7" t="s">
        <v>130</v>
      </c>
      <c r="D52" s="365" t="s">
        <v>21</v>
      </c>
      <c r="E52" s="36">
        <f ca="1">INDEX(INDIRECT("SSW_WTPCore2_"&amp;$C52&amp;"_Levels"),1,MATCH(E$50,WTPCore2_AttLevels,0))</f>
        <v>6.6666666666666666E-2</v>
      </c>
      <c r="F52" s="36"/>
      <c r="G52" s="36">
        <f ca="1">INDEX(INDIRECT("SSW_WTPCore2_"&amp;$C52&amp;"_Levels"),1,MATCH(G$50,WTPCore2_AttLevels,0))</f>
        <v>0.04</v>
      </c>
      <c r="H52" s="90">
        <f ca="1">INDEX(INDIRECT("SSW_WTPCore2_"&amp;$C52&amp;"_LevelValues"),1,MATCH("S1 MEAN",WTPCore2_LevelValues,0))</f>
        <v>3.3679929677046498</v>
      </c>
      <c r="I52" s="90">
        <f ca="1">INDEX(INDIRECT("SSW_WTPCore2_"&amp;$C52&amp;"_LevelValues"),1,MATCH("S2 MEAN",WTPCore2_LevelValues,0))</f>
        <v>0.60669022375558512</v>
      </c>
      <c r="J52" s="90">
        <f ca="1">H52+I52</f>
        <v>3.974683191460235</v>
      </c>
      <c r="K52" s="260">
        <f>VLOOKUP($A52,$A$6:$Q$45,COLUMN($P$3),0)</f>
        <v>1540</v>
      </c>
      <c r="L52" s="260">
        <f ca="1">K52*(E52-G52)</f>
        <v>41.066666666666663</v>
      </c>
      <c r="M52" s="429">
        <f t="shared" ca="1" si="0"/>
        <v>28.111247840776404</v>
      </c>
      <c r="N52" s="429">
        <f ca="1">M52*(E52-G52)*(AllProps_SSW/HHProps_SSW)</f>
        <v>0.79130635838150276</v>
      </c>
      <c r="O52" s="89">
        <f t="shared" ca="1" si="1"/>
        <v>141.20106972505607</v>
      </c>
      <c r="P52" s="429">
        <f ca="1">O52*($E52-$G52)*(AllProps_SSW/HHProps_SSW)</f>
        <v>3.9746831914602345</v>
      </c>
      <c r="Q52" s="10">
        <f t="shared" ref="Q52:Q53" ca="1" si="2">L52*$O$57/$L$56</f>
        <v>4.7586628757337008</v>
      </c>
      <c r="R52" s="23" t="s">
        <v>127</v>
      </c>
      <c r="S52" s="366">
        <f ca="1">Q52*HHProps_SSW/((E52-G52)*AllProps_SSW)</f>
        <v>169.0520366398446</v>
      </c>
    </row>
    <row r="53" spans="1:21" x14ac:dyDescent="0.35">
      <c r="A53" s="7" t="s">
        <v>760</v>
      </c>
      <c r="B53" s="7" t="s">
        <v>137</v>
      </c>
      <c r="C53" s="7" t="s">
        <v>138</v>
      </c>
      <c r="D53" s="365" t="s">
        <v>21</v>
      </c>
      <c r="E53" s="36">
        <f ca="1">INDEX(INDIRECT("SSW_WTPCore2_"&amp;$C53&amp;"_Levels"),1,MATCH(E$50,WTPCore2_AttLevels,0))</f>
        <v>1.4285714285714285E-2</v>
      </c>
      <c r="F53" s="36"/>
      <c r="G53" s="36">
        <f ca="1">INDEX(INDIRECT("SSW_WTPCore2_"&amp;$C53&amp;"_Levels"),1,MATCH(G$50,WTPCore2_AttLevels,0))</f>
        <v>9.5238095238095247E-3</v>
      </c>
      <c r="H53" s="90">
        <f ca="1">INDEX(INDIRECT("SSW_WTPCore2_"&amp;$C53&amp;"_LevelValues"),1,MATCH("S1 MEAN",WTPCore2_LevelValues,0))</f>
        <v>0.39718669024665654</v>
      </c>
      <c r="I53" s="90">
        <f ca="1">INDEX(INDIRECT("SSW_WTPCore2_"&amp;$C53&amp;"_LevelValues"),1,MATCH("S2 MEAN",WTPCore2_LevelValues,0))</f>
        <v>0.53859352958370721</v>
      </c>
      <c r="J53" s="90">
        <f ca="1">H53+I53</f>
        <v>0.93578021983036375</v>
      </c>
      <c r="K53" s="260">
        <f>VLOOKUP($A53,$A$6:$Q$45,COLUMN($P$3),0)</f>
        <v>2970</v>
      </c>
      <c r="L53" s="260">
        <f ca="1">K53*(E53-G53)</f>
        <v>14.142857142857139</v>
      </c>
      <c r="M53" s="429">
        <f t="shared" ca="1" si="0"/>
        <v>162.10819588181059</v>
      </c>
      <c r="N53" s="429">
        <f ca="1">M53*($E53-$G53)*(AllProps_SSW/HHProps_SSW)</f>
        <v>0.8148571428571425</v>
      </c>
      <c r="O53" s="89">
        <f t="shared" ca="1" si="1"/>
        <v>186.16470937063306</v>
      </c>
      <c r="P53" s="429">
        <f ca="1">O53*($E53-$G53)*(AllProps_SSW/HHProps_SSW)</f>
        <v>0.93578021983036375</v>
      </c>
      <c r="Q53" s="10">
        <f t="shared" ca="1" si="2"/>
        <v>1.6388252250613509</v>
      </c>
      <c r="R53" s="23" t="s">
        <v>127</v>
      </c>
      <c r="S53" s="366">
        <f ca="1">Q53*HHProps_SSW/((E53-G53)*AllProps_SSW)</f>
        <v>326.02892780541464</v>
      </c>
    </row>
    <row r="54" spans="1:21" x14ac:dyDescent="0.35">
      <c r="A54" s="18" t="s">
        <v>751</v>
      </c>
      <c r="B54" s="7" t="s">
        <v>135</v>
      </c>
      <c r="C54" s="7" t="s">
        <v>136</v>
      </c>
      <c r="D54" s="365" t="s">
        <v>21</v>
      </c>
      <c r="E54" s="37">
        <f ca="1">INDEX(INDIRECT("SSW_WTPCore2_"&amp;$C54&amp;"_Levels"),1,MATCH(E$50,WTPCore2_AttLevels,0))</f>
        <v>0</v>
      </c>
      <c r="F54" s="36"/>
      <c r="G54" s="37">
        <f ca="1">INDEX(INDIRECT("SSW_WTPCore2_"&amp;$C54&amp;"_Levels"),1,MATCH(G$50,WTPCore2_AttLevels,0))</f>
        <v>4000</v>
      </c>
      <c r="H54" s="90">
        <f ca="1">INDEX(INDIRECT("SSW_WTPCore2_"&amp;$C54&amp;"_LevelValues"),1,MATCH("S1 MEAN",WTPCore2_LevelValues,0))</f>
        <v>5.2894480160712298</v>
      </c>
      <c r="I54" s="90">
        <f ca="1">INDEX(INDIRECT("SSW_WTPCore2_"&amp;$C54&amp;"_LevelValues"),1,MATCH("S2 MEAN",WTPCore2_LevelValues,0))</f>
        <v>0.60625599239311434</v>
      </c>
      <c r="J54" s="90">
        <f ca="1">H54+I54</f>
        <v>5.8957040084643442</v>
      </c>
      <c r="K54" s="169">
        <f>VLOOKUP($A54,$A$6:$Q$45,COLUMN($P$3),0)/HHProps_SSW</f>
        <v>7.2186372087936128</v>
      </c>
      <c r="L54" s="169">
        <f ca="1">-K54*(E54-G54)/HHProps_SSW</f>
        <v>5.3527193787549707E-2</v>
      </c>
      <c r="M54" s="429">
        <f t="shared" ca="1" si="0"/>
        <v>6.1861063528998557</v>
      </c>
      <c r="N54" s="429">
        <f ca="1">-M54*(E54-G54)/HHProps_SSW</f>
        <v>4.5870834613864868E-2</v>
      </c>
      <c r="O54" s="89">
        <f t="shared" ca="1" si="1"/>
        <v>795.09022080349519</v>
      </c>
      <c r="P54" s="429">
        <f ca="1">-O54*(E54-G54)/HHProps_SSW</f>
        <v>5.8957040084643442</v>
      </c>
      <c r="Q54" s="10">
        <f ca="1">L54*$O$57/$L$56</f>
        <v>6.2025455337422833E-3</v>
      </c>
      <c r="R54" s="23" t="s">
        <v>127</v>
      </c>
      <c r="S54" s="494">
        <f ca="1">-Q54*HHProps_SSW/((E54-G54))</f>
        <v>0.8364706387713341</v>
      </c>
    </row>
    <row r="55" spans="1:21" ht="15" thickBot="1" x14ac:dyDescent="0.4">
      <c r="A55" s="7" t="s">
        <v>762</v>
      </c>
      <c r="B55" s="7" t="s">
        <v>143</v>
      </c>
      <c r="C55" s="7" t="s">
        <v>144</v>
      </c>
      <c r="D55" s="365" t="s">
        <v>21</v>
      </c>
      <c r="E55" s="36">
        <f ca="1">INDEX(INDIRECT("SSW_WTPCore2_"&amp;$C55&amp;"_Levels"),1,MATCH(E$50,WTPCore2_AttLevels,0))</f>
        <v>2.5000000000000001E-2</v>
      </c>
      <c r="F55" s="36"/>
      <c r="G55" s="36">
        <f ca="1">INDEX(INDIRECT("SSW_WTPCore2_"&amp;$C55&amp;"_Levels"),1,MATCH(G$50,WTPCore2_AttLevels,0))</f>
        <v>1.5384615384615385E-2</v>
      </c>
      <c r="H55" s="90">
        <f ca="1">INDEX(INDIRECT("SSW_WTPCore2_"&amp;$C55&amp;"_LevelValues"),1,MATCH("S1 MEAN",WTPCore2_LevelValues,0))</f>
        <v>0.4084226191643695</v>
      </c>
      <c r="I55" s="90">
        <f ca="1">INDEX(INDIRECT("SSW_WTPCore2_"&amp;$C55&amp;"_LevelValues"),1,MATCH("S2 MEAN",WTPCore2_LevelValues,0))</f>
        <v>0.28250000903457151</v>
      </c>
      <c r="J55" s="90">
        <f ca="1">H55+I55</f>
        <v>0.69092262819894101</v>
      </c>
      <c r="K55" s="169">
        <f>VLOOKUP($A55,$A$6:$Q$45,COLUMN($P$3),0)*100/HHProps_SSW</f>
        <v>122.16440474049796</v>
      </c>
      <c r="L55" s="364">
        <f ca="1">K55*(E55-G55)</f>
        <v>1.1746577378894034</v>
      </c>
      <c r="M55" s="605">
        <f t="shared" ca="1" si="0"/>
        <v>245983.27199999994</v>
      </c>
      <c r="N55" s="429">
        <f ca="1">M55*(E55-G55)/HHProps_SSW*100</f>
        <v>0.43846153846153846</v>
      </c>
      <c r="O55" s="245">
        <f t="shared" ca="1" si="1"/>
        <v>387617.59897926223</v>
      </c>
      <c r="P55" s="429">
        <f ca="1">O55*(E55-G55)/HHProps_SSW*100</f>
        <v>0.69092262819894101</v>
      </c>
      <c r="Q55" s="10">
        <f ca="1">L55*$O$57/$L$56</f>
        <v>0.13611526385521835</v>
      </c>
      <c r="R55" s="23" t="s">
        <v>145</v>
      </c>
      <c r="S55" s="606">
        <f ca="1">Q55*HHProps_SSW/((E55-G55)*100)</f>
        <v>76362.633971798117</v>
      </c>
    </row>
    <row r="56" spans="1:21" x14ac:dyDescent="0.35">
      <c r="A56" s="7"/>
      <c r="B56" s="7"/>
      <c r="C56" s="7"/>
      <c r="D56" s="365"/>
      <c r="E56" s="36"/>
      <c r="F56" s="36"/>
      <c r="G56" s="36"/>
      <c r="H56" s="90"/>
      <c r="I56" s="90"/>
      <c r="J56" s="194">
        <f ca="1">SUM(J51:J55)</f>
        <v>11.991058195171876</v>
      </c>
      <c r="K56" s="29">
        <f>SUM(K51:K55)</f>
        <v>6209.3830419492915</v>
      </c>
      <c r="L56" s="29">
        <f ca="1">SUM(L51:L55)</f>
        <v>65.15993096342298</v>
      </c>
      <c r="N56" s="194">
        <f ca="1">SUM(N51:N55)</f>
        <v>3.1099553337735077</v>
      </c>
      <c r="P56" s="194">
        <f ca="1">SUM(P51:P55)</f>
        <v>11.991058195171876</v>
      </c>
      <c r="Q56" s="194">
        <f ca="1">SUM(Q51:Q55)</f>
        <v>7.5505067644726909</v>
      </c>
      <c r="R56" s="23"/>
      <c r="S56" s="400"/>
    </row>
    <row r="57" spans="1:21" x14ac:dyDescent="0.35">
      <c r="A57" s="7"/>
      <c r="B57" s="7"/>
      <c r="C57" s="7"/>
      <c r="D57" s="365"/>
      <c r="E57" s="36"/>
      <c r="F57" s="36"/>
      <c r="G57" s="36"/>
      <c r="H57" s="90"/>
      <c r="I57" s="90"/>
      <c r="J57" s="194"/>
      <c r="K57" s="29"/>
      <c r="L57" s="29"/>
      <c r="N57" s="603" t="s">
        <v>641</v>
      </c>
      <c r="O57" s="92">
        <f ca="1">AVERAGE(N56,P56)</f>
        <v>7.5505067644726918</v>
      </c>
      <c r="P57" s="194"/>
      <c r="Q57" s="194"/>
      <c r="R57" s="23"/>
      <c r="S57" s="400"/>
    </row>
    <row r="58" spans="1:21" x14ac:dyDescent="0.35">
      <c r="A58" s="7"/>
      <c r="B58" s="7"/>
      <c r="C58" s="7"/>
      <c r="D58" s="365"/>
      <c r="E58" s="36"/>
      <c r="F58" s="36"/>
      <c r="G58" s="36"/>
      <c r="H58" s="427" t="s">
        <v>792</v>
      </c>
      <c r="I58" s="427"/>
      <c r="J58" s="427"/>
      <c r="K58" s="169"/>
      <c r="L58" s="364"/>
      <c r="Q58" s="10"/>
      <c r="R58" s="23"/>
      <c r="S58" s="400"/>
    </row>
    <row r="59" spans="1:21" ht="15" thickBot="1" x14ac:dyDescent="0.4">
      <c r="B59" s="7"/>
      <c r="H59" s="88" t="s">
        <v>353</v>
      </c>
      <c r="I59" s="88" t="s">
        <v>354</v>
      </c>
      <c r="J59" s="88" t="s">
        <v>355</v>
      </c>
      <c r="K59" s="236"/>
      <c r="L59" s="236"/>
      <c r="Q59" s="194"/>
    </row>
    <row r="60" spans="1:21" x14ac:dyDescent="0.35">
      <c r="A60" s="339" t="s">
        <v>742</v>
      </c>
      <c r="B60" s="7" t="s">
        <v>131</v>
      </c>
      <c r="C60" s="7" t="s">
        <v>132</v>
      </c>
      <c r="D60" s="365" t="s">
        <v>22</v>
      </c>
      <c r="E60" s="36">
        <f ca="1">INDEX(INDIRECT("SSW_WTPCore2_"&amp;$C60&amp;"_Levels"),2,MATCH(E$50,WTPCore2_AttLevels,0))</f>
        <v>1.6666666666666666E-2</v>
      </c>
      <c r="F60" s="36"/>
      <c r="G60" s="36">
        <f ca="1">INDEX(INDIRECT("SSW_WTPCore2_"&amp;$C60&amp;"_Levels"),2,MATCH(G$50,WTPCore2_AttLevels,0))</f>
        <v>1.1111111111111112E-2</v>
      </c>
      <c r="H60" s="36">
        <f ca="1">INDEX(INDIRECT("SSW_WTPCore2_"&amp;$C60&amp;"_LevelValues"),2,MATCH("S1 MEAN",WTPCore2_LevelValues,0))</f>
        <v>3.6865032727528453E-3</v>
      </c>
      <c r="I60" s="36">
        <f ca="1">INDEX(INDIRECT("SSW_WTPCore2_"&amp;$C60&amp;"_LevelValues"),2,MATCH("S2 MEAN",WTPCore2_LevelValues,0))</f>
        <v>5.1592292451456759E-6</v>
      </c>
      <c r="J60" s="36">
        <f ca="1">SUM(H60:I60)</f>
        <v>3.691662501997991E-3</v>
      </c>
      <c r="K60" s="260">
        <f ca="1">INDEX(INDIRECT("SSW_PR14_WTP_"&amp;$C60&amp;"_UnitValues"),MATCH("NHH",SSW_PR14_WTPCore_Group,0),MATCH("MEAN",SSW_PR14_LMH,0))</f>
        <v>820</v>
      </c>
      <c r="L60" s="260">
        <f ca="1">K60*(E60-G60)</f>
        <v>4.5555555555555554</v>
      </c>
      <c r="M60" s="429">
        <f ca="1">INDEX(INDIRECT("SSW_WTPCore_DCE_"&amp;$C60&amp;"_UnitValues"),MATCH("COMBINED-NHH",WTPCore_Group,0),MATCH("MEAN",LMH,0))</f>
        <v>59.451088669301917</v>
      </c>
      <c r="N60" s="429">
        <f ca="1">M60*(E60-G60)*(AllProps_SSW/NHHProps_SSW)</f>
        <v>6.2715708812260536</v>
      </c>
      <c r="O60" s="89">
        <f ca="1">INDEX(INDIRECT("SSW_WTPCore2_"&amp;$C60&amp;"_UnitValues"),2,MATCH("MEAN",LMH,0))</f>
        <v>154.81769077846621</v>
      </c>
      <c r="P60" s="429">
        <f ca="1">O60*($E60-$G60)*(AllProps_SSW/NHHProps_SSW)</f>
        <v>16.331914908839114</v>
      </c>
      <c r="Q60" s="429">
        <f ca="1">L60*$O$66/$L$65</f>
        <v>11.205653335817162</v>
      </c>
      <c r="R60" s="23" t="s">
        <v>127</v>
      </c>
      <c r="S60" s="607">
        <f ca="1">Q60*NHHProps_SSW/((E60-G60)*AllProps_SSW)</f>
        <v>106.22351284577832</v>
      </c>
    </row>
    <row r="61" spans="1:21" x14ac:dyDescent="0.35">
      <c r="A61" s="18" t="s">
        <v>746</v>
      </c>
      <c r="B61" s="7" t="s">
        <v>129</v>
      </c>
      <c r="C61" s="7" t="s">
        <v>130</v>
      </c>
      <c r="D61" s="365" t="s">
        <v>22</v>
      </c>
      <c r="E61" s="36">
        <f ca="1">INDEX(INDIRECT("SSW_WTPCore2_"&amp;$C61&amp;"_Levels"),2,MATCH(E$50,WTPCore2_AttLevels,0))</f>
        <v>6.6666666666666666E-2</v>
      </c>
      <c r="F61" s="36"/>
      <c r="G61" s="36">
        <f ca="1">INDEX(INDIRECT("SSW_WTPCore2_"&amp;$C61&amp;"_Levels"),2,MATCH(G$50,WTPCore2_AttLevels,0))</f>
        <v>0.04</v>
      </c>
      <c r="H61" s="36">
        <f ca="1">INDEX(INDIRECT("SSW_WTPCore2_"&amp;$C61&amp;"_LevelValues"),2,MATCH("S1 MEAN",WTPCore2_LevelValues,0))</f>
        <v>1.9376915692789636E-2</v>
      </c>
      <c r="I61" s="36">
        <f ca="1">INDEX(INDIRECT("SSW_WTPCore2_"&amp;$C61&amp;"_LevelValues"),2,MATCH("S2 MEAN",WTPCore2_LevelValues,0))</f>
        <v>4.9841954334050795E-4</v>
      </c>
      <c r="J61" s="36">
        <f t="shared" ref="J61:J64" ca="1" si="3">SUM(H61:I61)</f>
        <v>1.9875335236130144E-2</v>
      </c>
      <c r="K61" s="260">
        <f ca="1">INDEX(INDIRECT("SSW_PR14_WTP_"&amp;$C61&amp;"_UnitValues"),MATCH("NHH",SSW_PR14_WTPCore_Group,0),MATCH("MEAN",SSW_PR14_LMH,0))</f>
        <v>750</v>
      </c>
      <c r="L61" s="260">
        <f ca="1">K61*(E61-G61)</f>
        <v>20</v>
      </c>
      <c r="M61" s="429">
        <f ca="1">INDEX(INDIRECT("SSW_WTPCore_DCE_"&amp;$C61&amp;"_UnitValues"),MATCH("COMBINED-NHH",WTPCore_Group,0),MATCH("MEAN",LMH,0))</f>
        <v>37.156930418313699</v>
      </c>
      <c r="N61" s="429">
        <f ca="1">M61*(E61-G61)*(AllProps_SSW/NHHProps_SSW)</f>
        <v>18.814712643678163</v>
      </c>
      <c r="O61" s="89">
        <f ca="1">INDEX(INDIRECT("SSW_WTPCore2_"&amp;$C61&amp;"_UnitValues"),2,MATCH("MEAN",LMH,0))</f>
        <v>173.64881354494736</v>
      </c>
      <c r="P61" s="429">
        <f ca="1">O61*($E61-$G61)*(AllProps_SSW/NHHProps_SSW)</f>
        <v>87.928483084639765</v>
      </c>
      <c r="Q61" s="429">
        <f t="shared" ref="Q61:Q64" ca="1" si="4">L61*$O$66/$L$65</f>
        <v>49.195551230416811</v>
      </c>
      <c r="R61" s="23" t="s">
        <v>127</v>
      </c>
      <c r="S61" s="494">
        <f ca="1">Q61*NHHProps_SSW/((E61-G61)*AllProps_SSW)</f>
        <v>97.155651993089919</v>
      </c>
    </row>
    <row r="62" spans="1:21" x14ac:dyDescent="0.35">
      <c r="A62" s="7" t="s">
        <v>760</v>
      </c>
      <c r="B62" s="7" t="s">
        <v>137</v>
      </c>
      <c r="C62" s="7" t="s">
        <v>138</v>
      </c>
      <c r="D62" s="365" t="s">
        <v>22</v>
      </c>
      <c r="E62" s="36">
        <f ca="1">INDEX(INDIRECT("SSW_WTPCore2_"&amp;$C62&amp;"_Levels"),2,MATCH(E$50,WTPCore2_AttLevels,0))</f>
        <v>1.2500000000000001E-2</v>
      </c>
      <c r="F62" s="36"/>
      <c r="G62" s="36">
        <f ca="1">INDEX(INDIRECT("SSW_WTPCore2_"&amp;$C62&amp;"_Levels"),2,MATCH(G$50,WTPCore2_AttLevels,0))</f>
        <v>8.3333333333333332E-3</v>
      </c>
      <c r="H62" s="36">
        <f ca="1">INDEX(INDIRECT("SSW_WTPCore2_"&amp;$C62&amp;"_LevelValues"),2,MATCH("S1 MEAN",WTPCore2_LevelValues,0))</f>
        <v>2.3562800507588295E-4</v>
      </c>
      <c r="I62" s="36">
        <f ca="1">INDEX(INDIRECT("SSW_WTPCore2_"&amp;$C62&amp;"_LevelValues"),2,MATCH("S2 MEAN",WTPCore2_LevelValues,0))</f>
        <v>4.1117889914467278E-4</v>
      </c>
      <c r="J62" s="36">
        <f t="shared" ca="1" si="3"/>
        <v>6.4680690422055573E-4</v>
      </c>
      <c r="K62" s="260">
        <f ca="1">INDEX(INDIRECT("SSW_PR14_WTP_"&amp;$C62&amp;"_UnitValues"),MATCH("NHH",SSW_PR14_WTPCore_Group,0),MATCH("MEAN",SSW_PR14_LMH,0))</f>
        <v>2560</v>
      </c>
      <c r="L62" s="260">
        <f ca="1">K62*(E62-G62)</f>
        <v>10.666666666666668</v>
      </c>
      <c r="M62" s="429">
        <f ca="1">INDEX(INDIRECT("SSW_WTPCore_DCE_"&amp;$C62&amp;"_UnitValues"),MATCH("COMBINED-NHH",WTPCore_Group,0),MATCH("MEAN",LMH,0))</f>
        <v>260.23872775996313</v>
      </c>
      <c r="N62" s="429">
        <f ca="1">M62*(E62-G62)*(AllProps_SSW/NHHProps_SSW)</f>
        <v>20.589685534591201</v>
      </c>
      <c r="O62" s="89">
        <f ca="1">INDEX(INDIRECT("SSW_WTPCore2_"&amp;$C62&amp;"_UnitValues"),2,MATCH("MEAN",LMH,0))</f>
        <v>36.166957745748803</v>
      </c>
      <c r="P62" s="429">
        <f ca="1">O62*($E62-$G62)*(AllProps_SSW/NHHProps_SSW)</f>
        <v>2.8614737442717386</v>
      </c>
      <c r="Q62" s="429">
        <f t="shared" ca="1" si="4"/>
        <v>26.237627322888969</v>
      </c>
      <c r="R62" s="23" t="s">
        <v>127</v>
      </c>
      <c r="S62" s="494">
        <f ca="1">Q62*NHHProps_SSW/((E62-G62)*AllProps_SSW)</f>
        <v>331.62462546974695</v>
      </c>
    </row>
    <row r="63" spans="1:21" x14ac:dyDescent="0.35">
      <c r="A63" s="18" t="s">
        <v>751</v>
      </c>
      <c r="B63" s="7" t="s">
        <v>135</v>
      </c>
      <c r="C63" s="7" t="s">
        <v>136</v>
      </c>
      <c r="D63" s="365" t="s">
        <v>22</v>
      </c>
      <c r="E63" s="37">
        <f ca="1">INDEX(INDIRECT("SSW_WTPCore2_"&amp;$C63&amp;"_Levels"),2,MATCH(E$50,WTPCore2_AttLevels,0))</f>
        <v>0</v>
      </c>
      <c r="F63" s="36"/>
      <c r="G63" s="37">
        <f ca="1">INDEX(INDIRECT("SSW_WTPCore2_"&amp;$C63&amp;"_Levels"),2,MATCH(G$50,WTPCore2_AttLevels,0))</f>
        <v>4000</v>
      </c>
      <c r="H63" s="36">
        <f ca="1">INDEX(INDIRECT("SSW_WTPCore2_"&amp;$C63&amp;"_LevelValues"),2,MATCH("S1 MEAN",WTPCore2_LevelValues,0))</f>
        <v>4.1590321254674992E-3</v>
      </c>
      <c r="I63" s="36">
        <f ca="1">INDEX(INDIRECT("SSW_WTPCore2_"&amp;$C63&amp;"_LevelValues"),2,MATCH("S2 MEAN",WTPCore2_LevelValues,0))</f>
        <v>5.1578958405461544E-4</v>
      </c>
      <c r="J63" s="36">
        <f t="shared" ca="1" si="3"/>
        <v>4.6748217095221147E-3</v>
      </c>
      <c r="K63" s="169">
        <f ca="1">INDEX(INDIRECT("SSW_PR14_WTP_"&amp;$C63&amp;"_UnitValues"),MATCH("NHH",SSW_PR14_WTPCore_Group,0),MATCH("MEAN",SSW_PR14_LMH,0))/NHHProps_SSW</f>
        <v>18.974256369214352</v>
      </c>
      <c r="L63" s="260">
        <f ca="1">-K63*(E63-G63)/NHHProps_SSW</f>
        <v>2.5309132145143862</v>
      </c>
      <c r="M63" s="429">
        <f ca="1">INDEX(INDIRECT("SSW_WTPCore_DCE_"&amp;$C63&amp;"_UnitValues"),MATCH("COMBINED-NHH",WTPCore_Group,0),MATCH("MEAN",LMH,0))</f>
        <v>8.1544398647758722</v>
      </c>
      <c r="N63" s="429">
        <f ca="1">-M63*(E63-G63)/NHHProps_SSW</f>
        <v>1.0876937261272339</v>
      </c>
      <c r="O63" s="89">
        <f ca="1">INDEX(INDIRECT("SSW_WTPCore2_"&amp;$C63&amp;"_UnitValues"),2,MATCH("MEAN",LMH,0))</f>
        <v>155.04854008821499</v>
      </c>
      <c r="P63" s="429">
        <f ca="1">-O63*(E63-G63)/NHHProps_SSW</f>
        <v>20.681411242925837</v>
      </c>
      <c r="Q63" s="429">
        <f t="shared" ca="1" si="4"/>
        <v>6.2254835352190687</v>
      </c>
      <c r="R63" s="23" t="s">
        <v>127</v>
      </c>
      <c r="S63" s="494">
        <f ca="1">-Q63*NHHProps_SSW/((E63-G63))</f>
        <v>46.672450063537354</v>
      </c>
    </row>
    <row r="64" spans="1:21" ht="15" thickBot="1" x14ac:dyDescent="0.4">
      <c r="A64" s="7" t="s">
        <v>762</v>
      </c>
      <c r="B64" s="7" t="s">
        <v>143</v>
      </c>
      <c r="C64" s="7" t="s">
        <v>144</v>
      </c>
      <c r="D64" s="365" t="s">
        <v>22</v>
      </c>
      <c r="E64" s="36">
        <f ca="1">INDEX(INDIRECT("SSW_WTPCore2_"&amp;$C64&amp;"_Levels"),2,MATCH(E$50,WTPCore2_AttLevels,0))</f>
        <v>2.5000000000000001E-2</v>
      </c>
      <c r="F64" s="36"/>
      <c r="G64" s="36">
        <f ca="1">INDEX(INDIRECT("SSW_WTPCore2_"&amp;$C64&amp;"_Levels"),2,MATCH(G$50,WTPCore2_AttLevels,0))</f>
        <v>1.6666666666666666E-2</v>
      </c>
      <c r="H64" s="36">
        <f ca="1">INDEX(INDIRECT("SSW_WTPCore2_"&amp;$C64&amp;"_LevelValues"),2,MATCH("S1 MEAN",WTPCore2_LevelValues,0))</f>
        <v>1.0363458862342743E-3</v>
      </c>
      <c r="I64" s="36">
        <f ca="1">INDEX(INDIRECT("SSW_WTPCore2_"&amp;$C64&amp;"_LevelValues"),2,MATCH("S2 MEAN",WTPCore2_LevelValues,0))</f>
        <v>6.2724159084084235E-4</v>
      </c>
      <c r="J64" s="36">
        <f t="shared" ca="1" si="3"/>
        <v>1.6635874770751166E-3</v>
      </c>
      <c r="K64" s="169">
        <f ca="1">INDEX(INDIRECT("SSW_PR14_WTP_"&amp;$C64&amp;"_UnitValues"),MATCH("NHH",SSW_PR14_WTPCore_Group,0),MATCH("MEAN",SSW_PR14_LMH,0))/NHHProps_SSW</f>
        <v>15.172735760971054</v>
      </c>
      <c r="L64" s="260">
        <f ca="1">K64*(E64-G64)</f>
        <v>0.12643946467475881</v>
      </c>
      <c r="M64" s="429">
        <f ca="1">INDEX(INDIRECT("SSW_WTPCore_DCE_"&amp;$C64&amp;"_UnitValues"),MATCH("COMBINED-NHH",WTPCore_Group,0),MATCH("MEAN",LMH,0))</f>
        <v>159200.29439999998</v>
      </c>
      <c r="N64" s="429">
        <f ca="1">M64*(E64-G64)/NHHProps_SSW*100</f>
        <v>4.4240000000000004</v>
      </c>
      <c r="O64" s="89">
        <f ca="1">INDEX(INDIRECT("SSW_WTPCore2_"&amp;$C64&amp;"_UnitValues"),2,MATCH("MEAN",LMH,0))</f>
        <v>264843.61611051176</v>
      </c>
      <c r="P64" s="429">
        <f ca="1">O64*(E64-G64)/NHHProps_SSW*100</f>
        <v>7.3597109985803169</v>
      </c>
      <c r="Q64" s="429">
        <f t="shared" ca="1" si="4"/>
        <v>0.31101295809767865</v>
      </c>
      <c r="R64" s="23" t="s">
        <v>145</v>
      </c>
      <c r="S64" s="495">
        <f ca="1">Q64*NHHProps_SSW/((E64-G64)*100)</f>
        <v>11191.987904919824</v>
      </c>
    </row>
    <row r="65" spans="1:19" x14ac:dyDescent="0.35">
      <c r="B65" s="7"/>
      <c r="H65" s="7"/>
      <c r="I65" s="7"/>
      <c r="J65" s="428">
        <f ca="1">(SUM(J60:J64))*AvgNHHBill_SSW</f>
        <v>135.16299397925675</v>
      </c>
      <c r="K65" s="147">
        <f ca="1">(SUM(K60:K64))</f>
        <v>4164.146992130185</v>
      </c>
      <c r="L65" s="29">
        <f ca="1">SUM(L60:L64)</f>
        <v>37.879574901411374</v>
      </c>
      <c r="N65" s="194">
        <f ca="1">SUM(N60:N64)</f>
        <v>51.187662785622649</v>
      </c>
      <c r="P65" s="194">
        <f ca="1">SUM(P60:P64)</f>
        <v>135.16299397925675</v>
      </c>
      <c r="Q65" s="428">
        <f ca="1">SUM(Q60:Q64)</f>
        <v>93.175328382439687</v>
      </c>
    </row>
    <row r="66" spans="1:19" x14ac:dyDescent="0.35">
      <c r="B66" s="7"/>
      <c r="H66" s="7"/>
      <c r="I66" s="7"/>
      <c r="K66" s="236"/>
      <c r="L66" s="236"/>
      <c r="M66" s="194"/>
      <c r="N66" s="603" t="s">
        <v>641</v>
      </c>
      <c r="O66" s="92">
        <f ca="1">AVERAGE(N65,P65)</f>
        <v>93.175328382439702</v>
      </c>
    </row>
    <row r="67" spans="1:19" x14ac:dyDescent="0.35">
      <c r="B67" s="7"/>
      <c r="H67" s="7"/>
      <c r="I67" s="7"/>
      <c r="J67" s="434" t="s">
        <v>551</v>
      </c>
      <c r="K67" s="236"/>
      <c r="L67" s="236"/>
      <c r="M67" s="194"/>
    </row>
    <row r="68" spans="1:19" x14ac:dyDescent="0.35">
      <c r="A68" s="123" t="s">
        <v>793</v>
      </c>
      <c r="B68" s="7"/>
      <c r="H68" s="7"/>
      <c r="I68" s="7"/>
      <c r="J68" s="7"/>
      <c r="K68" s="7"/>
      <c r="L68" s="7"/>
      <c r="M68" s="7"/>
      <c r="N68" s="7"/>
      <c r="O68" s="7"/>
      <c r="P68" s="7"/>
      <c r="Q68" s="7"/>
      <c r="R68" s="7"/>
      <c r="S68" s="7"/>
    </row>
    <row r="69" spans="1:19" x14ac:dyDescent="0.35">
      <c r="B69" s="7"/>
      <c r="G69" s="7"/>
      <c r="H69" s="7"/>
      <c r="I69" s="7"/>
      <c r="J69" s="7"/>
      <c r="K69" s="7"/>
      <c r="L69" s="7"/>
      <c r="M69" s="7"/>
      <c r="N69" s="7"/>
      <c r="O69" s="7"/>
      <c r="P69" s="7"/>
      <c r="Q69" s="7"/>
      <c r="R69" s="7"/>
    </row>
    <row r="70" spans="1:19" x14ac:dyDescent="0.35">
      <c r="B70" s="7"/>
      <c r="G70" s="7"/>
      <c r="H70" s="7"/>
      <c r="I70" s="7"/>
      <c r="J70" s="7"/>
      <c r="K70" s="7"/>
      <c r="L70" s="7"/>
      <c r="M70" s="7"/>
      <c r="N70" s="7"/>
      <c r="O70" s="7"/>
      <c r="P70" s="7"/>
      <c r="Q70" s="7"/>
      <c r="R70" s="7"/>
    </row>
    <row r="71" spans="1:19" x14ac:dyDescent="0.35">
      <c r="B71" s="7"/>
      <c r="G71" s="7"/>
      <c r="H71" s="7"/>
      <c r="I71" s="7"/>
      <c r="J71" s="7"/>
      <c r="K71" s="7"/>
      <c r="L71" s="7"/>
      <c r="M71" s="7"/>
      <c r="N71" s="7"/>
      <c r="O71" s="7"/>
      <c r="P71" s="7"/>
      <c r="Q71" s="7"/>
      <c r="R71" s="7"/>
    </row>
    <row r="72" spans="1:19" x14ac:dyDescent="0.35">
      <c r="B72" s="7"/>
      <c r="G72" s="7"/>
      <c r="H72" s="7"/>
      <c r="I72" s="7"/>
      <c r="J72" s="7"/>
      <c r="K72" s="7"/>
      <c r="L72" s="7"/>
      <c r="M72" s="7"/>
      <c r="N72" s="7"/>
      <c r="O72" s="7"/>
      <c r="P72" s="7"/>
      <c r="Q72" s="7"/>
      <c r="R72" s="7"/>
    </row>
    <row r="73" spans="1:19" x14ac:dyDescent="0.35">
      <c r="B73" s="7"/>
      <c r="G73" s="7"/>
      <c r="H73" s="7"/>
      <c r="I73" s="7"/>
      <c r="J73" s="355"/>
      <c r="K73" s="608"/>
      <c r="L73" s="7"/>
      <c r="M73" s="7"/>
      <c r="N73" s="7"/>
      <c r="O73" s="7"/>
      <c r="P73" s="7"/>
      <c r="Q73" s="7"/>
      <c r="R73" s="7"/>
    </row>
    <row r="74" spans="1:19" x14ac:dyDescent="0.35">
      <c r="B74" s="7"/>
      <c r="G74" s="7"/>
      <c r="H74" s="7"/>
      <c r="I74" s="7"/>
      <c r="J74" s="355"/>
      <c r="K74" s="608"/>
      <c r="L74" s="7"/>
      <c r="M74" s="7"/>
      <c r="N74" s="7"/>
      <c r="O74" s="7"/>
      <c r="P74" s="7"/>
      <c r="Q74" s="7"/>
      <c r="R74" s="7"/>
    </row>
    <row r="75" spans="1:19" x14ac:dyDescent="0.35">
      <c r="B75" s="7"/>
      <c r="G75" s="7"/>
      <c r="H75" s="7"/>
      <c r="I75" s="7"/>
      <c r="J75" s="355"/>
      <c r="K75" s="608"/>
      <c r="L75" s="7"/>
      <c r="M75" s="7"/>
      <c r="N75" s="7"/>
      <c r="O75" s="7"/>
      <c r="P75" s="7"/>
      <c r="Q75" s="7"/>
      <c r="R75" s="7"/>
    </row>
    <row r="76" spans="1:19" x14ac:dyDescent="0.35">
      <c r="B76" s="7"/>
      <c r="G76" s="7"/>
      <c r="H76" s="7"/>
      <c r="I76" s="7"/>
      <c r="J76" s="355"/>
      <c r="K76" s="608"/>
      <c r="L76" s="7"/>
      <c r="M76" s="7"/>
      <c r="N76" s="7"/>
      <c r="O76" s="7"/>
      <c r="P76" s="7"/>
      <c r="Q76" s="7"/>
      <c r="R76" s="7"/>
    </row>
    <row r="77" spans="1:19" x14ac:dyDescent="0.35">
      <c r="B77" s="7"/>
      <c r="G77" s="7"/>
      <c r="H77" s="7"/>
      <c r="I77" s="7"/>
      <c r="J77" s="355"/>
      <c r="K77" s="608"/>
      <c r="L77" s="7"/>
      <c r="M77" s="7"/>
      <c r="N77" s="7"/>
      <c r="O77" s="7"/>
      <c r="P77" s="7"/>
      <c r="Q77" s="7"/>
      <c r="R77" s="7"/>
    </row>
    <row r="78" spans="1:19" x14ac:dyDescent="0.35">
      <c r="B78" s="7"/>
      <c r="G78" s="7"/>
      <c r="H78" s="7"/>
      <c r="I78" s="7"/>
      <c r="J78" s="7"/>
      <c r="K78" s="7"/>
      <c r="L78" s="7"/>
      <c r="M78" s="7"/>
      <c r="N78" s="7"/>
      <c r="O78" s="7"/>
      <c r="P78" s="7"/>
      <c r="Q78" s="7"/>
      <c r="R78" s="7"/>
    </row>
    <row r="79" spans="1:19" x14ac:dyDescent="0.35">
      <c r="B79" s="7"/>
      <c r="G79" s="7"/>
      <c r="H79" s="7"/>
      <c r="I79" s="7"/>
      <c r="J79" s="7"/>
      <c r="K79" s="7"/>
      <c r="L79" s="7"/>
      <c r="M79" s="7"/>
      <c r="N79" s="7"/>
      <c r="O79" s="7"/>
      <c r="P79" s="7"/>
      <c r="Q79" s="7"/>
      <c r="R79" s="7"/>
    </row>
    <row r="80" spans="1:19" x14ac:dyDescent="0.35">
      <c r="B80" s="7"/>
      <c r="G80" s="7"/>
      <c r="H80" s="7"/>
      <c r="I80" s="7"/>
      <c r="J80" s="7"/>
      <c r="K80" s="7"/>
      <c r="L80" s="7"/>
      <c r="M80" s="7"/>
      <c r="N80" s="7"/>
      <c r="O80" s="7"/>
      <c r="P80" s="7"/>
      <c r="Q80" s="7"/>
      <c r="R80" s="7"/>
    </row>
    <row r="81" spans="2:18" x14ac:dyDescent="0.35">
      <c r="B81" s="7"/>
      <c r="G81" s="7"/>
      <c r="H81" s="7"/>
      <c r="I81" s="7"/>
      <c r="J81" s="7"/>
      <c r="K81" s="7"/>
      <c r="L81" s="7"/>
      <c r="M81" s="7"/>
      <c r="N81" s="7"/>
      <c r="O81" s="7"/>
      <c r="P81" s="7"/>
      <c r="Q81" s="7"/>
      <c r="R81" s="7"/>
    </row>
    <row r="82" spans="2:18" x14ac:dyDescent="0.35">
      <c r="B82" s="7"/>
      <c r="G82" s="7"/>
      <c r="H82" s="7"/>
      <c r="I82" s="7"/>
      <c r="J82" s="7"/>
      <c r="K82" s="7"/>
      <c r="L82" s="7"/>
      <c r="M82" s="7"/>
      <c r="N82" s="7"/>
      <c r="O82" s="7"/>
      <c r="P82" s="7"/>
      <c r="Q82" s="7"/>
      <c r="R82" s="7"/>
    </row>
    <row r="83" spans="2:18" x14ac:dyDescent="0.35">
      <c r="B83" s="7"/>
      <c r="G83" s="7"/>
      <c r="H83" s="7"/>
      <c r="I83" s="7"/>
      <c r="J83" s="7"/>
      <c r="K83" s="7"/>
      <c r="L83" s="7"/>
      <c r="M83" s="7"/>
      <c r="N83" s="7"/>
      <c r="O83" s="7"/>
      <c r="P83" s="7"/>
      <c r="Q83" s="7"/>
      <c r="R83" s="7"/>
    </row>
    <row r="84" spans="2:18" x14ac:dyDescent="0.35">
      <c r="B84" s="7"/>
      <c r="G84" s="7"/>
      <c r="H84" s="7"/>
      <c r="I84" s="7"/>
      <c r="J84" s="7"/>
      <c r="K84" s="7"/>
      <c r="L84" s="7"/>
      <c r="M84" s="7"/>
      <c r="N84" s="7"/>
      <c r="O84" s="7"/>
      <c r="P84" s="7"/>
      <c r="Q84" s="7"/>
      <c r="R84" s="7"/>
    </row>
    <row r="85" spans="2:18" x14ac:dyDescent="0.35">
      <c r="B85" s="7"/>
      <c r="G85" s="7"/>
      <c r="H85" s="7"/>
      <c r="I85" s="7"/>
      <c r="J85" s="7"/>
      <c r="K85" s="7"/>
      <c r="L85" s="7"/>
      <c r="M85" s="7"/>
      <c r="N85" s="7"/>
      <c r="O85" s="7"/>
      <c r="P85" s="7"/>
      <c r="Q85" s="7"/>
      <c r="R85" s="7"/>
    </row>
    <row r="86" spans="2:18" x14ac:dyDescent="0.35"/>
    <row r="87" spans="2:18" x14ac:dyDescent="0.35"/>
    <row r="88" spans="2:18" x14ac:dyDescent="0.35"/>
    <row r="89" spans="2:18" x14ac:dyDescent="0.35"/>
    <row r="90" spans="2:18" x14ac:dyDescent="0.35"/>
    <row r="91" spans="2:18" x14ac:dyDescent="0.35"/>
    <row r="92" spans="2:18" x14ac:dyDescent="0.35"/>
    <row r="93" spans="2:18" x14ac:dyDescent="0.35"/>
    <row r="94" spans="2:18" x14ac:dyDescent="0.35"/>
    <row r="95" spans="2:18" x14ac:dyDescent="0.35"/>
    <row r="96" spans="2:18"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theme="6"/>
  </sheetPr>
  <dimension ref="A1:G162"/>
  <sheetViews>
    <sheetView zoomScale="70" zoomScaleNormal="70" workbookViewId="0">
      <pane xSplit="1" ySplit="5" topLeftCell="B6" activePane="bottomRight" state="frozen"/>
      <selection pane="topRight"/>
      <selection pane="bottomLeft"/>
      <selection pane="bottomRight"/>
    </sheetView>
  </sheetViews>
  <sheetFormatPr defaultRowHeight="14.5" zeroHeight="1" x14ac:dyDescent="0.35"/>
  <cols>
    <col min="1" max="1" width="62.1796875" bestFit="1" customWidth="1"/>
    <col min="2" max="2" width="77.453125" customWidth="1"/>
    <col min="3" max="3" width="64.7265625" customWidth="1"/>
    <col min="4" max="4" width="13.1796875" bestFit="1" customWidth="1"/>
    <col min="5" max="6" width="13.54296875" bestFit="1" customWidth="1"/>
    <col min="7" max="7" width="255.7265625" bestFit="1" customWidth="1"/>
  </cols>
  <sheetData>
    <row r="1" spans="1:7" ht="28.5" x14ac:dyDescent="0.65">
      <c r="A1" s="76" t="s">
        <v>794</v>
      </c>
      <c r="B1" s="76"/>
      <c r="C1" s="76"/>
      <c r="D1" s="76"/>
      <c r="E1" s="76"/>
      <c r="F1" s="76"/>
      <c r="G1" s="76"/>
    </row>
    <row r="2" spans="1:7" x14ac:dyDescent="0.35">
      <c r="A2" s="82" t="s">
        <v>795</v>
      </c>
      <c r="B2" s="52"/>
      <c r="C2" s="52"/>
      <c r="D2" s="52"/>
      <c r="E2" s="52"/>
      <c r="F2" s="52"/>
      <c r="G2" s="52"/>
    </row>
    <row r="3" spans="1:7" x14ac:dyDescent="0.35">
      <c r="A3" s="52"/>
      <c r="B3" s="52"/>
      <c r="C3" s="52" t="s">
        <v>795</v>
      </c>
      <c r="D3" s="52"/>
      <c r="E3" s="52"/>
      <c r="F3" s="52"/>
      <c r="G3" s="52"/>
    </row>
    <row r="4" spans="1:7" x14ac:dyDescent="0.35">
      <c r="A4" s="52" t="s">
        <v>796</v>
      </c>
      <c r="B4" s="86" t="s">
        <v>797</v>
      </c>
      <c r="C4" s="52" t="s">
        <v>417</v>
      </c>
      <c r="D4" s="370" t="s">
        <v>798</v>
      </c>
      <c r="E4" s="370"/>
      <c r="F4" s="370"/>
      <c r="G4" s="52" t="s">
        <v>210</v>
      </c>
    </row>
    <row r="5" spans="1:7" x14ac:dyDescent="0.35">
      <c r="A5" s="52"/>
      <c r="B5" s="369"/>
      <c r="C5" s="52"/>
      <c r="D5" s="369" t="s">
        <v>21</v>
      </c>
      <c r="E5" s="369" t="s">
        <v>22</v>
      </c>
      <c r="F5" s="369" t="s">
        <v>799</v>
      </c>
      <c r="G5" s="52"/>
    </row>
    <row r="6" spans="1:7" ht="18.5" x14ac:dyDescent="0.45">
      <c r="A6" s="372" t="s">
        <v>129</v>
      </c>
      <c r="B6" s="373"/>
      <c r="C6" s="51"/>
      <c r="D6" s="373"/>
      <c r="E6" s="373"/>
      <c r="F6" s="373"/>
      <c r="G6" s="374"/>
    </row>
    <row r="7" spans="1:7" x14ac:dyDescent="0.35">
      <c r="A7" s="7" t="s">
        <v>89</v>
      </c>
      <c r="B7" s="7" t="s">
        <v>800</v>
      </c>
      <c r="C7" s="7" t="s">
        <v>801</v>
      </c>
      <c r="D7" s="361">
        <v>3060</v>
      </c>
      <c r="E7" s="361">
        <v>10594</v>
      </c>
      <c r="F7" s="361">
        <v>3425</v>
      </c>
      <c r="G7" s="7" t="s">
        <v>802</v>
      </c>
    </row>
    <row r="8" spans="1:7" x14ac:dyDescent="0.35">
      <c r="A8" s="7" t="s">
        <v>91</v>
      </c>
      <c r="B8" s="7" t="s">
        <v>803</v>
      </c>
      <c r="C8" s="7" t="s">
        <v>804</v>
      </c>
      <c r="D8" s="361">
        <v>2855</v>
      </c>
      <c r="E8" s="361">
        <v>14290</v>
      </c>
      <c r="F8" s="361">
        <v>6193</v>
      </c>
      <c r="G8" s="7" t="s">
        <v>805</v>
      </c>
    </row>
    <row r="9" spans="1:7" x14ac:dyDescent="0.35">
      <c r="A9" s="7" t="s">
        <v>92</v>
      </c>
      <c r="B9" s="7" t="s">
        <v>803</v>
      </c>
      <c r="C9" s="7" t="s">
        <v>804</v>
      </c>
      <c r="D9" s="361">
        <v>15061</v>
      </c>
      <c r="E9" s="361">
        <v>27960</v>
      </c>
      <c r="F9" s="361">
        <v>18234</v>
      </c>
      <c r="G9" s="7" t="s">
        <v>806</v>
      </c>
    </row>
    <row r="10" spans="1:7" x14ac:dyDescent="0.35">
      <c r="A10" s="7" t="s">
        <v>93</v>
      </c>
      <c r="B10" s="7" t="s">
        <v>803</v>
      </c>
      <c r="C10" s="476" t="s">
        <v>804</v>
      </c>
      <c r="D10" s="361">
        <v>126</v>
      </c>
      <c r="E10" s="361">
        <v>133</v>
      </c>
      <c r="F10" s="361">
        <v>128</v>
      </c>
      <c r="G10" s="7" t="s">
        <v>807</v>
      </c>
    </row>
    <row r="11" spans="1:7" x14ac:dyDescent="0.35">
      <c r="A11" s="7" t="s">
        <v>94</v>
      </c>
      <c r="B11" s="7" t="s">
        <v>808</v>
      </c>
      <c r="C11" s="7" t="s">
        <v>801</v>
      </c>
      <c r="D11" s="361">
        <v>586</v>
      </c>
      <c r="E11" s="361">
        <v>946</v>
      </c>
      <c r="F11" s="361">
        <v>620</v>
      </c>
      <c r="G11" s="7" t="s">
        <v>809</v>
      </c>
    </row>
    <row r="12" spans="1:7" x14ac:dyDescent="0.35">
      <c r="A12" s="7" t="s">
        <v>95</v>
      </c>
      <c r="B12" s="7" t="s">
        <v>810</v>
      </c>
      <c r="C12" s="7" t="s">
        <v>811</v>
      </c>
      <c r="D12" s="361">
        <v>830</v>
      </c>
      <c r="E12" s="361">
        <v>2170</v>
      </c>
      <c r="F12" s="361">
        <v>904</v>
      </c>
      <c r="G12" s="7" t="s">
        <v>812</v>
      </c>
    </row>
    <row r="13" spans="1:7" x14ac:dyDescent="0.35">
      <c r="A13" s="7" t="s">
        <v>96</v>
      </c>
      <c r="B13" s="7" t="s">
        <v>813</v>
      </c>
      <c r="C13" s="7" t="s">
        <v>801</v>
      </c>
      <c r="D13" s="361">
        <v>1525</v>
      </c>
      <c r="E13" s="361">
        <v>5765</v>
      </c>
      <c r="F13" s="361">
        <v>1851</v>
      </c>
      <c r="G13" s="7" t="s">
        <v>814</v>
      </c>
    </row>
    <row r="14" spans="1:7" x14ac:dyDescent="0.35">
      <c r="A14" s="7" t="s">
        <v>98</v>
      </c>
      <c r="B14" s="7" t="s">
        <v>815</v>
      </c>
      <c r="C14" s="7" t="s">
        <v>816</v>
      </c>
      <c r="D14" s="361">
        <v>6510</v>
      </c>
      <c r="E14" s="361">
        <v>2550</v>
      </c>
      <c r="F14" s="361">
        <v>9060</v>
      </c>
      <c r="G14" s="7" t="s">
        <v>817</v>
      </c>
    </row>
    <row r="15" spans="1:7" x14ac:dyDescent="0.35">
      <c r="A15" s="7" t="s">
        <v>99</v>
      </c>
      <c r="B15" s="7" t="s">
        <v>746</v>
      </c>
      <c r="C15" s="7" t="s">
        <v>801</v>
      </c>
      <c r="D15" s="361">
        <v>1540</v>
      </c>
      <c r="E15" s="361">
        <v>750</v>
      </c>
      <c r="F15" s="361">
        <v>2290</v>
      </c>
      <c r="G15" s="7" t="s">
        <v>818</v>
      </c>
    </row>
    <row r="16" spans="1:7" x14ac:dyDescent="0.35">
      <c r="A16" s="7" t="s">
        <v>100</v>
      </c>
      <c r="B16" s="7" t="s">
        <v>819</v>
      </c>
      <c r="C16" s="7" t="s">
        <v>820</v>
      </c>
      <c r="D16" s="361">
        <v>1430</v>
      </c>
      <c r="E16" s="361">
        <v>1373</v>
      </c>
      <c r="F16" s="361">
        <v>1426</v>
      </c>
      <c r="G16" s="7" t="s">
        <v>821</v>
      </c>
    </row>
    <row r="17" spans="1:7" x14ac:dyDescent="0.35">
      <c r="A17" s="7" t="s">
        <v>101</v>
      </c>
      <c r="B17" s="7" t="s">
        <v>822</v>
      </c>
      <c r="C17" s="7" t="s">
        <v>823</v>
      </c>
      <c r="D17" s="361">
        <v>109</v>
      </c>
      <c r="E17" s="361">
        <v>720</v>
      </c>
      <c r="F17" s="361">
        <v>165</v>
      </c>
      <c r="G17" s="7" t="s">
        <v>824</v>
      </c>
    </row>
    <row r="18" spans="1:7" x14ac:dyDescent="0.35">
      <c r="A18" s="7" t="s">
        <v>103</v>
      </c>
      <c r="B18" s="7" t="s">
        <v>129</v>
      </c>
      <c r="C18" s="7" t="s">
        <v>825</v>
      </c>
      <c r="D18" s="361">
        <v>1326</v>
      </c>
      <c r="E18" s="361">
        <v>320</v>
      </c>
      <c r="F18" s="361">
        <v>1646</v>
      </c>
      <c r="G18" s="7" t="s">
        <v>826</v>
      </c>
    </row>
    <row r="19" spans="1:7" ht="18.5" x14ac:dyDescent="0.45">
      <c r="A19" s="372" t="s">
        <v>131</v>
      </c>
      <c r="B19" s="7"/>
      <c r="C19" s="7"/>
      <c r="D19" s="361"/>
      <c r="E19" s="361"/>
      <c r="F19" s="361"/>
      <c r="G19" s="7"/>
    </row>
    <row r="20" spans="1:7" x14ac:dyDescent="0.35">
      <c r="A20" s="7" t="s">
        <v>89</v>
      </c>
      <c r="B20" s="7" t="s">
        <v>827</v>
      </c>
      <c r="C20" s="7" t="s">
        <v>828</v>
      </c>
      <c r="D20" s="361">
        <v>28537</v>
      </c>
      <c r="E20" s="361">
        <v>106972</v>
      </c>
      <c r="F20" s="361">
        <v>32332</v>
      </c>
      <c r="G20" s="7" t="s">
        <v>829</v>
      </c>
    </row>
    <row r="21" spans="1:7" x14ac:dyDescent="0.35">
      <c r="A21" s="7" t="s">
        <v>91</v>
      </c>
      <c r="B21" s="7" t="s">
        <v>830</v>
      </c>
      <c r="C21" s="7" t="s">
        <v>828</v>
      </c>
      <c r="D21" s="361">
        <v>10640</v>
      </c>
      <c r="E21" s="361">
        <v>51990</v>
      </c>
      <c r="F21" s="361">
        <v>22710</v>
      </c>
      <c r="G21" s="7" t="s">
        <v>831</v>
      </c>
    </row>
    <row r="22" spans="1:7" x14ac:dyDescent="0.35">
      <c r="A22" s="7" t="s">
        <v>92</v>
      </c>
      <c r="B22" s="7" t="s">
        <v>830</v>
      </c>
      <c r="C22" s="7" t="s">
        <v>828</v>
      </c>
      <c r="D22" s="361">
        <v>18310</v>
      </c>
      <c r="E22" s="361">
        <v>27760</v>
      </c>
      <c r="F22" s="361">
        <v>20640</v>
      </c>
      <c r="G22" s="7" t="s">
        <v>832</v>
      </c>
    </row>
    <row r="23" spans="1:7" x14ac:dyDescent="0.35">
      <c r="A23" s="7" t="s">
        <v>95</v>
      </c>
      <c r="B23" s="7" t="s">
        <v>833</v>
      </c>
      <c r="C23" s="7" t="s">
        <v>828</v>
      </c>
      <c r="D23" s="361">
        <v>885</v>
      </c>
      <c r="E23" s="361">
        <v>2796</v>
      </c>
      <c r="F23" s="361">
        <v>991</v>
      </c>
      <c r="G23" s="7" t="s">
        <v>834</v>
      </c>
    </row>
    <row r="24" spans="1:7" x14ac:dyDescent="0.35">
      <c r="A24" s="7" t="s">
        <v>99</v>
      </c>
      <c r="B24" s="7" t="s">
        <v>742</v>
      </c>
      <c r="C24" s="7" t="s">
        <v>835</v>
      </c>
      <c r="D24" s="361">
        <v>1570</v>
      </c>
      <c r="E24" s="361">
        <v>820</v>
      </c>
      <c r="F24" s="361">
        <v>2400</v>
      </c>
      <c r="G24" s="7" t="s">
        <v>743</v>
      </c>
    </row>
    <row r="25" spans="1:7" x14ac:dyDescent="0.35">
      <c r="A25" s="7" t="s">
        <v>100</v>
      </c>
      <c r="B25" s="7" t="s">
        <v>836</v>
      </c>
      <c r="C25" s="7" t="s">
        <v>837</v>
      </c>
      <c r="D25" s="361">
        <v>2445</v>
      </c>
      <c r="E25" s="361">
        <v>2965</v>
      </c>
      <c r="F25" s="361">
        <v>2481</v>
      </c>
      <c r="G25" s="7" t="s">
        <v>838</v>
      </c>
    </row>
    <row r="26" spans="1:7" x14ac:dyDescent="0.35">
      <c r="A26" s="7" t="s">
        <v>101</v>
      </c>
      <c r="B26" s="7" t="s">
        <v>836</v>
      </c>
      <c r="C26" s="7" t="s">
        <v>839</v>
      </c>
      <c r="D26" s="361">
        <v>196</v>
      </c>
      <c r="E26" s="361">
        <v>450</v>
      </c>
      <c r="F26" s="361">
        <v>219</v>
      </c>
      <c r="G26" s="7" t="s">
        <v>840</v>
      </c>
    </row>
    <row r="27" spans="1:7" x14ac:dyDescent="0.35">
      <c r="A27" s="7" t="s">
        <v>103</v>
      </c>
      <c r="B27" s="7" t="s">
        <v>742</v>
      </c>
      <c r="C27" s="7" t="s">
        <v>841</v>
      </c>
      <c r="D27" s="361">
        <v>1233</v>
      </c>
      <c r="E27" s="361">
        <v>216</v>
      </c>
      <c r="F27" s="361">
        <v>1450</v>
      </c>
      <c r="G27" s="7" t="s">
        <v>842</v>
      </c>
    </row>
    <row r="28" spans="1:7" ht="18.5" x14ac:dyDescent="0.45">
      <c r="A28" s="372" t="s">
        <v>843</v>
      </c>
      <c r="B28" s="7"/>
      <c r="C28" s="7"/>
      <c r="D28" s="361"/>
      <c r="E28" s="361"/>
      <c r="F28" s="361"/>
      <c r="G28" s="7"/>
    </row>
    <row r="29" spans="1:7" x14ac:dyDescent="0.35">
      <c r="A29" s="7" t="s">
        <v>90</v>
      </c>
      <c r="B29" s="7" t="s">
        <v>844</v>
      </c>
      <c r="C29" s="7" t="s">
        <v>828</v>
      </c>
      <c r="D29" s="361">
        <v>1568</v>
      </c>
      <c r="E29" s="361">
        <v>3699</v>
      </c>
      <c r="F29" s="361">
        <v>1926</v>
      </c>
      <c r="G29" s="7" t="s">
        <v>845</v>
      </c>
    </row>
    <row r="30" spans="1:7" x14ac:dyDescent="0.35">
      <c r="A30" s="7" t="s">
        <v>97</v>
      </c>
      <c r="B30" s="7" t="s">
        <v>846</v>
      </c>
      <c r="C30" s="7" t="s">
        <v>847</v>
      </c>
      <c r="D30" s="361">
        <v>23875</v>
      </c>
      <c r="E30" s="361">
        <v>12411</v>
      </c>
      <c r="F30" s="361">
        <v>36000</v>
      </c>
      <c r="G30" s="7" t="s">
        <v>848</v>
      </c>
    </row>
    <row r="31" spans="1:7" ht="18.5" x14ac:dyDescent="0.45">
      <c r="A31" s="372" t="s">
        <v>849</v>
      </c>
      <c r="B31" s="7"/>
      <c r="C31" s="7"/>
      <c r="D31" s="361"/>
      <c r="E31" s="361"/>
      <c r="F31" s="361"/>
      <c r="G31" s="7"/>
    </row>
    <row r="32" spans="1:7" x14ac:dyDescent="0.35">
      <c r="A32" s="7" t="s">
        <v>93</v>
      </c>
      <c r="B32" s="7" t="s">
        <v>850</v>
      </c>
      <c r="C32" s="7" t="s">
        <v>851</v>
      </c>
      <c r="D32" s="361">
        <v>416</v>
      </c>
      <c r="E32" s="361">
        <v>850</v>
      </c>
      <c r="F32" s="361">
        <v>526</v>
      </c>
      <c r="G32" s="7" t="s">
        <v>852</v>
      </c>
    </row>
    <row r="33" spans="1:7" x14ac:dyDescent="0.35">
      <c r="A33" s="7" t="s">
        <v>95</v>
      </c>
      <c r="B33" s="7" t="s">
        <v>853</v>
      </c>
      <c r="C33" s="7" t="s">
        <v>851</v>
      </c>
      <c r="D33" s="361">
        <v>102</v>
      </c>
      <c r="E33" s="361">
        <v>466</v>
      </c>
      <c r="F33" s="361">
        <v>122</v>
      </c>
      <c r="G33" s="7" t="s">
        <v>854</v>
      </c>
    </row>
    <row r="34" spans="1:7" ht="18.5" x14ac:dyDescent="0.45">
      <c r="A34" s="372" t="s">
        <v>855</v>
      </c>
      <c r="B34" s="7"/>
      <c r="C34" s="7"/>
      <c r="D34" s="361"/>
      <c r="E34" s="361"/>
      <c r="F34" s="361"/>
      <c r="G34" s="7"/>
    </row>
    <row r="35" spans="1:7" x14ac:dyDescent="0.35">
      <c r="A35" s="7" t="s">
        <v>91</v>
      </c>
      <c r="B35" s="7" t="s">
        <v>856</v>
      </c>
      <c r="C35" s="7" t="s">
        <v>857</v>
      </c>
      <c r="D35" s="361">
        <v>511</v>
      </c>
      <c r="E35" s="361">
        <v>2771</v>
      </c>
      <c r="F35" s="361">
        <v>1170</v>
      </c>
      <c r="G35" s="7" t="s">
        <v>858</v>
      </c>
    </row>
    <row r="36" spans="1:7" x14ac:dyDescent="0.35">
      <c r="A36" s="7" t="s">
        <v>92</v>
      </c>
      <c r="B36" s="7" t="s">
        <v>856</v>
      </c>
      <c r="C36" s="7" t="s">
        <v>857</v>
      </c>
      <c r="D36" s="361">
        <v>1313</v>
      </c>
      <c r="E36" s="361">
        <v>2276</v>
      </c>
      <c r="F36" s="361">
        <v>1550</v>
      </c>
      <c r="G36" s="7" t="s">
        <v>859</v>
      </c>
    </row>
    <row r="37" spans="1:7" x14ac:dyDescent="0.35">
      <c r="A37" s="7" t="s">
        <v>94</v>
      </c>
      <c r="B37" s="7" t="s">
        <v>860</v>
      </c>
      <c r="C37" s="7" t="s">
        <v>861</v>
      </c>
      <c r="D37" s="361">
        <v>86</v>
      </c>
      <c r="E37" s="361">
        <v>426</v>
      </c>
      <c r="F37" s="361">
        <v>118</v>
      </c>
      <c r="G37" s="7" t="s">
        <v>862</v>
      </c>
    </row>
    <row r="38" spans="1:7" x14ac:dyDescent="0.35">
      <c r="A38" s="7" t="s">
        <v>96</v>
      </c>
      <c r="B38" s="7" t="s">
        <v>863</v>
      </c>
      <c r="C38" s="7" t="s">
        <v>861</v>
      </c>
      <c r="D38" s="361">
        <v>50</v>
      </c>
      <c r="E38" s="361">
        <v>149</v>
      </c>
      <c r="F38" s="361">
        <v>58</v>
      </c>
      <c r="G38" s="7" t="s">
        <v>864</v>
      </c>
    </row>
    <row r="39" spans="1:7" x14ac:dyDescent="0.35">
      <c r="A39" s="7" t="s">
        <v>97</v>
      </c>
      <c r="B39" s="7" t="s">
        <v>865</v>
      </c>
      <c r="C39" s="7" t="s">
        <v>861</v>
      </c>
      <c r="D39" s="361">
        <v>320</v>
      </c>
      <c r="E39" s="361">
        <v>339</v>
      </c>
      <c r="F39" s="361">
        <v>660</v>
      </c>
      <c r="G39" s="7" t="s">
        <v>866</v>
      </c>
    </row>
    <row r="40" spans="1:7" x14ac:dyDescent="0.35">
      <c r="A40" s="7" t="s">
        <v>99</v>
      </c>
      <c r="B40" s="7" t="s">
        <v>867</v>
      </c>
      <c r="C40" s="7" t="s">
        <v>861</v>
      </c>
      <c r="D40" s="361">
        <v>1670</v>
      </c>
      <c r="E40" s="361">
        <v>770</v>
      </c>
      <c r="F40" s="361">
        <v>2440</v>
      </c>
      <c r="G40" s="7" t="s">
        <v>868</v>
      </c>
    </row>
    <row r="41" spans="1:7" x14ac:dyDescent="0.35">
      <c r="A41" s="7" t="s">
        <v>100</v>
      </c>
      <c r="B41" s="7" t="s">
        <v>869</v>
      </c>
      <c r="C41" s="7" t="s">
        <v>870</v>
      </c>
      <c r="D41" s="361">
        <v>206</v>
      </c>
      <c r="E41" s="361">
        <v>1026</v>
      </c>
      <c r="F41" s="361">
        <v>262</v>
      </c>
      <c r="G41" s="7" t="s">
        <v>871</v>
      </c>
    </row>
    <row r="42" spans="1:7" x14ac:dyDescent="0.35">
      <c r="A42" s="7" t="s">
        <v>101</v>
      </c>
      <c r="B42" s="7" t="s">
        <v>872</v>
      </c>
      <c r="C42" s="7" t="s">
        <v>873</v>
      </c>
      <c r="D42" s="361">
        <v>83</v>
      </c>
      <c r="E42" s="361">
        <v>413</v>
      </c>
      <c r="F42" s="361">
        <v>113</v>
      </c>
      <c r="G42" s="7" t="s">
        <v>840</v>
      </c>
    </row>
    <row r="43" spans="1:7" x14ac:dyDescent="0.35">
      <c r="A43" s="7" t="s">
        <v>102</v>
      </c>
      <c r="B43" s="7" t="s">
        <v>874</v>
      </c>
      <c r="C43" s="7" t="s">
        <v>875</v>
      </c>
      <c r="D43" s="361">
        <v>55</v>
      </c>
      <c r="E43" s="361">
        <v>2985</v>
      </c>
      <c r="F43" s="361">
        <v>245</v>
      </c>
      <c r="G43" s="7" t="s">
        <v>840</v>
      </c>
    </row>
    <row r="44" spans="1:7" ht="18.5" x14ac:dyDescent="0.45">
      <c r="A44" s="372" t="s">
        <v>876</v>
      </c>
      <c r="B44" s="7"/>
      <c r="C44" s="7"/>
      <c r="D44" s="361"/>
      <c r="E44" s="361"/>
      <c r="F44" s="361"/>
      <c r="G44" s="7"/>
    </row>
    <row r="45" spans="1:7" x14ac:dyDescent="0.35">
      <c r="A45" s="7" t="s">
        <v>89</v>
      </c>
      <c r="B45" s="7" t="s">
        <v>877</v>
      </c>
      <c r="C45" s="7" t="s">
        <v>878</v>
      </c>
      <c r="D45" s="361">
        <v>459</v>
      </c>
      <c r="E45" s="361">
        <v>2455</v>
      </c>
      <c r="F45" s="361">
        <v>555</v>
      </c>
      <c r="G45" s="7" t="s">
        <v>879</v>
      </c>
    </row>
    <row r="46" spans="1:7" x14ac:dyDescent="0.35">
      <c r="A46" s="7" t="s">
        <v>90</v>
      </c>
      <c r="B46" s="7" t="s">
        <v>880</v>
      </c>
      <c r="C46" s="7" t="s">
        <v>878</v>
      </c>
      <c r="D46" s="361">
        <v>671</v>
      </c>
      <c r="E46" s="361">
        <v>2990</v>
      </c>
      <c r="F46" s="361">
        <v>1060</v>
      </c>
      <c r="G46" s="7" t="s">
        <v>881</v>
      </c>
    </row>
    <row r="47" spans="1:7" x14ac:dyDescent="0.35">
      <c r="A47" s="7" t="s">
        <v>98</v>
      </c>
      <c r="B47" s="7" t="s">
        <v>882</v>
      </c>
      <c r="C47" s="7" t="s">
        <v>883</v>
      </c>
      <c r="D47" s="361">
        <v>790</v>
      </c>
      <c r="E47" s="361">
        <v>410</v>
      </c>
      <c r="F47" s="361">
        <v>1200</v>
      </c>
      <c r="G47" s="7" t="s">
        <v>884</v>
      </c>
    </row>
    <row r="48" spans="1:7" x14ac:dyDescent="0.35">
      <c r="A48" s="7" t="s">
        <v>102</v>
      </c>
      <c r="B48" s="7" t="s">
        <v>885</v>
      </c>
      <c r="C48" s="7" t="s">
        <v>886</v>
      </c>
      <c r="D48" s="361">
        <v>1000</v>
      </c>
      <c r="E48" s="361">
        <v>4409</v>
      </c>
      <c r="F48" s="361">
        <v>5408</v>
      </c>
      <c r="G48" s="7" t="s">
        <v>840</v>
      </c>
    </row>
    <row r="49" spans="1:7" x14ac:dyDescent="0.35">
      <c r="A49" s="7" t="s">
        <v>103</v>
      </c>
      <c r="B49" s="7" t="s">
        <v>887</v>
      </c>
      <c r="C49" s="7" t="s">
        <v>888</v>
      </c>
      <c r="D49" s="361">
        <v>1396</v>
      </c>
      <c r="E49" s="361">
        <v>249</v>
      </c>
      <c r="F49" s="361">
        <v>1645</v>
      </c>
      <c r="G49" s="7" t="s">
        <v>889</v>
      </c>
    </row>
    <row r="50" spans="1:7" ht="18.5" x14ac:dyDescent="0.45">
      <c r="A50" s="372" t="s">
        <v>890</v>
      </c>
      <c r="B50" s="7"/>
      <c r="C50" s="7"/>
      <c r="D50" s="361"/>
      <c r="E50" s="361"/>
      <c r="F50" s="361"/>
      <c r="G50" s="7"/>
    </row>
    <row r="51" spans="1:7" x14ac:dyDescent="0.35">
      <c r="A51" s="7" t="s">
        <v>101</v>
      </c>
      <c r="B51" s="7" t="s">
        <v>891</v>
      </c>
      <c r="C51" s="7" t="s">
        <v>892</v>
      </c>
      <c r="D51" s="361">
        <v>234</v>
      </c>
      <c r="E51" s="361">
        <v>1635</v>
      </c>
      <c r="F51" s="361">
        <v>361</v>
      </c>
      <c r="G51" s="7" t="s">
        <v>840</v>
      </c>
    </row>
    <row r="52" spans="1:7" ht="18.5" x14ac:dyDescent="0.45">
      <c r="A52" s="372" t="s">
        <v>893</v>
      </c>
      <c r="B52" s="7"/>
      <c r="C52" s="7"/>
      <c r="D52" s="361"/>
      <c r="E52" s="361"/>
      <c r="F52" s="361"/>
      <c r="G52" s="7"/>
    </row>
    <row r="53" spans="1:7" x14ac:dyDescent="0.35">
      <c r="A53" s="7" t="s">
        <v>894</v>
      </c>
      <c r="B53" s="7" t="s">
        <v>895</v>
      </c>
      <c r="C53" s="7" t="s">
        <v>896</v>
      </c>
      <c r="D53" s="361">
        <v>7</v>
      </c>
      <c r="E53" s="361">
        <v>67</v>
      </c>
      <c r="F53" s="361">
        <v>17</v>
      </c>
      <c r="G53" s="7" t="s">
        <v>897</v>
      </c>
    </row>
    <row r="54" spans="1:7" x14ac:dyDescent="0.35">
      <c r="A54" s="7" t="s">
        <v>898</v>
      </c>
      <c r="B54" s="7"/>
      <c r="C54" s="7" t="s">
        <v>896</v>
      </c>
      <c r="D54" s="361">
        <v>10</v>
      </c>
      <c r="E54" s="361">
        <v>32</v>
      </c>
      <c r="F54" s="361">
        <v>14</v>
      </c>
      <c r="G54" s="7"/>
    </row>
    <row r="55" spans="1:7" x14ac:dyDescent="0.35">
      <c r="A55" s="7" t="s">
        <v>90</v>
      </c>
      <c r="B55" s="7"/>
      <c r="C55" s="7"/>
      <c r="D55" s="361">
        <f>AVERAGE(D53:D54)</f>
        <v>8.5</v>
      </c>
      <c r="E55" s="361">
        <f>AVERAGE(E53:E54)</f>
        <v>49.5</v>
      </c>
      <c r="F55" s="361">
        <f>AVERAGE(F53:F54)</f>
        <v>15.5</v>
      </c>
      <c r="G55" s="7"/>
    </row>
    <row r="56" spans="1:7" x14ac:dyDescent="0.35">
      <c r="A56" s="7" t="s">
        <v>93</v>
      </c>
      <c r="B56" s="7" t="s">
        <v>899</v>
      </c>
      <c r="C56" s="7" t="s">
        <v>896</v>
      </c>
      <c r="D56" s="361">
        <v>108</v>
      </c>
      <c r="E56" s="361">
        <v>88</v>
      </c>
      <c r="F56" s="361">
        <v>103</v>
      </c>
      <c r="G56" s="7" t="s">
        <v>900</v>
      </c>
    </row>
    <row r="57" spans="1:7" x14ac:dyDescent="0.35">
      <c r="A57" s="7" t="s">
        <v>95</v>
      </c>
      <c r="B57" s="7" t="s">
        <v>901</v>
      </c>
      <c r="C57" s="7" t="s">
        <v>896</v>
      </c>
      <c r="D57" s="361">
        <v>9</v>
      </c>
      <c r="E57" s="361">
        <v>16</v>
      </c>
      <c r="F57" s="361">
        <v>10</v>
      </c>
      <c r="G57" s="7" t="s">
        <v>902</v>
      </c>
    </row>
    <row r="58" spans="1:7" x14ac:dyDescent="0.35">
      <c r="A58" s="7" t="s">
        <v>96</v>
      </c>
      <c r="B58" s="7" t="s">
        <v>903</v>
      </c>
      <c r="C58" s="7" t="s">
        <v>896</v>
      </c>
      <c r="D58" s="361">
        <v>34</v>
      </c>
      <c r="E58" s="361">
        <v>39</v>
      </c>
      <c r="F58" s="361">
        <v>34</v>
      </c>
      <c r="G58" s="7" t="s">
        <v>904</v>
      </c>
    </row>
    <row r="59" spans="1:7" x14ac:dyDescent="0.35">
      <c r="A59" s="7" t="s">
        <v>97</v>
      </c>
      <c r="B59" s="7" t="s">
        <v>905</v>
      </c>
      <c r="C59" s="7" t="s">
        <v>906</v>
      </c>
      <c r="D59" s="361">
        <v>24</v>
      </c>
      <c r="E59" s="361" t="s">
        <v>773</v>
      </c>
      <c r="F59" s="361">
        <v>24</v>
      </c>
      <c r="G59" s="7" t="s">
        <v>907</v>
      </c>
    </row>
    <row r="60" spans="1:7" x14ac:dyDescent="0.35">
      <c r="A60" s="7" t="s">
        <v>98</v>
      </c>
      <c r="B60" s="7" t="s">
        <v>908</v>
      </c>
      <c r="C60" s="7" t="s">
        <v>909</v>
      </c>
      <c r="D60" s="361">
        <v>0</v>
      </c>
      <c r="E60" s="361">
        <v>0</v>
      </c>
      <c r="F60" s="361">
        <v>0</v>
      </c>
      <c r="G60" s="7" t="s">
        <v>910</v>
      </c>
    </row>
    <row r="61" spans="1:7" x14ac:dyDescent="0.35">
      <c r="A61" s="7" t="s">
        <v>99</v>
      </c>
      <c r="B61" s="7" t="s">
        <v>911</v>
      </c>
      <c r="C61" s="7" t="s">
        <v>909</v>
      </c>
      <c r="D61" s="361">
        <v>123</v>
      </c>
      <c r="E61" s="361" t="s">
        <v>773</v>
      </c>
      <c r="F61" s="361">
        <v>123</v>
      </c>
      <c r="G61" s="7" t="s">
        <v>912</v>
      </c>
    </row>
    <row r="62" spans="1:7" x14ac:dyDescent="0.35">
      <c r="A62" s="7" t="s">
        <v>100</v>
      </c>
      <c r="B62" s="7" t="s">
        <v>913</v>
      </c>
      <c r="C62" s="7" t="s">
        <v>914</v>
      </c>
      <c r="D62" s="361">
        <v>107</v>
      </c>
      <c r="E62" s="361">
        <v>674</v>
      </c>
      <c r="F62" s="361">
        <v>146</v>
      </c>
      <c r="G62" s="7" t="s">
        <v>915</v>
      </c>
    </row>
    <row r="63" spans="1:7" x14ac:dyDescent="0.35">
      <c r="A63" s="7" t="s">
        <v>101</v>
      </c>
      <c r="B63" s="7" t="s">
        <v>916</v>
      </c>
      <c r="C63" s="7" t="s">
        <v>917</v>
      </c>
      <c r="D63" s="361">
        <v>5</v>
      </c>
      <c r="E63" s="361">
        <v>218</v>
      </c>
      <c r="F63" s="361">
        <v>25</v>
      </c>
      <c r="G63" s="7" t="s">
        <v>840</v>
      </c>
    </row>
    <row r="64" spans="1:7" x14ac:dyDescent="0.35">
      <c r="A64" s="7" t="s">
        <v>102</v>
      </c>
      <c r="B64" s="7" t="s">
        <v>918</v>
      </c>
      <c r="C64" s="7" t="s">
        <v>919</v>
      </c>
      <c r="D64" s="361">
        <v>58</v>
      </c>
      <c r="E64" s="361">
        <v>1690</v>
      </c>
      <c r="F64" s="361">
        <v>163</v>
      </c>
      <c r="G64" s="7" t="s">
        <v>840</v>
      </c>
    </row>
    <row r="65" spans="1:7" x14ac:dyDescent="0.35">
      <c r="A65" s="7" t="s">
        <v>103</v>
      </c>
      <c r="B65" s="7" t="s">
        <v>895</v>
      </c>
      <c r="C65" s="7" t="s">
        <v>920</v>
      </c>
      <c r="D65" s="361">
        <v>35</v>
      </c>
      <c r="E65" s="361" t="s">
        <v>773</v>
      </c>
      <c r="F65" s="361">
        <v>35</v>
      </c>
      <c r="G65" s="7" t="s">
        <v>921</v>
      </c>
    </row>
    <row r="66" spans="1:7" ht="18.5" x14ac:dyDescent="0.45">
      <c r="A66" s="372" t="s">
        <v>766</v>
      </c>
      <c r="B66" s="7"/>
      <c r="C66" s="7"/>
      <c r="D66" s="361"/>
      <c r="E66" s="361"/>
      <c r="F66" s="361"/>
      <c r="G66" s="7"/>
    </row>
    <row r="67" spans="1:7" x14ac:dyDescent="0.35">
      <c r="A67" s="7" t="s">
        <v>95</v>
      </c>
      <c r="B67" s="7" t="s">
        <v>766</v>
      </c>
      <c r="C67" s="7" t="s">
        <v>922</v>
      </c>
      <c r="D67" s="361">
        <v>7</v>
      </c>
      <c r="E67" s="361">
        <v>81</v>
      </c>
      <c r="F67" s="361">
        <v>11</v>
      </c>
      <c r="G67" s="7" t="s">
        <v>923</v>
      </c>
    </row>
    <row r="68" spans="1:7" x14ac:dyDescent="0.35">
      <c r="A68" s="7" t="s">
        <v>99</v>
      </c>
      <c r="B68" s="7" t="s">
        <v>766</v>
      </c>
      <c r="C68" s="7" t="s">
        <v>924</v>
      </c>
      <c r="D68" s="361" t="s">
        <v>773</v>
      </c>
      <c r="E68" s="361">
        <v>1352</v>
      </c>
      <c r="F68" s="361">
        <v>1352</v>
      </c>
      <c r="G68" s="7" t="s">
        <v>925</v>
      </c>
    </row>
    <row r="69" spans="1:7" x14ac:dyDescent="0.35">
      <c r="A69" s="7" t="s">
        <v>101</v>
      </c>
      <c r="B69" s="7" t="s">
        <v>766</v>
      </c>
      <c r="C69" s="7" t="s">
        <v>926</v>
      </c>
      <c r="D69" s="361" t="s">
        <v>773</v>
      </c>
      <c r="E69" s="361">
        <v>360</v>
      </c>
      <c r="F69" s="361">
        <v>360</v>
      </c>
      <c r="G69" s="7" t="s">
        <v>840</v>
      </c>
    </row>
    <row r="70" spans="1:7" x14ac:dyDescent="0.35">
      <c r="A70" s="7" t="s">
        <v>103</v>
      </c>
      <c r="B70" s="7" t="s">
        <v>766</v>
      </c>
      <c r="C70" s="7" t="s">
        <v>927</v>
      </c>
      <c r="D70" s="361" t="s">
        <v>773</v>
      </c>
      <c r="E70" s="361">
        <v>112</v>
      </c>
      <c r="F70" s="361">
        <v>112</v>
      </c>
      <c r="G70" s="7" t="s">
        <v>928</v>
      </c>
    </row>
    <row r="71" spans="1:7" ht="18.5" x14ac:dyDescent="0.45">
      <c r="A71" s="372" t="s">
        <v>929</v>
      </c>
      <c r="B71" s="7"/>
      <c r="C71" s="7"/>
      <c r="D71" s="361"/>
      <c r="E71" s="361"/>
      <c r="F71" s="361"/>
      <c r="G71" s="7"/>
    </row>
    <row r="72" spans="1:7" x14ac:dyDescent="0.35">
      <c r="A72" s="7" t="s">
        <v>97</v>
      </c>
      <c r="B72" s="7" t="s">
        <v>929</v>
      </c>
      <c r="C72" s="7" t="s">
        <v>930</v>
      </c>
      <c r="D72" s="361">
        <v>229</v>
      </c>
      <c r="E72" s="361">
        <v>127</v>
      </c>
      <c r="F72" s="361">
        <v>360</v>
      </c>
      <c r="G72" s="7" t="s">
        <v>931</v>
      </c>
    </row>
    <row r="73" spans="1:7" x14ac:dyDescent="0.35">
      <c r="A73" s="7" t="s">
        <v>98</v>
      </c>
      <c r="B73" s="7" t="s">
        <v>932</v>
      </c>
      <c r="C73" s="7" t="s">
        <v>930</v>
      </c>
      <c r="D73" s="361">
        <v>560</v>
      </c>
      <c r="E73" s="361">
        <v>250</v>
      </c>
      <c r="F73" s="361">
        <v>810</v>
      </c>
      <c r="G73" s="7" t="s">
        <v>933</v>
      </c>
    </row>
    <row r="74" spans="1:7" x14ac:dyDescent="0.35">
      <c r="A74" s="7" t="s">
        <v>100</v>
      </c>
      <c r="B74" s="7" t="s">
        <v>934</v>
      </c>
      <c r="C74" s="7" t="s">
        <v>935</v>
      </c>
      <c r="D74" s="361">
        <v>299</v>
      </c>
      <c r="E74" s="361">
        <v>246</v>
      </c>
      <c r="F74" s="361">
        <v>295</v>
      </c>
      <c r="G74" s="7" t="s">
        <v>936</v>
      </c>
    </row>
    <row r="75" spans="1:7" ht="18.5" x14ac:dyDescent="0.45">
      <c r="A75" s="372" t="s">
        <v>937</v>
      </c>
      <c r="B75" s="372"/>
      <c r="C75" s="372"/>
      <c r="D75" s="375"/>
      <c r="E75" s="375"/>
      <c r="F75" s="375"/>
      <c r="G75" s="372"/>
    </row>
    <row r="76" spans="1:7" x14ac:dyDescent="0.35">
      <c r="A76" s="7" t="s">
        <v>89</v>
      </c>
      <c r="B76" s="7" t="s">
        <v>938</v>
      </c>
      <c r="C76" s="7" t="s">
        <v>939</v>
      </c>
      <c r="D76" s="361">
        <v>11075</v>
      </c>
      <c r="E76" s="361">
        <v>55542</v>
      </c>
      <c r="F76" s="361">
        <v>13227</v>
      </c>
      <c r="G76" s="7" t="s">
        <v>940</v>
      </c>
    </row>
    <row r="77" spans="1:7" x14ac:dyDescent="0.35">
      <c r="A77" s="7" t="s">
        <v>91</v>
      </c>
      <c r="B77" s="7" t="s">
        <v>941</v>
      </c>
      <c r="C77" s="7" t="s">
        <v>939</v>
      </c>
      <c r="D77" s="361">
        <v>4676</v>
      </c>
      <c r="E77" s="361">
        <v>998</v>
      </c>
      <c r="F77" s="361">
        <v>5675</v>
      </c>
      <c r="G77" s="7" t="s">
        <v>942</v>
      </c>
    </row>
    <row r="78" spans="1:7" x14ac:dyDescent="0.35">
      <c r="A78" s="7" t="s">
        <v>92</v>
      </c>
      <c r="B78" s="7" t="s">
        <v>941</v>
      </c>
      <c r="C78" s="7" t="s">
        <v>939</v>
      </c>
      <c r="D78" s="361">
        <v>28462</v>
      </c>
      <c r="E78" s="361">
        <v>5064</v>
      </c>
      <c r="F78" s="361">
        <v>33526</v>
      </c>
      <c r="G78" s="7" t="s">
        <v>943</v>
      </c>
    </row>
    <row r="79" spans="1:7" x14ac:dyDescent="0.35">
      <c r="A79" s="7" t="s">
        <v>93</v>
      </c>
      <c r="B79" s="7" t="s">
        <v>941</v>
      </c>
      <c r="C79" s="7" t="s">
        <v>939</v>
      </c>
      <c r="D79" s="361">
        <v>1408</v>
      </c>
      <c r="E79" s="361">
        <v>2741</v>
      </c>
      <c r="F79" s="361">
        <v>1746</v>
      </c>
      <c r="G79" s="7" t="s">
        <v>944</v>
      </c>
    </row>
    <row r="80" spans="1:7" x14ac:dyDescent="0.35">
      <c r="A80" s="7" t="s">
        <v>96</v>
      </c>
      <c r="B80" s="7" t="s">
        <v>945</v>
      </c>
      <c r="C80" s="7" t="s">
        <v>939</v>
      </c>
      <c r="D80" s="361">
        <v>22345</v>
      </c>
      <c r="E80" s="361">
        <v>9323</v>
      </c>
      <c r="F80" s="361">
        <v>31667</v>
      </c>
      <c r="G80" s="7" t="s">
        <v>946</v>
      </c>
    </row>
    <row r="81" spans="1:7" x14ac:dyDescent="0.35">
      <c r="A81" s="7" t="s">
        <v>103</v>
      </c>
      <c r="B81" s="7" t="s">
        <v>139</v>
      </c>
      <c r="C81" s="7" t="s">
        <v>947</v>
      </c>
      <c r="D81" s="361">
        <v>6282</v>
      </c>
      <c r="E81" s="361">
        <v>1741</v>
      </c>
      <c r="F81" s="361">
        <v>8023</v>
      </c>
      <c r="G81" s="7" t="s">
        <v>948</v>
      </c>
    </row>
    <row r="82" spans="1:7" ht="18.5" x14ac:dyDescent="0.45">
      <c r="A82" s="372" t="s">
        <v>949</v>
      </c>
      <c r="B82" s="372"/>
      <c r="C82" s="372"/>
      <c r="D82" s="375"/>
      <c r="E82" s="375"/>
      <c r="F82" s="375"/>
      <c r="G82" s="372"/>
    </row>
    <row r="83" spans="1:7" x14ac:dyDescent="0.35">
      <c r="A83" s="7" t="s">
        <v>97</v>
      </c>
      <c r="B83" s="7" t="s">
        <v>950</v>
      </c>
      <c r="C83" s="7" t="s">
        <v>951</v>
      </c>
      <c r="D83" s="361">
        <v>26499</v>
      </c>
      <c r="E83" s="361">
        <v>37430</v>
      </c>
      <c r="F83" s="361">
        <v>64000</v>
      </c>
      <c r="G83" s="7" t="s">
        <v>952</v>
      </c>
    </row>
    <row r="84" spans="1:7" x14ac:dyDescent="0.35">
      <c r="A84" s="7" t="s">
        <v>99</v>
      </c>
      <c r="B84" s="7" t="s">
        <v>953</v>
      </c>
      <c r="C84" s="7" t="s">
        <v>954</v>
      </c>
      <c r="D84" s="361">
        <v>7</v>
      </c>
      <c r="E84" s="361">
        <v>1</v>
      </c>
      <c r="F84" s="361">
        <v>8</v>
      </c>
      <c r="G84" s="7" t="s">
        <v>955</v>
      </c>
    </row>
    <row r="85" spans="1:7" x14ac:dyDescent="0.35">
      <c r="A85" s="7" t="s">
        <v>99</v>
      </c>
      <c r="B85" s="7" t="s">
        <v>953</v>
      </c>
      <c r="C85" s="7" t="s">
        <v>956</v>
      </c>
      <c r="D85" s="361">
        <v>157</v>
      </c>
      <c r="E85" s="361">
        <v>58</v>
      </c>
      <c r="F85" s="361">
        <v>215</v>
      </c>
      <c r="G85" s="7" t="s">
        <v>955</v>
      </c>
    </row>
    <row r="86" spans="1:7" x14ac:dyDescent="0.35">
      <c r="A86" s="7" t="s">
        <v>102</v>
      </c>
      <c r="B86" s="7" t="s">
        <v>950</v>
      </c>
      <c r="C86" s="7" t="s">
        <v>957</v>
      </c>
      <c r="D86" s="361">
        <v>2</v>
      </c>
      <c r="E86" s="361">
        <v>25</v>
      </c>
      <c r="F86" s="361">
        <v>4</v>
      </c>
      <c r="G86" s="7" t="s">
        <v>840</v>
      </c>
    </row>
    <row r="87" spans="1:7" x14ac:dyDescent="0.35">
      <c r="A87" s="7" t="s">
        <v>103</v>
      </c>
      <c r="B87" s="7" t="s">
        <v>135</v>
      </c>
      <c r="C87" s="7" t="s">
        <v>958</v>
      </c>
      <c r="D87" s="361">
        <v>41</v>
      </c>
      <c r="E87" s="361">
        <v>10</v>
      </c>
      <c r="F87" s="361">
        <v>51</v>
      </c>
      <c r="G87" s="7" t="s">
        <v>959</v>
      </c>
    </row>
    <row r="88" spans="1:7" ht="18.5" x14ac:dyDescent="0.45">
      <c r="A88" s="372" t="s">
        <v>40</v>
      </c>
      <c r="B88" s="372"/>
      <c r="C88" s="372"/>
      <c r="D88" s="375"/>
      <c r="E88" s="375"/>
      <c r="F88" s="375"/>
      <c r="G88" s="372"/>
    </row>
    <row r="89" spans="1:7" x14ac:dyDescent="0.35">
      <c r="A89" s="7" t="s">
        <v>99</v>
      </c>
      <c r="B89" s="7" t="s">
        <v>40</v>
      </c>
      <c r="C89" s="7" t="s">
        <v>960</v>
      </c>
      <c r="D89" s="361">
        <v>247500</v>
      </c>
      <c r="E89" s="361">
        <v>118800</v>
      </c>
      <c r="F89" s="361">
        <v>376200</v>
      </c>
      <c r="G89" s="7" t="s">
        <v>961</v>
      </c>
    </row>
    <row r="90" spans="1:7" x14ac:dyDescent="0.35">
      <c r="A90" s="7" t="s">
        <v>101</v>
      </c>
      <c r="B90" s="7" t="s">
        <v>962</v>
      </c>
      <c r="C90" s="7" t="s">
        <v>963</v>
      </c>
      <c r="D90" s="361">
        <v>122335</v>
      </c>
      <c r="E90" s="361" t="s">
        <v>773</v>
      </c>
      <c r="F90" s="361">
        <v>122335</v>
      </c>
      <c r="G90" s="7" t="s">
        <v>840</v>
      </c>
    </row>
    <row r="91" spans="1:7" x14ac:dyDescent="0.35">
      <c r="A91" s="7" t="s">
        <v>102</v>
      </c>
      <c r="B91" s="7" t="s">
        <v>40</v>
      </c>
      <c r="C91" s="7" t="s">
        <v>964</v>
      </c>
      <c r="D91" s="361">
        <v>35614</v>
      </c>
      <c r="E91" s="361">
        <v>56612</v>
      </c>
      <c r="F91" s="361">
        <v>92227</v>
      </c>
      <c r="G91" s="7" t="s">
        <v>840</v>
      </c>
    </row>
    <row r="92" spans="1:7" x14ac:dyDescent="0.35">
      <c r="A92" s="7" t="s">
        <v>103</v>
      </c>
      <c r="B92" s="7" t="s">
        <v>40</v>
      </c>
      <c r="C92" s="7" t="s">
        <v>965</v>
      </c>
      <c r="D92" s="361">
        <v>267960</v>
      </c>
      <c r="E92" s="361">
        <v>39706</v>
      </c>
      <c r="F92" s="361">
        <v>307667</v>
      </c>
      <c r="G92" s="7" t="s">
        <v>966</v>
      </c>
    </row>
    <row r="93" spans="1:7" ht="18.5" x14ac:dyDescent="0.45">
      <c r="A93" s="372" t="s">
        <v>967</v>
      </c>
      <c r="B93" s="372"/>
      <c r="C93" s="372"/>
      <c r="D93" s="375"/>
      <c r="E93" s="375"/>
      <c r="F93" s="375"/>
      <c r="G93" s="372"/>
    </row>
    <row r="94" spans="1:7" x14ac:dyDescent="0.35">
      <c r="A94" s="7" t="s">
        <v>89</v>
      </c>
      <c r="B94" s="7" t="s">
        <v>967</v>
      </c>
      <c r="C94" s="7" t="s">
        <v>968</v>
      </c>
      <c r="D94" s="361">
        <v>7473</v>
      </c>
      <c r="E94" s="361">
        <v>838</v>
      </c>
      <c r="F94" s="361">
        <v>8311</v>
      </c>
      <c r="G94" s="7" t="s">
        <v>969</v>
      </c>
    </row>
    <row r="95" spans="1:7" x14ac:dyDescent="0.35">
      <c r="A95" s="7" t="s">
        <v>90</v>
      </c>
      <c r="B95" s="7" t="s">
        <v>967</v>
      </c>
      <c r="C95" s="7" t="s">
        <v>970</v>
      </c>
      <c r="D95" s="361">
        <v>18250</v>
      </c>
      <c r="E95" s="361">
        <v>1477</v>
      </c>
      <c r="F95" s="361">
        <v>19730</v>
      </c>
      <c r="G95" s="7" t="s">
        <v>971</v>
      </c>
    </row>
    <row r="96" spans="1:7" x14ac:dyDescent="0.35">
      <c r="A96" s="7" t="s">
        <v>91</v>
      </c>
      <c r="B96" s="7" t="s">
        <v>967</v>
      </c>
      <c r="C96" s="7" t="s">
        <v>970</v>
      </c>
      <c r="D96" s="361">
        <v>59860</v>
      </c>
      <c r="E96" s="361">
        <v>7852</v>
      </c>
      <c r="F96" s="361">
        <v>67710</v>
      </c>
      <c r="G96" s="7" t="s">
        <v>972</v>
      </c>
    </row>
    <row r="97" spans="1:7" x14ac:dyDescent="0.35">
      <c r="A97" s="7" t="s">
        <v>94</v>
      </c>
      <c r="B97" s="7" t="s">
        <v>967</v>
      </c>
      <c r="C97" s="7" t="s">
        <v>973</v>
      </c>
      <c r="D97" s="361">
        <v>1451</v>
      </c>
      <c r="E97" s="361">
        <v>338</v>
      </c>
      <c r="F97" s="361">
        <v>1789</v>
      </c>
      <c r="G97" s="7" t="s">
        <v>974</v>
      </c>
    </row>
    <row r="98" spans="1:7" x14ac:dyDescent="0.35">
      <c r="A98" s="7" t="s">
        <v>94</v>
      </c>
      <c r="B98" s="7" t="s">
        <v>967</v>
      </c>
      <c r="C98" s="7" t="s">
        <v>975</v>
      </c>
      <c r="D98" s="361">
        <v>3389</v>
      </c>
      <c r="E98" s="361">
        <v>567</v>
      </c>
      <c r="F98" s="361">
        <v>3956</v>
      </c>
      <c r="G98" s="7" t="s">
        <v>974</v>
      </c>
    </row>
    <row r="99" spans="1:7" x14ac:dyDescent="0.35">
      <c r="A99" s="7" t="s">
        <v>96</v>
      </c>
      <c r="B99" s="7" t="s">
        <v>976</v>
      </c>
      <c r="C99" s="7" t="s">
        <v>977</v>
      </c>
      <c r="D99" s="361">
        <v>4017</v>
      </c>
      <c r="E99" s="361">
        <v>795</v>
      </c>
      <c r="F99" s="361">
        <v>4812</v>
      </c>
      <c r="G99" s="7" t="s">
        <v>978</v>
      </c>
    </row>
    <row r="100" spans="1:7" x14ac:dyDescent="0.35">
      <c r="A100" s="7" t="s">
        <v>97</v>
      </c>
      <c r="B100" s="7" t="s">
        <v>967</v>
      </c>
      <c r="C100" s="7" t="s">
        <v>979</v>
      </c>
      <c r="D100" s="361">
        <v>256889</v>
      </c>
      <c r="E100" s="361">
        <v>93662</v>
      </c>
      <c r="F100" s="361">
        <v>350550</v>
      </c>
      <c r="G100" s="7" t="s">
        <v>980</v>
      </c>
    </row>
    <row r="101" spans="1:7" x14ac:dyDescent="0.35">
      <c r="A101" s="7" t="s">
        <v>98</v>
      </c>
      <c r="B101" s="7" t="s">
        <v>981</v>
      </c>
      <c r="C101" s="7" t="s">
        <v>982</v>
      </c>
      <c r="D101" s="361">
        <v>25413</v>
      </c>
      <c r="E101" s="361">
        <v>8143</v>
      </c>
      <c r="F101" s="361">
        <v>33556</v>
      </c>
      <c r="G101" s="7" t="s">
        <v>983</v>
      </c>
    </row>
    <row r="102" spans="1:7" x14ac:dyDescent="0.35">
      <c r="A102" s="7" t="s">
        <v>101</v>
      </c>
      <c r="B102" s="7" t="s">
        <v>984</v>
      </c>
      <c r="C102" s="7" t="s">
        <v>985</v>
      </c>
      <c r="D102" s="361">
        <v>0.01</v>
      </c>
      <c r="E102" s="361">
        <v>0.04</v>
      </c>
      <c r="F102" s="361">
        <v>0.01</v>
      </c>
      <c r="G102" s="7" t="s">
        <v>840</v>
      </c>
    </row>
    <row r="103" spans="1:7" x14ac:dyDescent="0.35">
      <c r="A103" s="7" t="s">
        <v>102</v>
      </c>
      <c r="B103" s="7" t="s">
        <v>986</v>
      </c>
      <c r="C103" s="7" t="s">
        <v>987</v>
      </c>
      <c r="D103" s="361">
        <v>165005</v>
      </c>
      <c r="E103" s="361">
        <v>209704</v>
      </c>
      <c r="F103" s="361">
        <v>374709</v>
      </c>
      <c r="G103" s="7" t="s">
        <v>840</v>
      </c>
    </row>
    <row r="104" spans="1:7" x14ac:dyDescent="0.35">
      <c r="A104" s="7" t="s">
        <v>988</v>
      </c>
      <c r="B104" s="7"/>
      <c r="C104" s="7" t="s">
        <v>989</v>
      </c>
      <c r="D104" s="361">
        <v>17400</v>
      </c>
      <c r="E104" s="361"/>
      <c r="F104" s="361">
        <v>17400</v>
      </c>
      <c r="G104" s="7" t="s">
        <v>990</v>
      </c>
    </row>
    <row r="105" spans="1:7" x14ac:dyDescent="0.35">
      <c r="A105" s="7" t="s">
        <v>988</v>
      </c>
      <c r="B105" s="7"/>
      <c r="C105" s="7" t="s">
        <v>991</v>
      </c>
      <c r="D105" s="361">
        <v>20000</v>
      </c>
      <c r="E105" s="361"/>
      <c r="F105" s="361">
        <v>20000</v>
      </c>
      <c r="G105" s="7" t="s">
        <v>990</v>
      </c>
    </row>
    <row r="106" spans="1:7" x14ac:dyDescent="0.35">
      <c r="A106" s="7" t="s">
        <v>988</v>
      </c>
      <c r="B106" s="7"/>
      <c r="C106" s="7" t="s">
        <v>992</v>
      </c>
      <c r="D106" s="361">
        <v>23200</v>
      </c>
      <c r="E106" s="361"/>
      <c r="F106" s="361">
        <v>23200</v>
      </c>
      <c r="G106" s="7" t="s">
        <v>990</v>
      </c>
    </row>
    <row r="107" spans="1:7" x14ac:dyDescent="0.35">
      <c r="A107" s="7" t="s">
        <v>993</v>
      </c>
      <c r="B107" s="7"/>
      <c r="C107" s="7" t="s">
        <v>994</v>
      </c>
      <c r="D107" s="361">
        <v>43200</v>
      </c>
      <c r="E107" s="361"/>
      <c r="F107" s="361">
        <v>43200</v>
      </c>
      <c r="G107" s="7" t="s">
        <v>995</v>
      </c>
    </row>
    <row r="108" spans="1:7" x14ac:dyDescent="0.35">
      <c r="A108" s="7" t="s">
        <v>996</v>
      </c>
      <c r="B108" s="7"/>
      <c r="C108" s="7" t="s">
        <v>997</v>
      </c>
      <c r="D108" s="361">
        <v>60600</v>
      </c>
      <c r="E108" s="361"/>
      <c r="F108" s="361">
        <v>60600</v>
      </c>
      <c r="G108" s="7" t="s">
        <v>998</v>
      </c>
    </row>
    <row r="109" spans="1:7" x14ac:dyDescent="0.35"/>
    <row r="110" spans="1:7" x14ac:dyDescent="0.35"/>
    <row r="111" spans="1:7" x14ac:dyDescent="0.35"/>
    <row r="112" spans="1:7"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theme="6"/>
  </sheetPr>
  <dimension ref="A1:AH104"/>
  <sheetViews>
    <sheetView zoomScale="70" zoomScaleNormal="70" workbookViewId="0">
      <pane xSplit="1" ySplit="4" topLeftCell="J5" activePane="bottomRight" state="frozen"/>
      <selection pane="topRight"/>
      <selection pane="bottomLeft"/>
      <selection pane="bottomRight"/>
    </sheetView>
  </sheetViews>
  <sheetFormatPr defaultColWidth="0" defaultRowHeight="14.5" zeroHeight="1" x14ac:dyDescent="0.35"/>
  <cols>
    <col min="1" max="1" width="65.26953125" style="7" bestFit="1" customWidth="1"/>
    <col min="2" max="3" width="18.26953125" style="7" customWidth="1"/>
    <col min="4" max="4" width="18.26953125" style="31" customWidth="1"/>
    <col min="5" max="5" width="13.26953125" style="31" customWidth="1"/>
    <col min="6" max="10" width="13.26953125" style="43" customWidth="1"/>
    <col min="11" max="16" width="13.26953125" style="7" customWidth="1"/>
    <col min="17" max="17" width="19" style="7" customWidth="1"/>
    <col min="18" max="18" width="10.1796875" style="7" customWidth="1"/>
    <col min="19" max="25" width="13" style="43" customWidth="1"/>
    <col min="26" max="26" width="14.54296875" style="43" customWidth="1"/>
    <col min="27" max="28" width="13" style="43" customWidth="1"/>
    <col min="29" max="29" width="13" style="7" customWidth="1"/>
    <col min="30" max="30" width="19" style="7" customWidth="1"/>
    <col min="31" max="31" width="11.54296875" style="7" customWidth="1"/>
    <col min="32" max="32" width="9.1796875" style="7" customWidth="1"/>
    <col min="33" max="34" width="0" style="7" hidden="1" customWidth="1"/>
    <col min="35" max="16384" width="9.1796875" style="7" hidden="1"/>
  </cols>
  <sheetData>
    <row r="1" spans="1:31" ht="28.5" x14ac:dyDescent="0.65">
      <c r="A1" s="76" t="s">
        <v>999</v>
      </c>
      <c r="B1" s="76"/>
      <c r="C1" s="76"/>
      <c r="D1" s="76"/>
      <c r="E1" s="76"/>
      <c r="F1" s="76"/>
      <c r="G1" s="76"/>
      <c r="H1" s="76"/>
      <c r="I1" s="76"/>
      <c r="J1" s="76"/>
      <c r="K1" s="76"/>
      <c r="L1" s="76"/>
      <c r="M1" s="76"/>
      <c r="N1" s="76"/>
      <c r="O1" s="76"/>
      <c r="P1" s="76"/>
      <c r="Q1" s="76"/>
      <c r="R1" s="76"/>
      <c r="S1" s="76"/>
      <c r="T1" s="76"/>
      <c r="U1" s="76"/>
      <c r="V1" s="76"/>
      <c r="W1" s="76"/>
      <c r="X1" s="490"/>
      <c r="Y1" s="76"/>
      <c r="Z1" s="76"/>
      <c r="AA1" s="76"/>
      <c r="AB1" s="76"/>
      <c r="AC1" s="76"/>
      <c r="AD1" s="76"/>
      <c r="AE1" s="76"/>
    </row>
    <row r="2" spans="1:31" ht="19.5" x14ac:dyDescent="0.45">
      <c r="A2" s="311"/>
      <c r="B2" s="311"/>
      <c r="C2" s="311"/>
      <c r="D2" s="47"/>
      <c r="E2" s="47"/>
      <c r="F2" s="126" t="s">
        <v>294</v>
      </c>
      <c r="G2" s="126"/>
      <c r="H2" s="126"/>
      <c r="I2" s="126"/>
      <c r="J2" s="126"/>
      <c r="K2" s="126"/>
      <c r="L2" s="126"/>
      <c r="M2" s="126"/>
      <c r="N2" s="126"/>
      <c r="O2" s="126"/>
      <c r="P2" s="126"/>
      <c r="Q2" s="126"/>
      <c r="R2" s="126"/>
      <c r="S2" s="430" t="s">
        <v>295</v>
      </c>
      <c r="T2" s="48"/>
      <c r="U2" s="48"/>
      <c r="V2" s="48"/>
      <c r="W2" s="48"/>
      <c r="X2" s="48"/>
      <c r="Y2" s="48"/>
      <c r="Z2" s="48"/>
      <c r="AA2" s="48"/>
      <c r="AB2" s="48"/>
      <c r="AC2" s="49"/>
      <c r="AD2" s="49"/>
      <c r="AE2" s="49"/>
    </row>
    <row r="3" spans="1:31" ht="15" thickBot="1" x14ac:dyDescent="0.4">
      <c r="A3" s="50"/>
      <c r="B3" s="50"/>
      <c r="C3" s="50"/>
      <c r="D3" s="376" t="s">
        <v>1000</v>
      </c>
      <c r="E3" s="376"/>
      <c r="F3" s="376" t="s">
        <v>1001</v>
      </c>
      <c r="G3" s="376"/>
      <c r="H3" s="376" t="s">
        <v>678</v>
      </c>
      <c r="I3" s="376"/>
      <c r="J3" s="376"/>
      <c r="K3" s="376" t="s">
        <v>1002</v>
      </c>
      <c r="L3" s="376"/>
      <c r="M3" s="376"/>
      <c r="N3" s="376"/>
      <c r="O3" s="376"/>
      <c r="P3" s="376"/>
      <c r="Q3" s="376"/>
      <c r="R3" s="376"/>
      <c r="S3" s="376" t="s">
        <v>1003</v>
      </c>
      <c r="T3" s="376"/>
      <c r="U3" s="376" t="s">
        <v>678</v>
      </c>
      <c r="V3" s="376"/>
      <c r="W3" s="376"/>
      <c r="X3" s="376" t="s">
        <v>1002</v>
      </c>
      <c r="Y3" s="376"/>
      <c r="Z3" s="376"/>
      <c r="AA3" s="376"/>
      <c r="AB3" s="376"/>
      <c r="AC3" s="376"/>
      <c r="AD3" s="376"/>
      <c r="AE3" s="376"/>
    </row>
    <row r="4" spans="1:31" ht="72.5" x14ac:dyDescent="0.35">
      <c r="A4" s="52" t="s">
        <v>89</v>
      </c>
      <c r="B4" s="54" t="s">
        <v>1004</v>
      </c>
      <c r="C4" s="54" t="s">
        <v>1005</v>
      </c>
      <c r="D4" s="319" t="s">
        <v>124</v>
      </c>
      <c r="E4" s="381" t="s">
        <v>1006</v>
      </c>
      <c r="F4" s="205" t="s">
        <v>350</v>
      </c>
      <c r="G4" s="205" t="s">
        <v>352</v>
      </c>
      <c r="H4" s="382" t="s">
        <v>353</v>
      </c>
      <c r="I4" s="382" t="s">
        <v>354</v>
      </c>
      <c r="J4" s="382" t="s">
        <v>355</v>
      </c>
      <c r="K4" s="88" t="s">
        <v>674</v>
      </c>
      <c r="L4" s="598" t="s">
        <v>356</v>
      </c>
      <c r="M4" s="598" t="s">
        <v>357</v>
      </c>
      <c r="N4" s="598" t="s">
        <v>358</v>
      </c>
      <c r="O4" s="598" t="s">
        <v>359</v>
      </c>
      <c r="P4" s="88" t="s">
        <v>346</v>
      </c>
      <c r="Q4" s="189" t="s">
        <v>124</v>
      </c>
      <c r="R4" s="268" t="s">
        <v>681</v>
      </c>
      <c r="S4" s="205" t="s">
        <v>350</v>
      </c>
      <c r="T4" s="205" t="s">
        <v>352</v>
      </c>
      <c r="U4" s="382" t="s">
        <v>353</v>
      </c>
      <c r="V4" s="382" t="s">
        <v>354</v>
      </c>
      <c r="W4" s="382" t="s">
        <v>355</v>
      </c>
      <c r="X4" s="88" t="s">
        <v>674</v>
      </c>
      <c r="Y4" s="598" t="s">
        <v>356</v>
      </c>
      <c r="Z4" s="598" t="s">
        <v>357</v>
      </c>
      <c r="AA4" s="598" t="s">
        <v>358</v>
      </c>
      <c r="AB4" s="598" t="s">
        <v>359</v>
      </c>
      <c r="AC4" s="88" t="s">
        <v>346</v>
      </c>
      <c r="AD4" s="189" t="s">
        <v>124</v>
      </c>
      <c r="AE4" s="268" t="s">
        <v>681</v>
      </c>
    </row>
    <row r="5" spans="1:31" x14ac:dyDescent="0.35">
      <c r="A5" s="7" t="s">
        <v>131</v>
      </c>
      <c r="B5" s="7" t="s">
        <v>132</v>
      </c>
      <c r="C5" s="7" t="str">
        <f>B5</f>
        <v>TasteSmell</v>
      </c>
      <c r="D5" s="377" t="s">
        <v>127</v>
      </c>
      <c r="E5" s="124">
        <f ca="1">INDEX(INDIRECT("ExtWTP_"&amp;$C5&amp;"_UnitValues"),MATCH(A$4, INDIRECT("ExtWTP_Comps_"&amp;C5),0),MATCH("HH",ExtWTP_Group,0))</f>
        <v>28537</v>
      </c>
      <c r="F5" s="383">
        <f ca="1">INDEX(INDIRECT("SSW_WTPCore2_"&amp;$B5&amp;"_Levels"),1,MATCH(F$4,WTPCore2_AttLevels,0))</f>
        <v>1.6666666666666666E-2</v>
      </c>
      <c r="G5" s="383">
        <f ca="1">INDEX(INDIRECT("SSW_WTPCore2_"&amp;$B5&amp;"_Levels"),1,MATCH(G$4,WTPCore2_AttLevels,0))</f>
        <v>1.1111111111111112E-2</v>
      </c>
      <c r="H5" s="16">
        <f ca="1">INDEX(INDIRECT("SSW_WTPCore2_"&amp;$B5&amp;"_LevelValues"),1,MATCH("S1 MEAN",WTPCore2_LevelValues,0))</f>
        <v>0.30818609087835352</v>
      </c>
      <c r="I5" s="16">
        <f ca="1">INDEX(INDIRECT("SSW_WTPCore2_"&amp;$B5&amp;"_LevelValues"),1,MATCH("S2 MEAN",WTPCore2_LevelValues,0))</f>
        <v>0.18578205633963885</v>
      </c>
      <c r="J5" s="16">
        <f ca="1">SUM(H5:I5)</f>
        <v>0.49396814721799237</v>
      </c>
      <c r="K5" s="213">
        <f ca="1">E5*(F5-G5)</f>
        <v>158.53888888888886</v>
      </c>
      <c r="L5" s="429">
        <f ca="1">INDEX(INDIRECT("SSW_WTPCore_DCE_"&amp;$B5&amp;"_UnitValues"),MATCH("COMBINED-HH",WTPCore_Group,0),MATCH("MEAN",LMH,0))</f>
        <v>173.83878023943072</v>
      </c>
      <c r="M5" s="429">
        <f ca="1">L5*($F5-$G5)*(AllProps_SSW/HHProps_SSW)</f>
        <v>1.0194594594594593</v>
      </c>
      <c r="N5" s="89">
        <f ca="1">INDEX(INDIRECT("SSW_WTPCore2_"&amp;$B5&amp;"_UnitValues"),1,MATCH("MEAN",LMH,0))</f>
        <v>84.231716516748989</v>
      </c>
      <c r="O5" s="429">
        <f ca="1">N5*($F5-$G5)*(AllProps_SSW/HHProps_SSW)</f>
        <v>0.49396814721799237</v>
      </c>
      <c r="P5" s="16">
        <f ca="1">K5*N$8/K$7</f>
        <v>1.6098382677047265</v>
      </c>
      <c r="Q5" s="377" t="s">
        <v>127</v>
      </c>
      <c r="R5" s="391">
        <f ca="1">P5*HHProps_SSW/((F5-G5)*AllProps_SSW)</f>
        <v>274.51049499205379</v>
      </c>
      <c r="S5" s="12">
        <f ca="1">INDEX(INDIRECT("CAM_WTPCore2_"&amp;$B5&amp;"_Levels"),1,MATCH(S$4,WTPCore2_AttLevels,0))</f>
        <v>1.4285714285714285E-2</v>
      </c>
      <c r="T5" s="12">
        <f ca="1">INDEX(INDIRECT("CAM_WTPCore2_"&amp;$B5&amp;"_Levels"),1,MATCH(T$4,WTPCore2_AttLevels,0))</f>
        <v>0.01</v>
      </c>
      <c r="U5" s="168">
        <f ca="1">INDEX(INDIRECT("CAM_WTPCore2_"&amp;$B5&amp;"_LevelValues"),1,MATCH("S1 MEAN",WTPCore2_LevelValues,0))</f>
        <v>4.7204807663126298E-2</v>
      </c>
      <c r="V5" s="168">
        <f ca="1">INDEX(INDIRECT("CAM_WTPCore2_"&amp;$B5&amp;"_LevelValues"),1,MATCH("S2 MEAN",WTPCore2_LevelValues,0))</f>
        <v>0.1217094578997745</v>
      </c>
      <c r="W5" s="168">
        <f ca="1">SUM(U5:V5)</f>
        <v>0.16891426556290079</v>
      </c>
      <c r="X5" s="386">
        <f ca="1">E5*(S5-T5)</f>
        <v>122.30142857142856</v>
      </c>
      <c r="Y5" s="429">
        <f t="shared" ref="Y5" ca="1" si="0">INDEX(INDIRECT("CAM_WTPCore_"&amp;$C5&amp;"_UnitValues"),MATCH("COMBINED-HH",WTPCore_Group,0),MATCH("MEAN",LMH,0))</f>
        <v>207.69569571588755</v>
      </c>
      <c r="Z5" s="429">
        <f ca="1">Y5*(S5-T5)*(AllProps_CAM/HHProps_CAM)</f>
        <v>0.94640816326530586</v>
      </c>
      <c r="AA5" s="89">
        <f t="shared" ref="AA5" ca="1" si="1">INDEX(INDIRECT("CAM_WTPCore2_"&amp;$C5&amp;"_UnitValues"),1,MATCH("MEAN",LMH,0))</f>
        <v>37.069382180075451</v>
      </c>
      <c r="AB5" s="429">
        <f ca="1">AA5*($S5-$T5)*(AllProps_CAM/HHProps_CAM)</f>
        <v>0.16891426556290079</v>
      </c>
      <c r="AC5" s="168">
        <f ca="1">X5*AA$8/X$7</f>
        <v>0.85032158031951477</v>
      </c>
      <c r="AD5" s="243" t="str">
        <f>Q5</f>
        <v>Property affected</v>
      </c>
      <c r="AE5" s="391">
        <f ca="1">(AC5*HHProps_CAM)/((S5-T5)*AllProps_CAM)</f>
        <v>186.60884284573334</v>
      </c>
    </row>
    <row r="6" spans="1:31" x14ac:dyDescent="0.35">
      <c r="A6" s="7" t="s">
        <v>876</v>
      </c>
      <c r="B6" s="7" t="s">
        <v>138</v>
      </c>
      <c r="C6" s="7" t="s">
        <v>1007</v>
      </c>
      <c r="D6" s="377" t="s">
        <v>127</v>
      </c>
      <c r="E6" s="124">
        <f ca="1">INDEX(INDIRECT("ExtWTP_"&amp;$C6&amp;"_UnitValues"),MATCH(A$4, INDIRECT("ExtWTP_Comps_"&amp;C6),0),MATCH("HH",ExtWTP_Group,0))</f>
        <v>459</v>
      </c>
      <c r="F6" s="383">
        <f ca="1">INDEX(INDIRECT("SSW_WTPCore2_"&amp;$B6&amp;"_Levels"),1,MATCH(F$4,WTPCore2_AttLevels,0))</f>
        <v>1.4285714285714285E-2</v>
      </c>
      <c r="G6" s="383">
        <f ca="1">INDEX(INDIRECT("SSW_WTPCore2_"&amp;$B6&amp;"_Levels"),1,MATCH(G$4,WTPCore2_AttLevels,0))</f>
        <v>9.5238095238095247E-3</v>
      </c>
      <c r="H6" s="16">
        <f ca="1">INDEX(INDIRECT("SSW_WTPCore2_"&amp;$B6&amp;"_LevelValues"),1,MATCH("S1 MEAN",WTPCore2_LevelValues,0))</f>
        <v>0.39718669024665654</v>
      </c>
      <c r="I6" s="16">
        <f ca="1">INDEX(INDIRECT("SSW_WTPCore2_"&amp;$B6&amp;"_LevelValues"),1,MATCH("S2 MEAN",WTPCore2_LevelValues,0))</f>
        <v>0.53859352958370721</v>
      </c>
      <c r="J6" s="16">
        <f ca="1">SUM(H6:I6)</f>
        <v>0.93578021983036375</v>
      </c>
      <c r="K6" s="213">
        <f ca="1">E6*(F6-G6)</f>
        <v>2.1857142857142851</v>
      </c>
      <c r="L6" s="429">
        <f ca="1">INDEX(INDIRECT("SSW_WTPCore_DCE_"&amp;$B6&amp;"_UnitValues"),MATCH("COMBINED-HH",WTPCore_Group,0),MATCH("MEAN",LMH,0))</f>
        <v>162.10819588181059</v>
      </c>
      <c r="M6" s="429">
        <f ca="1">L6*($F6-$G6)*(AllProps_SSW/HHProps_SSW)</f>
        <v>0.8148571428571425</v>
      </c>
      <c r="N6" s="89">
        <f ca="1">INDEX(INDIRECT("SSW_WTPCore2_"&amp;$B6&amp;"_UnitValues"),1,MATCH("MEAN",LMH,0))</f>
        <v>186.16470937063306</v>
      </c>
      <c r="O6" s="429">
        <f ca="1">N6*($F6-$G6)*(AllProps_SSW/HHProps_SSW)</f>
        <v>0.93578021983036375</v>
      </c>
      <c r="P6" s="16">
        <f ca="1">K6*N$8/K$7</f>
        <v>2.2194216977752274E-2</v>
      </c>
      <c r="Q6" s="377" t="s">
        <v>127</v>
      </c>
      <c r="R6" s="391">
        <f ca="1">P6*HHProps_SSW/((F6-G6)*AllProps_SSW)</f>
        <v>4.4153315765971444</v>
      </c>
      <c r="S6" s="12">
        <f ca="1">INDEX(INDIRECT("CAM_WTPCore2_"&amp;$B6&amp;"_Levels"),1,MATCH(S$4,WTPCore2_AttLevels,0))</f>
        <v>2.5000000000000001E-2</v>
      </c>
      <c r="T6" s="12">
        <f ca="1">INDEX(INDIRECT("CAM_WTPCore2_"&amp;$B6&amp;"_Levels"),1,MATCH(T$4,WTPCore2_AttLevels,0))</f>
        <v>1.6666666666666666E-2</v>
      </c>
      <c r="U6" s="168">
        <f ca="1">INDEX(INDIRECT("CAM_WTPCore2_"&amp;$B6&amp;"_LevelValues"),1,MATCH("S1 MEAN",WTPCore2_LevelValues,0))</f>
        <v>5.3490671066612649E-2</v>
      </c>
      <c r="V6" s="168">
        <f ca="1">INDEX(INDIRECT("CAM_WTPCore2_"&amp;$B6&amp;"_LevelValues"),1,MATCH("S2 MEAN",WTPCore2_LevelValues,0))</f>
        <v>0.33457681646237136</v>
      </c>
      <c r="W6" s="168">
        <f ca="1">SUM(U6:V6)</f>
        <v>0.38806748752898401</v>
      </c>
      <c r="X6" s="386">
        <f ca="1">E6*(S6-T6)</f>
        <v>3.8250000000000006</v>
      </c>
      <c r="Y6" s="429">
        <f ca="1">INDEX(INDIRECT("CAM_WTPCore_"&amp;$B6&amp;"_UnitValues"),MATCH("COMBINED-HH",WTPCore_Group,0),MATCH("MEAN",LMH,0))</f>
        <v>28.26566546881222</v>
      </c>
      <c r="Z6" s="429">
        <f ca="1">Y6*($S6-$T6)*(AllProps_CAM/HHProps_CAM)</f>
        <v>0.25044117647058828</v>
      </c>
      <c r="AA6" s="89">
        <f ca="1">INDEX(INDIRECT("CAM_WTPCore2_"&amp;$B6&amp;"_UnitValues"),1,MATCH("MEAN",LMH,0))</f>
        <v>43.79865138952065</v>
      </c>
      <c r="AB6" s="429">
        <f ca="1">AA6*($S6-$T6)*(AllProps_CAM/HHProps_CAM)</f>
        <v>0.3880674875289839</v>
      </c>
      <c r="AC6" s="168">
        <f ca="1">X6*AA$8/X$7</f>
        <v>2.6593966094374571E-2</v>
      </c>
      <c r="AD6" s="243" t="str">
        <f>Q6</f>
        <v>Property affected</v>
      </c>
      <c r="AE6" s="391">
        <f ca="1">(AC6*HHProps_CAM)/((S6-T6)*AllProps_CAM)</f>
        <v>3.0014878531797868</v>
      </c>
    </row>
    <row r="7" spans="1:31" x14ac:dyDescent="0.35">
      <c r="D7" s="377"/>
      <c r="E7" s="124"/>
      <c r="F7" s="16"/>
      <c r="G7" s="16"/>
      <c r="H7" s="16"/>
      <c r="I7" s="16"/>
      <c r="J7" s="330">
        <f ca="1">SUM(J5:J6)</f>
        <v>1.4297483670483562</v>
      </c>
      <c r="K7" s="331">
        <f ca="1">SUM(K5:K6)</f>
        <v>160.72460317460315</v>
      </c>
      <c r="L7" s="331"/>
      <c r="M7" s="331">
        <f ca="1">SUM(M5:M6)</f>
        <v>1.8343166023166018</v>
      </c>
      <c r="N7" s="331"/>
      <c r="O7" s="223">
        <f ca="1">SUM(O5:O6)</f>
        <v>1.4297483670483562</v>
      </c>
      <c r="P7" s="330">
        <f ca="1">SUM(P5:P6)</f>
        <v>1.6320324846824787</v>
      </c>
      <c r="Q7" s="201"/>
      <c r="R7" s="466"/>
      <c r="S7" s="168"/>
      <c r="T7" s="168"/>
      <c r="U7" s="168"/>
      <c r="V7" s="168"/>
      <c r="W7" s="44">
        <f ca="1">SUM(W5:W6)</f>
        <v>0.5569817530918848</v>
      </c>
      <c r="X7" s="389">
        <f ca="1">SUM(X5:X6)</f>
        <v>126.12642857142856</v>
      </c>
      <c r="Y7" s="389"/>
      <c r="Z7" s="389">
        <f ca="1">SUM(Z5:Z6)</f>
        <v>1.1968493397358941</v>
      </c>
      <c r="AA7" s="389"/>
      <c r="AB7" s="222">
        <f ca="1">SUM(AB5:AB6)</f>
        <v>0.55698175309188469</v>
      </c>
      <c r="AC7" s="44">
        <f ca="1">SUM(AC5:AC6)</f>
        <v>0.87691554641388936</v>
      </c>
      <c r="AE7" s="391"/>
    </row>
    <row r="8" spans="1:31" x14ac:dyDescent="0.35">
      <c r="A8" s="50"/>
      <c r="B8" s="50"/>
      <c r="C8" s="50"/>
      <c r="D8" s="379"/>
      <c r="E8" s="14"/>
      <c r="F8" s="384"/>
      <c r="G8" s="384"/>
      <c r="H8" s="384"/>
      <c r="I8" s="384"/>
      <c r="J8" s="384"/>
      <c r="K8" s="39"/>
      <c r="L8" s="39"/>
      <c r="M8" s="39" t="s">
        <v>361</v>
      </c>
      <c r="N8" s="546">
        <f ca="1">AVERAGE(M7,O7)</f>
        <v>1.632032484682479</v>
      </c>
      <c r="O8" s="39"/>
      <c r="P8" s="39"/>
      <c r="Q8" s="87"/>
      <c r="R8" s="467"/>
      <c r="S8" s="38"/>
      <c r="T8" s="38"/>
      <c r="U8" s="38"/>
      <c r="V8" s="38"/>
      <c r="W8" s="38"/>
      <c r="X8" s="390"/>
      <c r="Y8" s="390"/>
      <c r="Z8" s="390" t="s">
        <v>361</v>
      </c>
      <c r="AA8" s="546">
        <f ca="1">AVERAGE(Z7,AB7)</f>
        <v>0.87691554641388936</v>
      </c>
      <c r="AB8" s="390"/>
      <c r="AC8" s="39"/>
      <c r="AD8" s="87"/>
      <c r="AE8" s="392"/>
    </row>
    <row r="9" spans="1:31" x14ac:dyDescent="0.35">
      <c r="A9" s="51" t="s">
        <v>90</v>
      </c>
      <c r="B9" s="51"/>
      <c r="C9" s="51"/>
      <c r="D9" s="378"/>
      <c r="E9" s="218"/>
      <c r="F9" s="218"/>
      <c r="G9" s="218"/>
      <c r="H9" s="330"/>
      <c r="I9" s="330"/>
      <c r="J9" s="330"/>
      <c r="K9" s="45"/>
      <c r="L9" s="45"/>
      <c r="M9" s="45"/>
      <c r="N9" s="45"/>
      <c r="O9" s="45"/>
      <c r="P9" s="45"/>
      <c r="Q9" s="193"/>
      <c r="R9" s="468"/>
      <c r="S9" s="45"/>
      <c r="T9" s="45"/>
      <c r="U9" s="44"/>
      <c r="V9" s="44"/>
      <c r="W9" s="44"/>
      <c r="X9" s="389"/>
      <c r="Y9" s="389"/>
      <c r="Z9" s="389"/>
      <c r="AA9" s="389"/>
      <c r="AB9" s="389"/>
      <c r="AC9" s="45"/>
      <c r="AE9" s="393"/>
    </row>
    <row r="10" spans="1:31" x14ac:dyDescent="0.35">
      <c r="A10" s="7" t="s">
        <v>876</v>
      </c>
      <c r="B10" s="7" t="s">
        <v>138</v>
      </c>
      <c r="C10" s="7" t="s">
        <v>1007</v>
      </c>
      <c r="D10" s="377" t="s">
        <v>127</v>
      </c>
      <c r="E10" s="124">
        <f ca="1">INDEX(INDIRECT("ExtWTP_"&amp;$C10&amp;"_UnitValues"),MATCH(A$9, INDIRECT("ExtWTP_Comps_"&amp;C10),0),MATCH("HH",ExtWTP_Group,0))</f>
        <v>671</v>
      </c>
      <c r="F10" s="383">
        <f ca="1">INDEX(INDIRECT("SSW_WTPCore2_"&amp;$B10&amp;"_Levels"),1,MATCH(F$4,WTPCore2_AttLevels,0))</f>
        <v>1.4285714285714285E-2</v>
      </c>
      <c r="G10" s="383">
        <f ca="1">INDEX(INDIRECT("SSW_WTPCore2_"&amp;$B10&amp;"_Levels"),1,MATCH(G$4,WTPCore2_AttLevels,0))</f>
        <v>9.5238095238095247E-3</v>
      </c>
      <c r="H10" s="16">
        <f ca="1">INDEX(INDIRECT("SSW_WTPCore2_"&amp;$B10&amp;"_LevelValues"),1,MATCH("S1 MEAN",WTPCore2_LevelValues,0))</f>
        <v>0.39718669024665654</v>
      </c>
      <c r="I10" s="16">
        <f ca="1">INDEX(INDIRECT("SSW_WTPCore2_"&amp;$B10&amp;"_LevelValues"),1,MATCH("S2 MEAN",WTPCore2_LevelValues,0))</f>
        <v>0.53859352958370721</v>
      </c>
      <c r="J10" s="16">
        <f ca="1">SUM(H10:I10)</f>
        <v>0.93578021983036375</v>
      </c>
      <c r="K10" s="213">
        <f ca="1">E10*(F10-G10)</f>
        <v>3.1952380952380945</v>
      </c>
      <c r="L10" s="429">
        <f ca="1">INDEX(INDIRECT("SSW_WTPCore_DCE_"&amp;$B10&amp;"_UnitValues"),MATCH("COMBINED-HH",WTPCore_Group,0),MATCH("MEAN",LMH,0))</f>
        <v>162.10819588181059</v>
      </c>
      <c r="M10" s="429">
        <f ca="1">L10*($F10-$G10)*(AllProps_SSW/HHProps_SSW)</f>
        <v>0.8148571428571425</v>
      </c>
      <c r="N10" s="89">
        <f ca="1">INDEX(INDIRECT("SSW_WTPCore2_"&amp;$B10&amp;"_UnitValues"),1,MATCH("MEAN",LMH,0))</f>
        <v>186.16470937063306</v>
      </c>
      <c r="O10" s="429">
        <f ca="1">N10*($F10-$G10)*(AllProps_SSW/HHProps_SSW)</f>
        <v>0.93578021983036375</v>
      </c>
      <c r="P10" s="16">
        <f ca="1">K10*N$13/K$12</f>
        <v>1.4040955050651809</v>
      </c>
      <c r="Q10" s="377" t="s">
        <v>127</v>
      </c>
      <c r="R10" s="391">
        <f ca="1">P10*HHProps_SSW/((F10-G10)*AllProps_SSW)</f>
        <v>279.33164870321411</v>
      </c>
      <c r="S10" s="12">
        <f ca="1">INDEX(INDIRECT("CAM_WTPCore2_"&amp;$B10&amp;"_Levels"),1,MATCH(S$4,WTPCore2_AttLevels,0))</f>
        <v>2.5000000000000001E-2</v>
      </c>
      <c r="T10" s="12">
        <f ca="1">INDEX(INDIRECT("CAM_WTPCore2_"&amp;$B10&amp;"_Levels"),1,MATCH(T$4,WTPCore2_AttLevels,0))</f>
        <v>1.6666666666666666E-2</v>
      </c>
      <c r="U10" s="168">
        <f ca="1">INDEX(INDIRECT("CAM_WTPCore2_"&amp;$B10&amp;"_LevelValues"),1,MATCH("S1 MEAN",WTPCore2_LevelValues,0))</f>
        <v>5.3490671066612649E-2</v>
      </c>
      <c r="V10" s="168">
        <f ca="1">INDEX(INDIRECT("CAM_WTPCore2_"&amp;$B10&amp;"_LevelValues"),1,MATCH("S2 MEAN",WTPCore2_LevelValues,0))</f>
        <v>0.33457681646237136</v>
      </c>
      <c r="W10" s="168">
        <f ca="1">SUM(U10:V10)</f>
        <v>0.38806748752898401</v>
      </c>
      <c r="X10" s="386">
        <f ca="1">E10*(S10-T10)</f>
        <v>5.5916666666666677</v>
      </c>
      <c r="Y10" s="429">
        <f ca="1">INDEX(INDIRECT("CAM_WTPCore_"&amp;$B10&amp;"_UnitValues"),MATCH("COMBINED-HH",WTPCore_Group,0),MATCH("MEAN",LMH,0))</f>
        <v>28.26566546881222</v>
      </c>
      <c r="Z10" s="429">
        <f ca="1">Y10*($S10-$T10)*(AllProps_CAM/HHProps_CAM)</f>
        <v>0.25044117647058828</v>
      </c>
      <c r="AA10" s="89">
        <f ca="1">INDEX(INDIRECT("CAM_WTPCore2_"&amp;$B10&amp;"_UnitValues"),1,MATCH("MEAN",LMH,0))</f>
        <v>43.79865138952065</v>
      </c>
      <c r="AB10" s="429">
        <f ca="1">AA10*($S10-$T10)*(AllProps_CAM/HHProps_CAM)</f>
        <v>0.3880674875289839</v>
      </c>
      <c r="AC10" s="168">
        <f ca="1">X10*AA$13/X$12</f>
        <v>3.2206796291142519</v>
      </c>
      <c r="AD10" s="243" t="str">
        <f>Q10</f>
        <v>Property affected</v>
      </c>
      <c r="AE10" s="391">
        <f ca="1">(AC10*HHProps_CAM)/((S10-T10)*AllProps_CAM)</f>
        <v>363.4971463626419</v>
      </c>
    </row>
    <row r="11" spans="1:31" x14ac:dyDescent="0.35">
      <c r="A11" s="7" t="s">
        <v>893</v>
      </c>
      <c r="B11" s="7" t="s">
        <v>144</v>
      </c>
      <c r="C11" s="7" t="str">
        <f>B11</f>
        <v>TempBan</v>
      </c>
      <c r="D11" s="377" t="s">
        <v>127</v>
      </c>
      <c r="E11" s="124">
        <f ca="1">INDEX(INDIRECT("ExtWTP_"&amp;$C11&amp;"_UnitValues"),MATCH(A$9, INDIRECT("ExtWTP_Comps_"&amp;C11),0),MATCH("HH",ExtWTP_Group,0))</f>
        <v>8.5</v>
      </c>
      <c r="F11" s="383">
        <f ca="1">INDEX(INDIRECT("SSW_WTPCore2_"&amp;$B11&amp;"_Levels"),1,MATCH(F$4,WTPCore2_AttLevels,0))</f>
        <v>2.5000000000000001E-2</v>
      </c>
      <c r="G11" s="383">
        <f ca="1">INDEX(INDIRECT("SSW_WTPCore2_"&amp;$B11&amp;"_Levels"),1,MATCH(G$4,WTPCore2_AttLevels,0))</f>
        <v>1.5384615384615385E-2</v>
      </c>
      <c r="H11" s="16">
        <f ca="1">INDEX(INDIRECT("SSW_WTPCore2_"&amp;$B11&amp;"_LevelValues"),1,MATCH("S1 MEAN",WTPCore2_LevelValues,0))</f>
        <v>0.4084226191643695</v>
      </c>
      <c r="I11" s="16">
        <f ca="1">INDEX(INDIRECT("SSW_WTPCore2_"&amp;$B11&amp;"_LevelValues"),1,MATCH("S2 MEAN",WTPCore2_LevelValues,0))</f>
        <v>0.28250000903457151</v>
      </c>
      <c r="J11" s="16">
        <f ca="1">SUM(H11:I11)</f>
        <v>0.69092262819894101</v>
      </c>
      <c r="K11" s="213">
        <f ca="1">E11*(F11-G11)</f>
        <v>8.1730769230769232E-2</v>
      </c>
      <c r="L11" s="605">
        <f t="shared" ref="L11" ca="1" si="2">INDEX(INDIRECT("SSW_WTPCore_DCE_"&amp;$C11&amp;"_UnitValues"),MATCH("COMBINED-HH",WTPCore_Group,0),MATCH("MEAN",LMH,0))</f>
        <v>245983.27199999994</v>
      </c>
      <c r="M11" s="429">
        <f ca="1">L11*(F11-G11)/HHProps_SSW*100</f>
        <v>0.43846153846153846</v>
      </c>
      <c r="N11" s="245">
        <f t="shared" ref="N11" ca="1" si="3">INDEX(INDIRECT("SSW_WTPCore2_"&amp;$C11&amp;"_UnitValues"),1,MATCH("MEAN",LMH,0))</f>
        <v>387617.59897926223</v>
      </c>
      <c r="O11" s="429">
        <f ca="1">N11*(F11-G11)/HHProps_SSW*100</f>
        <v>0.69092262819894101</v>
      </c>
      <c r="P11" s="16">
        <f ca="1">K11*N$13/K$12</f>
        <v>3.5915259608812165E-2</v>
      </c>
      <c r="Q11" s="477" t="s">
        <v>145</v>
      </c>
      <c r="R11" s="391">
        <f ca="1">P11*HHProps_SSW/((F11-G11)*100)</f>
        <v>20148.980693502763</v>
      </c>
      <c r="S11" s="12">
        <f ca="1">INDEX(INDIRECT("CAM_WTPCore2_"&amp;$B11&amp;"_Levels"),1,MATCH(S$4,WTPCore2_AttLevels,0))</f>
        <v>0.05</v>
      </c>
      <c r="T11" s="12">
        <f ca="1">INDEX(INDIRECT("CAM_WTPCore2_"&amp;$B11&amp;"_Levels"),1,MATCH(T$4,WTPCore2_AttLevels,0))</f>
        <v>3.3333333333333333E-2</v>
      </c>
      <c r="U11" s="168">
        <f ca="1">INDEX(INDIRECT("CAM_WTPCore2_"&amp;$B11&amp;"_LevelValues"),1,MATCH("S1 MEAN",WTPCore2_LevelValues,0))</f>
        <v>0.15591350717379643</v>
      </c>
      <c r="V11" s="168">
        <f ca="1">INDEX(INDIRECT("CAM_WTPCore2_"&amp;$B11&amp;"_LevelValues"),1,MATCH("S2 MEAN",WTPCore2_LevelValues,0))</f>
        <v>5.0130987785217407E-2</v>
      </c>
      <c r="W11" s="168">
        <f ca="1">SUM(U11:V11)</f>
        <v>0.20604449495901384</v>
      </c>
      <c r="X11" s="386">
        <f ca="1">E11*(S11-T11)</f>
        <v>0.14166666666666669</v>
      </c>
      <c r="Y11" s="605">
        <f ca="1">INDEX(INDIRECT("CAM_WTPCore_"&amp;$C11&amp;"_UnitValues"),MATCH("COMBINED-HH",WTPCore_Group,0),MATCH("MEAN",LMH,0))</f>
        <v>469608.19199999986</v>
      </c>
      <c r="Z11" s="429">
        <f ca="1">Y11*(S11-T11)/HHProps_CAM*100</f>
        <v>5.76</v>
      </c>
      <c r="AA11" s="245">
        <f ca="1">INDEX(INDIRECT("CAM_WTPCore2_"&amp;$C11&amp;"_UnitValues"),1,MATCH("MEAN",LMH,0))</f>
        <v>16798.64283841243</v>
      </c>
      <c r="AB11" s="429">
        <f ca="1">AA11*(S11-T11)/HHProps_CAM*100</f>
        <v>0.20604449495901386</v>
      </c>
      <c r="AC11" s="168">
        <f ca="1">X11*AA$13/X$12</f>
        <v>8.1596950365040666E-2</v>
      </c>
      <c r="AD11" s="243" t="str">
        <f>Q11</f>
        <v>1% change in risk</v>
      </c>
      <c r="AE11" s="391">
        <f ca="1">(AC11*HHProps_CAM)/((S11-T11)*100)</f>
        <v>6652.5340857014726</v>
      </c>
    </row>
    <row r="12" spans="1:31" x14ac:dyDescent="0.35">
      <c r="D12" s="377"/>
      <c r="E12" s="124"/>
      <c r="F12" s="16"/>
      <c r="G12" s="16"/>
      <c r="H12" s="16"/>
      <c r="I12" s="16"/>
      <c r="J12" s="330">
        <f ca="1">SUM(J10:J11)</f>
        <v>1.6267028480293049</v>
      </c>
      <c r="K12" s="331">
        <f ca="1">SUM(K10:K11)</f>
        <v>3.2769688644688637</v>
      </c>
      <c r="L12" s="331"/>
      <c r="M12" s="331">
        <f ca="1">SUM(M10:M11)</f>
        <v>1.253318681318681</v>
      </c>
      <c r="N12" s="331"/>
      <c r="O12" s="223">
        <f ca="1">SUM(O10:O11)</f>
        <v>1.6267028480293049</v>
      </c>
      <c r="P12" s="330">
        <f ca="1">SUM(P10:P11)</f>
        <v>1.440010764673993</v>
      </c>
      <c r="Q12" s="201"/>
      <c r="R12" s="466"/>
      <c r="S12" s="168"/>
      <c r="T12" s="168"/>
      <c r="U12" s="168"/>
      <c r="V12" s="168"/>
      <c r="W12" s="44">
        <f ca="1">SUM(W10:W11)</f>
        <v>0.5941119824879979</v>
      </c>
      <c r="X12" s="389">
        <f ca="1">SUM(X10:X11)</f>
        <v>5.7333333333333343</v>
      </c>
      <c r="Y12" s="389"/>
      <c r="Z12" s="389">
        <f ca="1">SUM(Z10:Z11)</f>
        <v>6.0104411764705876</v>
      </c>
      <c r="AA12" s="389"/>
      <c r="AB12" s="222">
        <f ca="1">SUM(AB10:AB11)</f>
        <v>0.59411198248799779</v>
      </c>
      <c r="AC12" s="44">
        <f ca="1">SUM(AC10:AC11)</f>
        <v>3.3022765794792925</v>
      </c>
      <c r="AE12" s="391"/>
    </row>
    <row r="13" spans="1:31" x14ac:dyDescent="0.35">
      <c r="A13" s="50"/>
      <c r="B13" s="50"/>
      <c r="C13" s="50"/>
      <c r="D13" s="379"/>
      <c r="E13" s="14"/>
      <c r="F13" s="384"/>
      <c r="G13" s="384"/>
      <c r="H13" s="384"/>
      <c r="I13" s="384"/>
      <c r="J13" s="384"/>
      <c r="K13" s="39"/>
      <c r="L13" s="39"/>
      <c r="M13" s="39" t="s">
        <v>361</v>
      </c>
      <c r="N13" s="546">
        <f ca="1">AVERAGE(M12,O12)</f>
        <v>1.440010764673993</v>
      </c>
      <c r="O13" s="39"/>
      <c r="P13" s="39"/>
      <c r="Q13" s="87"/>
      <c r="R13" s="467"/>
      <c r="S13" s="38"/>
      <c r="T13" s="38"/>
      <c r="U13" s="38"/>
      <c r="V13" s="38"/>
      <c r="W13" s="38"/>
      <c r="X13" s="390"/>
      <c r="Y13" s="390"/>
      <c r="Z13" s="390" t="s">
        <v>361</v>
      </c>
      <c r="AA13" s="546">
        <f ca="1">AVERAGE(Z12,AB12)</f>
        <v>3.3022765794792925</v>
      </c>
      <c r="AB13" s="390"/>
      <c r="AC13" s="39"/>
      <c r="AD13" s="87"/>
      <c r="AE13" s="392"/>
    </row>
    <row r="14" spans="1:31" s="53" customFormat="1" x14ac:dyDescent="0.35">
      <c r="A14" s="51" t="s">
        <v>91</v>
      </c>
      <c r="B14" s="51"/>
      <c r="C14" s="7"/>
      <c r="D14" s="378"/>
      <c r="E14" s="218"/>
      <c r="F14" s="218"/>
      <c r="G14" s="218"/>
      <c r="H14" s="330"/>
      <c r="I14" s="330"/>
      <c r="J14" s="330"/>
      <c r="K14" s="45"/>
      <c r="L14" s="45"/>
      <c r="M14" s="45"/>
      <c r="N14" s="45"/>
      <c r="O14" s="45"/>
      <c r="P14" s="45"/>
      <c r="Q14" s="193"/>
      <c r="R14" s="468"/>
      <c r="S14" s="45"/>
      <c r="T14" s="45"/>
      <c r="U14" s="44"/>
      <c r="V14" s="44"/>
      <c r="W14" s="44"/>
      <c r="X14" s="389"/>
      <c r="Y14" s="389"/>
      <c r="Z14" s="389"/>
      <c r="AA14" s="389"/>
      <c r="AB14" s="389"/>
      <c r="AC14" s="45"/>
      <c r="AE14" s="393"/>
    </row>
    <row r="15" spans="1:31" x14ac:dyDescent="0.35">
      <c r="A15" s="7" t="s">
        <v>129</v>
      </c>
      <c r="B15" s="7" t="s">
        <v>130</v>
      </c>
      <c r="C15" s="7" t="str">
        <f>B15</f>
        <v>Discolour</v>
      </c>
      <c r="D15" s="377" t="s">
        <v>127</v>
      </c>
      <c r="E15" s="124">
        <f ca="1">INDEX(INDIRECT("ExtWTP_"&amp;$C15&amp;"_UnitValues"),MATCH(A$14, INDIRECT("ExtWTP_Comps_"&amp;C15),0),MATCH("HH",ExtWTP_Group,0))</f>
        <v>2855</v>
      </c>
      <c r="F15" s="383">
        <f t="shared" ref="F15:G17" ca="1" si="4">INDEX(INDIRECT("SSW_WTPCore2_"&amp;$B15&amp;"_Levels"),1,MATCH(F$4,WTPCore2_AttLevels,0))</f>
        <v>6.6666666666666666E-2</v>
      </c>
      <c r="G15" s="383">
        <f t="shared" ca="1" si="4"/>
        <v>0.04</v>
      </c>
      <c r="H15" s="16">
        <f ca="1">INDEX(INDIRECT("SSW_WTPCore2_"&amp;$B15&amp;"_LevelValues"),1,MATCH("S1 MEAN",WTPCore2_LevelValues,0))</f>
        <v>3.3679929677046498</v>
      </c>
      <c r="I15" s="16">
        <f ca="1">INDEX(INDIRECT("SSW_WTPCore2_"&amp;$B15&amp;"_LevelValues"),1,MATCH("S2 MEAN",WTPCore2_LevelValues,0))</f>
        <v>0.60669022375558512</v>
      </c>
      <c r="J15" s="16">
        <f ca="1">SUM(H15:I15)</f>
        <v>3.974683191460235</v>
      </c>
      <c r="K15" s="213">
        <f ca="1">E15*(F15-G15)</f>
        <v>76.133333333333326</v>
      </c>
      <c r="L15" s="429">
        <f ca="1">INDEX(INDIRECT("SSW_WTPCore_DCE_"&amp;$C15&amp;"_UnitValues"),MATCH("COMBINED-HH",WTPCore_Group,0),MATCH("MEAN",LMH,0))</f>
        <v>28.111247840776404</v>
      </c>
      <c r="M15" s="429">
        <f ca="1">L15*(F15-G15)*(AllProps_CAM/HHProps_CAM)</f>
        <v>0.7970335870923948</v>
      </c>
      <c r="N15" s="89">
        <f ca="1">INDEX(INDIRECT("SSW_WTPCore2_"&amp;$C15&amp;"_UnitValues"),1,MATCH("MEAN",LMH,0))</f>
        <v>141.20106972505607</v>
      </c>
      <c r="O15" s="429">
        <f ca="1">N15*($F15-$G15)*(AllProps_CAM/HHProps_CAM)</f>
        <v>4.0034507091854694</v>
      </c>
      <c r="P15" s="16">
        <f ca="1">K15*N$19/K$18</f>
        <v>2.2297753033727949</v>
      </c>
      <c r="Q15" s="377" t="s">
        <v>127</v>
      </c>
      <c r="R15" s="391">
        <f ca="1">P15*HHProps_SSW/((F15-G15)*AllProps_SSW)</f>
        <v>79.213019734305021</v>
      </c>
      <c r="S15" s="12">
        <f t="shared" ref="S15:T17" ca="1" si="5">INDEX(INDIRECT("CAM_WTPCore2_"&amp;$B15&amp;"_Levels"),1,MATCH(S$4,WTPCore2_AttLevels,0))</f>
        <v>2.2222222222222223E-2</v>
      </c>
      <c r="T15" s="12">
        <f t="shared" ca="1" si="5"/>
        <v>1.5384615384615385E-2</v>
      </c>
      <c r="U15" s="168">
        <f ca="1">INDEX(INDIRECT("CAM_WTPCore2_"&amp;$B15&amp;"_LevelValues"),1,MATCH("S1 MEAN",WTPCore2_LevelValues,0))</f>
        <v>3.1155463151224057</v>
      </c>
      <c r="V15" s="168">
        <f ca="1">INDEX(INDIRECT("CAM_WTPCore2_"&amp;$B15&amp;"_LevelValues"),1,MATCH("S2 MEAN",WTPCore2_LevelValues,0))</f>
        <v>1.3419840000849801</v>
      </c>
      <c r="W15" s="168">
        <f ca="1">SUM(U15:V15)</f>
        <v>4.4575303152073857</v>
      </c>
      <c r="X15" s="386">
        <f ca="1">E15*(S15-T15)</f>
        <v>19.521367521367523</v>
      </c>
      <c r="Y15" s="429">
        <f ca="1">INDEX(INDIRECT("CAM_WTPCore_"&amp;$C15&amp;"_UnitValues"),MATCH("COMBINED-HH",WTPCore_Group,0),MATCH("MEAN",LMH,0))</f>
        <v>308.90334405201918</v>
      </c>
      <c r="Z15" s="429">
        <f ca="1">Y15*($S15-$T15)*(AllProps_CAM/HHProps_CAM)</f>
        <v>2.2457142857142856</v>
      </c>
      <c r="AA15" s="89">
        <f ca="1">INDEX(INDIRECT("CAM_WTPCore2_"&amp;$C15&amp;"_UnitValues"),1,MATCH("MEAN",LMH,0))</f>
        <v>613.1439022942551</v>
      </c>
      <c r="AB15" s="429">
        <f ca="1">AA15*($S15-$T15)*(AllProps_CAM/HHProps_CAM)</f>
        <v>4.4575303152073857</v>
      </c>
      <c r="AC15" s="168">
        <f ca="1">X15*AA$19/X$18</f>
        <v>1.1897837605228101</v>
      </c>
      <c r="AD15" s="243" t="str">
        <f>Q15</f>
        <v>Property affected</v>
      </c>
      <c r="AE15" s="391">
        <f ca="1">(AC15*HHProps_CAM)/((S15-T15)*AllProps_CAM)</f>
        <v>163.6575875489809</v>
      </c>
    </row>
    <row r="16" spans="1:31" x14ac:dyDescent="0.35">
      <c r="A16" s="7" t="s">
        <v>131</v>
      </c>
      <c r="B16" s="7" t="s">
        <v>132</v>
      </c>
      <c r="C16" s="7" t="str">
        <f>B16</f>
        <v>TasteSmell</v>
      </c>
      <c r="D16" s="377" t="s">
        <v>127</v>
      </c>
      <c r="E16" s="124">
        <f ca="1">INDEX(INDIRECT("ExtWTP_"&amp;$C16&amp;"_UnitValues"),MATCH(A$14, INDIRECT("ExtWTP_Comps_"&amp;C16),0),MATCH("HH",ExtWTP_Group,0))</f>
        <v>10640</v>
      </c>
      <c r="F16" s="383">
        <f t="shared" ca="1" si="4"/>
        <v>1.6666666666666666E-2</v>
      </c>
      <c r="G16" s="383">
        <f t="shared" ca="1" si="4"/>
        <v>1.1111111111111112E-2</v>
      </c>
      <c r="H16" s="16">
        <f ca="1">INDEX(INDIRECT("SSW_WTPCore2_"&amp;$B16&amp;"_LevelValues"),1,MATCH("S1 MEAN",WTPCore2_LevelValues,0))</f>
        <v>0.30818609087835352</v>
      </c>
      <c r="I16" s="16">
        <f ca="1">INDEX(INDIRECT("SSW_WTPCore2_"&amp;$B16&amp;"_LevelValues"),1,MATCH("S2 MEAN",WTPCore2_LevelValues,0))</f>
        <v>0.18578205633963885</v>
      </c>
      <c r="J16" s="16">
        <f ca="1">SUM(H16:I16)</f>
        <v>0.49396814721799237</v>
      </c>
      <c r="K16" s="213">
        <f ca="1">E16*(F16-G16)</f>
        <v>59.111111111111107</v>
      </c>
      <c r="L16" s="429">
        <f ca="1">INDEX(INDIRECT("SSW_WTPCore_DCE_"&amp;$B16&amp;"_UnitValues"),MATCH("COMBINED-HH",WTPCore_Group,0),MATCH("MEAN",LMH,0))</f>
        <v>173.83878023943072</v>
      </c>
      <c r="M16" s="429">
        <f ca="1">L16*($F16-$G16)*(AllProps_SSW/HHProps_SSW)</f>
        <v>1.0194594594594593</v>
      </c>
      <c r="N16" s="89">
        <f ca="1">INDEX(INDIRECT("SSW_WTPCore2_"&amp;$B16&amp;"_UnitValues"),1,MATCH("MEAN",LMH,0))</f>
        <v>84.231716516748989</v>
      </c>
      <c r="O16" s="429">
        <f ca="1">N16*($F16-$G16)*(AllProps_SSW/HHProps_SSW)</f>
        <v>0.49396814721799237</v>
      </c>
      <c r="P16" s="16">
        <f t="shared" ref="P16:P17" ca="1" si="6">K16*N$19/K$18</f>
        <v>1.7312324305229523</v>
      </c>
      <c r="Q16" s="377" t="s">
        <v>127</v>
      </c>
      <c r="R16" s="391">
        <f ca="1">P16*HHProps_SSW/((F16-G16)*AllProps_SSW)</f>
        <v>295.21069351068496</v>
      </c>
      <c r="S16" s="12">
        <f t="shared" ca="1" si="5"/>
        <v>1.4285714285714285E-2</v>
      </c>
      <c r="T16" s="12">
        <f t="shared" ca="1" si="5"/>
        <v>0.01</v>
      </c>
      <c r="U16" s="168">
        <f ca="1">INDEX(INDIRECT("CAM_WTPCore2_"&amp;$B16&amp;"_LevelValues"),1,MATCH("S1 MEAN",WTPCore2_LevelValues,0))</f>
        <v>4.7204807663126298E-2</v>
      </c>
      <c r="V16" s="168">
        <f ca="1">INDEX(INDIRECT("CAM_WTPCore2_"&amp;$B16&amp;"_LevelValues"),1,MATCH("S2 MEAN",WTPCore2_LevelValues,0))</f>
        <v>0.1217094578997745</v>
      </c>
      <c r="W16" s="168">
        <f t="shared" ref="W16:W17" ca="1" si="7">SUM(U16:V16)</f>
        <v>0.16891426556290079</v>
      </c>
      <c r="X16" s="386">
        <f ca="1">E16*(S16-T16)</f>
        <v>45.599999999999994</v>
      </c>
      <c r="Y16" s="429">
        <f t="shared" ref="Y16" ca="1" si="8">INDEX(INDIRECT("CAM_WTPCore_"&amp;$C16&amp;"_UnitValues"),MATCH("COMBINED-HH",WTPCore_Group,0),MATCH("MEAN",LMH,0))</f>
        <v>207.69569571588755</v>
      </c>
      <c r="Z16" s="429">
        <f ca="1">Y16*(S16-T16)*(AllProps_CAM/HHProps_CAM)</f>
        <v>0.94640816326530586</v>
      </c>
      <c r="AA16" s="89">
        <f t="shared" ref="AA16" ca="1" si="9">INDEX(INDIRECT("CAM_WTPCore2_"&amp;$C16&amp;"_UnitValues"),1,MATCH("MEAN",LMH,0))</f>
        <v>37.069382180075451</v>
      </c>
      <c r="AB16" s="429">
        <f ca="1">AA16*($S16-$T16)*(AllProps_CAM/HHProps_CAM)</f>
        <v>0.16891426556290079</v>
      </c>
      <c r="AC16" s="168">
        <f t="shared" ref="AC16:AC17" ca="1" si="10">X16*AA$19/X$18</f>
        <v>2.7792181782580103</v>
      </c>
      <c r="AD16" s="243" t="str">
        <f>Q16</f>
        <v>Property affected</v>
      </c>
      <c r="AE16" s="391">
        <f ca="1">(AC16*HHProps_CAM)/((S16-T16)*AllProps_CAM)</f>
        <v>609.91829475347004</v>
      </c>
    </row>
    <row r="17" spans="1:31" x14ac:dyDescent="0.35">
      <c r="A17" s="7" t="s">
        <v>855</v>
      </c>
      <c r="B17" s="7" t="s">
        <v>138</v>
      </c>
      <c r="C17" s="7" t="s">
        <v>1008</v>
      </c>
      <c r="D17" s="377" t="s">
        <v>127</v>
      </c>
      <c r="E17" s="124">
        <f ca="1">INDEX(INDIRECT("ExtWTP_"&amp;$C17&amp;"_UnitValues"),MATCH(A$14, INDIRECT("ExtWTP_Comps_"&amp;C17),0),MATCH("HH",ExtWTP_Group,0))</f>
        <v>511</v>
      </c>
      <c r="F17" s="383">
        <f t="shared" ca="1" si="4"/>
        <v>1.4285714285714285E-2</v>
      </c>
      <c r="G17" s="383">
        <f t="shared" ca="1" si="4"/>
        <v>9.5238095238095247E-3</v>
      </c>
      <c r="H17" s="16">
        <f ca="1">INDEX(INDIRECT("SSW_WTPCore2_"&amp;$B17&amp;"_LevelValues"),1,MATCH("S1 MEAN",WTPCore2_LevelValues,0))</f>
        <v>0.39718669024665654</v>
      </c>
      <c r="I17" s="16">
        <f ca="1">INDEX(INDIRECT("SSW_WTPCore2_"&amp;$B17&amp;"_LevelValues"),1,MATCH("S2 MEAN",WTPCore2_LevelValues,0))</f>
        <v>0.53859352958370721</v>
      </c>
      <c r="J17" s="16">
        <f ca="1">SUM(H17:I17)</f>
        <v>0.93578021983036375</v>
      </c>
      <c r="K17" s="213">
        <f ca="1">E17*(F17-G17)</f>
        <v>2.4333333333333327</v>
      </c>
      <c r="L17" s="429">
        <f ca="1">INDEX(INDIRECT("SSW_WTPCore_DCE_"&amp;$B17&amp;"_UnitValues"),MATCH("COMBINED-HH",WTPCore_Group,0),MATCH("MEAN",LMH,0))</f>
        <v>162.10819588181059</v>
      </c>
      <c r="M17" s="429">
        <f ca="1">L17*($F17-$G17)*(AllProps_SSW/HHProps_SSW)</f>
        <v>0.8148571428571425</v>
      </c>
      <c r="N17" s="89">
        <f ca="1">INDEX(INDIRECT("SSW_WTPCore2_"&amp;$B17&amp;"_UnitValues"),1,MATCH("MEAN",LMH,0))</f>
        <v>186.16470937063306</v>
      </c>
      <c r="O17" s="429">
        <f ca="1">N17*($F17-$G17)*(AllProps_SSW/HHProps_SSW)</f>
        <v>0.93578021983036375</v>
      </c>
      <c r="P17" s="16">
        <f t="shared" ca="1" si="6"/>
        <v>7.1266898925662875E-2</v>
      </c>
      <c r="Q17" s="377" t="s">
        <v>127</v>
      </c>
      <c r="R17" s="391">
        <f ca="1">P17*HHProps_SSW/((F17-G17)*AllProps_SSW)</f>
        <v>14.177881990973686</v>
      </c>
      <c r="S17" s="12">
        <f t="shared" ca="1" si="5"/>
        <v>2.5000000000000001E-2</v>
      </c>
      <c r="T17" s="12">
        <f t="shared" ca="1" si="5"/>
        <v>1.6666666666666666E-2</v>
      </c>
      <c r="U17" s="168">
        <f ca="1">INDEX(INDIRECT("CAM_WTPCore2_"&amp;$B17&amp;"_LevelValues"),1,MATCH("S1 MEAN",WTPCore2_LevelValues,0))</f>
        <v>5.3490671066612649E-2</v>
      </c>
      <c r="V17" s="168">
        <f ca="1">INDEX(INDIRECT("CAM_WTPCore2_"&amp;$B17&amp;"_LevelValues"),1,MATCH("S2 MEAN",WTPCore2_LevelValues,0))</f>
        <v>0.33457681646237136</v>
      </c>
      <c r="W17" s="168">
        <f t="shared" ca="1" si="7"/>
        <v>0.38806748752898401</v>
      </c>
      <c r="X17" s="386">
        <f ca="1">E17*(S17-T17)</f>
        <v>4.2583333333333337</v>
      </c>
      <c r="Y17" s="429">
        <f ca="1">INDEX(INDIRECT("CAM_WTPCore_"&amp;$B17&amp;"_UnitValues"),MATCH("COMBINED-HH",WTPCore_Group,0),MATCH("MEAN",LMH,0))</f>
        <v>28.26566546881222</v>
      </c>
      <c r="Z17" s="429">
        <f ca="1">Y17*($S17-$T17)*(AllProps_CAM/HHProps_CAM)</f>
        <v>0.25044117647058828</v>
      </c>
      <c r="AA17" s="89">
        <f ca="1">INDEX(INDIRECT("CAM_WTPCore2_"&amp;$B17&amp;"_UnitValues"),1,MATCH("MEAN",LMH,0))</f>
        <v>43.79865138952065</v>
      </c>
      <c r="AB17" s="429">
        <f ca="1">AA17*($S17-$T17)*(AllProps_CAM/HHProps_CAM)</f>
        <v>0.3880674875289839</v>
      </c>
      <c r="AC17" s="168">
        <f t="shared" ca="1" si="10"/>
        <v>0.25953590809390414</v>
      </c>
      <c r="AD17" s="243" t="str">
        <f>Q17</f>
        <v>Property affected</v>
      </c>
      <c r="AE17" s="391">
        <f ca="1">(AC17*HHProps_CAM)/((S17-T17)*AllProps_CAM)</f>
        <v>29.29212862960744</v>
      </c>
    </row>
    <row r="18" spans="1:31" x14ac:dyDescent="0.35">
      <c r="D18" s="377"/>
      <c r="E18" s="124"/>
      <c r="F18" s="16"/>
      <c r="G18" s="16"/>
      <c r="H18" s="16"/>
      <c r="I18" s="16"/>
      <c r="J18" s="330">
        <f ca="1">SUM(J15:J17)</f>
        <v>5.4044315585085911</v>
      </c>
      <c r="K18" s="331">
        <f ca="1">SUM(K15:K17)</f>
        <v>137.67777777777778</v>
      </c>
      <c r="L18" s="331"/>
      <c r="M18" s="331">
        <f ca="1">SUM(M15:M17)</f>
        <v>2.6313501894089963</v>
      </c>
      <c r="N18" s="331"/>
      <c r="O18" s="331">
        <f ca="1">SUM(O15:O17)</f>
        <v>5.4331990762338256</v>
      </c>
      <c r="P18" s="330">
        <f ca="1">SUM(P15:P17)</f>
        <v>4.0322746328214105</v>
      </c>
      <c r="Q18" s="201"/>
      <c r="R18" s="466"/>
      <c r="S18" s="168"/>
      <c r="T18" s="168"/>
      <c r="U18" s="168"/>
      <c r="V18" s="168"/>
      <c r="W18" s="44">
        <f ca="1">SUM(W15:W17)</f>
        <v>5.0145120682992701</v>
      </c>
      <c r="X18" s="389">
        <f ca="1">SUM(X15:X17)</f>
        <v>69.379700854700857</v>
      </c>
      <c r="Y18" s="389"/>
      <c r="Z18" s="389">
        <f ca="1">SUM(Z15:Z17)</f>
        <v>3.4425636254501799</v>
      </c>
      <c r="AA18" s="389"/>
      <c r="AB18" s="222">
        <f ca="1">SUM(AB15:AB17)</f>
        <v>5.0145120682992701</v>
      </c>
      <c r="AC18" s="44">
        <f ca="1">SUM(AC15:AC17)</f>
        <v>4.2285378468747243</v>
      </c>
      <c r="AE18" s="391"/>
    </row>
    <row r="19" spans="1:31" x14ac:dyDescent="0.35">
      <c r="A19" s="50"/>
      <c r="B19" s="50"/>
      <c r="C19" s="50"/>
      <c r="D19" s="379"/>
      <c r="E19" s="14"/>
      <c r="F19" s="384"/>
      <c r="G19" s="384"/>
      <c r="H19" s="384"/>
      <c r="I19" s="384"/>
      <c r="J19" s="384"/>
      <c r="K19" s="39"/>
      <c r="L19" s="39"/>
      <c r="M19" s="39" t="s">
        <v>361</v>
      </c>
      <c r="N19" s="546">
        <f ca="1">AVERAGE(M18,O18)</f>
        <v>4.0322746328214105</v>
      </c>
      <c r="O19" s="39"/>
      <c r="P19" s="39"/>
      <c r="Q19" s="87"/>
      <c r="R19" s="467"/>
      <c r="S19" s="38"/>
      <c r="T19" s="38"/>
      <c r="U19" s="38"/>
      <c r="V19" s="38"/>
      <c r="W19" s="38"/>
      <c r="X19" s="390"/>
      <c r="Y19" s="390"/>
      <c r="Z19" s="390" t="s">
        <v>361</v>
      </c>
      <c r="AA19" s="546">
        <f ca="1">AVERAGE(Z18,AB18)</f>
        <v>4.2285378468747252</v>
      </c>
      <c r="AB19" s="390"/>
      <c r="AC19" s="39"/>
      <c r="AD19" s="87"/>
      <c r="AE19" s="392"/>
    </row>
    <row r="20" spans="1:31" x14ac:dyDescent="0.35">
      <c r="A20" s="51" t="s">
        <v>92</v>
      </c>
      <c r="B20" s="51"/>
      <c r="D20" s="378"/>
      <c r="E20" s="218"/>
      <c r="F20" s="218"/>
      <c r="G20" s="218"/>
      <c r="H20" s="330"/>
      <c r="I20" s="330"/>
      <c r="J20" s="330"/>
      <c r="K20" s="45"/>
      <c r="L20" s="45"/>
      <c r="M20" s="45"/>
      <c r="N20" s="45"/>
      <c r="O20" s="45"/>
      <c r="P20" s="45"/>
      <c r="Q20" s="193"/>
      <c r="R20" s="468"/>
      <c r="S20" s="45"/>
      <c r="T20" s="45"/>
      <c r="U20" s="44"/>
      <c r="V20" s="44"/>
      <c r="W20" s="44"/>
      <c r="X20" s="389"/>
      <c r="Y20" s="389"/>
      <c r="Z20" s="389"/>
      <c r="AA20" s="389"/>
      <c r="AB20" s="389"/>
      <c r="AC20" s="45"/>
      <c r="AE20" s="393"/>
    </row>
    <row r="21" spans="1:31" x14ac:dyDescent="0.35">
      <c r="A21" s="7" t="s">
        <v>129</v>
      </c>
      <c r="B21" s="7" t="s">
        <v>130</v>
      </c>
      <c r="C21" s="7" t="str">
        <f>B21</f>
        <v>Discolour</v>
      </c>
      <c r="D21" s="377" t="s">
        <v>127</v>
      </c>
      <c r="E21" s="124">
        <f ca="1">INDEX(INDIRECT("ExtWTP_"&amp;$C21&amp;"_UnitValues"),MATCH(A$20, INDIRECT("ExtWTP_Comps_"&amp;C21),0),MATCH("HH",ExtWTP_Group,0))</f>
        <v>15061</v>
      </c>
      <c r="F21" s="383">
        <f t="shared" ref="F21:G23" ca="1" si="11">INDEX(INDIRECT("SSW_WTPCore2_"&amp;$B21&amp;"_Levels"),1,MATCH(F$4,WTPCore2_AttLevels,0))</f>
        <v>6.6666666666666666E-2</v>
      </c>
      <c r="G21" s="383">
        <f t="shared" ca="1" si="11"/>
        <v>0.04</v>
      </c>
      <c r="H21" s="16">
        <f ca="1">INDEX(INDIRECT("SSW_WTPCore2_"&amp;$B21&amp;"_LevelValues"),1,MATCH("S1 MEAN",WTPCore2_LevelValues,0))</f>
        <v>3.3679929677046498</v>
      </c>
      <c r="I21" s="16">
        <f ca="1">INDEX(INDIRECT("SSW_WTPCore2_"&amp;$B21&amp;"_LevelValues"),1,MATCH("S2 MEAN",WTPCore2_LevelValues,0))</f>
        <v>0.60669022375558512</v>
      </c>
      <c r="J21" s="16">
        <f ca="1">SUM(H21:I21)</f>
        <v>3.974683191460235</v>
      </c>
      <c r="K21" s="213">
        <f ca="1">E21*(F21-G21)</f>
        <v>401.62666666666667</v>
      </c>
      <c r="L21" s="429">
        <f ca="1">INDEX(INDIRECT("SSW_WTPCore_DCE_"&amp;$C21&amp;"_UnitValues"),MATCH("COMBINED-HH",WTPCore_Group,0),MATCH("MEAN",LMH,0))</f>
        <v>28.111247840776404</v>
      </c>
      <c r="M21" s="429">
        <f ca="1">L21*(F21-G21)*(AllProps_CAM/HHProps_CAM)</f>
        <v>0.7970335870923948</v>
      </c>
      <c r="N21" s="89">
        <f ca="1">INDEX(INDIRECT("SSW_WTPCore2_"&amp;$C21&amp;"_UnitValues"),1,MATCH("MEAN",LMH,0))</f>
        <v>141.20106972505607</v>
      </c>
      <c r="O21" s="429">
        <f ca="1">N21*($F21-$G21)*(AllProps_CAM/HHProps_CAM)</f>
        <v>4.0034507091854694</v>
      </c>
      <c r="P21" s="16">
        <f ca="1">K21*N$25/K$24</f>
        <v>3.1779140196590387</v>
      </c>
      <c r="Q21" s="377" t="s">
        <v>127</v>
      </c>
      <c r="R21" s="391">
        <f ca="1">P21*HHProps_SSW/((F21-G21)*AllProps_SSW)</f>
        <v>112.89575481995958</v>
      </c>
      <c r="S21" s="12">
        <f t="shared" ref="S21:T23" ca="1" si="12">INDEX(INDIRECT("CAM_WTPCore2_"&amp;$B21&amp;"_Levels"),1,MATCH(S$4,WTPCore2_AttLevels,0))</f>
        <v>2.2222222222222223E-2</v>
      </c>
      <c r="T21" s="12">
        <f t="shared" ca="1" si="12"/>
        <v>1.5384615384615385E-2</v>
      </c>
      <c r="U21" s="168">
        <f ca="1">INDEX(INDIRECT("CAM_WTPCore2_"&amp;$B21&amp;"_LevelValues"),1,MATCH("S1 MEAN",WTPCore2_LevelValues,0))</f>
        <v>3.1155463151224057</v>
      </c>
      <c r="V21" s="168">
        <f ca="1">INDEX(INDIRECT("CAM_WTPCore2_"&amp;$B21&amp;"_LevelValues"),1,MATCH("S2 MEAN",WTPCore2_LevelValues,0))</f>
        <v>1.3419840000849801</v>
      </c>
      <c r="W21" s="168">
        <f ca="1">SUM(U21:V21)</f>
        <v>4.4575303152073857</v>
      </c>
      <c r="X21" s="386">
        <f ca="1">E21*(S21-T21)</f>
        <v>102.98119658119658</v>
      </c>
      <c r="Y21" s="429">
        <f ca="1">INDEX(INDIRECT("CAM_WTPCore_"&amp;$C21&amp;"_UnitValues"),MATCH("COMBINED-HH",WTPCore_Group,0),MATCH("MEAN",LMH,0))</f>
        <v>308.90334405201918</v>
      </c>
      <c r="Z21" s="429">
        <f ca="1">Y21*($S21-$T21)*(AllProps_CAM/HHProps_CAM)</f>
        <v>2.2457142857142856</v>
      </c>
      <c r="AA21" s="89">
        <f ca="1">INDEX(INDIRECT("CAM_WTPCore2_"&amp;$C21&amp;"_UnitValues"),1,MATCH("MEAN",LMH,0))</f>
        <v>613.1439022942551</v>
      </c>
      <c r="AB21" s="429">
        <f ca="1">AA21*($S21-$T21)*(AllProps_CAM/HHProps_CAM)</f>
        <v>4.4575303152073857</v>
      </c>
      <c r="AC21" s="168">
        <f ca="1">X21*AA$25/X$24</f>
        <v>2.2633721777413527</v>
      </c>
      <c r="AD21" s="243" t="str">
        <f>Q21</f>
        <v>Property affected</v>
      </c>
      <c r="AE21" s="391">
        <f ca="1">(AC21*HHProps_CAM)/((S21-T21)*AllProps_CAM)</f>
        <v>311.33222912024399</v>
      </c>
    </row>
    <row r="22" spans="1:31" x14ac:dyDescent="0.35">
      <c r="A22" s="7" t="s">
        <v>131</v>
      </c>
      <c r="B22" s="7" t="s">
        <v>132</v>
      </c>
      <c r="C22" s="7" t="str">
        <f>B22</f>
        <v>TasteSmell</v>
      </c>
      <c r="D22" s="377" t="s">
        <v>127</v>
      </c>
      <c r="E22" s="124">
        <f ca="1">INDEX(INDIRECT("ExtWTP_"&amp;$C22&amp;"_UnitValues"),MATCH(A$20, INDIRECT("ExtWTP_Comps_"&amp;C22),0),MATCH("HH",ExtWTP_Group,0))</f>
        <v>18310</v>
      </c>
      <c r="F22" s="383">
        <f t="shared" ca="1" si="11"/>
        <v>1.6666666666666666E-2</v>
      </c>
      <c r="G22" s="383">
        <f t="shared" ca="1" si="11"/>
        <v>1.1111111111111112E-2</v>
      </c>
      <c r="H22" s="16">
        <f ca="1">INDEX(INDIRECT("SSW_WTPCore2_"&amp;$B22&amp;"_LevelValues"),1,MATCH("S1 MEAN",WTPCore2_LevelValues,0))</f>
        <v>0.30818609087835352</v>
      </c>
      <c r="I22" s="16">
        <f ca="1">INDEX(INDIRECT("SSW_WTPCore2_"&amp;$B22&amp;"_LevelValues"),1,MATCH("S2 MEAN",WTPCore2_LevelValues,0))</f>
        <v>0.18578205633963885</v>
      </c>
      <c r="J22" s="16">
        <f ca="1">SUM(H22:I22)</f>
        <v>0.49396814721799237</v>
      </c>
      <c r="K22" s="213">
        <f ca="1">E22*(F22-G22)</f>
        <v>101.72222222222221</v>
      </c>
      <c r="L22" s="429">
        <f ca="1">INDEX(INDIRECT("SSW_WTPCore_DCE_"&amp;$B22&amp;"_UnitValues"),MATCH("COMBINED-HH",WTPCore_Group,0),MATCH("MEAN",LMH,0))</f>
        <v>173.83878023943072</v>
      </c>
      <c r="M22" s="429">
        <f ca="1">L22*($F22-$G22)*(AllProps_SSW/HHProps_SSW)</f>
        <v>1.0194594594594593</v>
      </c>
      <c r="N22" s="89">
        <f ca="1">INDEX(INDIRECT("SSW_WTPCore2_"&amp;$B22&amp;"_UnitValues"),1,MATCH("MEAN",LMH,0))</f>
        <v>84.231716516748989</v>
      </c>
      <c r="O22" s="429">
        <f ca="1">N22*($F22-$G22)*(AllProps_SSW/HHProps_SSW)</f>
        <v>0.49396814721799237</v>
      </c>
      <c r="P22" s="16">
        <f t="shared" ref="P22:P23" ca="1" si="13">K22*N$25/K$24</f>
        <v>0.80488797916192201</v>
      </c>
      <c r="Q22" s="377" t="s">
        <v>127</v>
      </c>
      <c r="R22" s="391">
        <f ca="1">P22*HHProps_SSW/((F22-G22)*AllProps_SSW)</f>
        <v>137.24993498130669</v>
      </c>
      <c r="S22" s="12">
        <f t="shared" ca="1" si="12"/>
        <v>1.4285714285714285E-2</v>
      </c>
      <c r="T22" s="12">
        <f t="shared" ca="1" si="12"/>
        <v>0.01</v>
      </c>
      <c r="U22" s="168">
        <f ca="1">INDEX(INDIRECT("CAM_WTPCore2_"&amp;$B22&amp;"_LevelValues"),1,MATCH("S1 MEAN",WTPCore2_LevelValues,0))</f>
        <v>4.7204807663126298E-2</v>
      </c>
      <c r="V22" s="168">
        <f ca="1">INDEX(INDIRECT("CAM_WTPCore2_"&amp;$B22&amp;"_LevelValues"),1,MATCH("S2 MEAN",WTPCore2_LevelValues,0))</f>
        <v>0.1217094578997745</v>
      </c>
      <c r="W22" s="168">
        <f t="shared" ref="W22:W23" ca="1" si="14">SUM(U22:V22)</f>
        <v>0.16891426556290079</v>
      </c>
      <c r="X22" s="386">
        <f ca="1">E22*(S22-T22)</f>
        <v>78.471428571428561</v>
      </c>
      <c r="Y22" s="429">
        <f t="shared" ref="Y22" ca="1" si="15">INDEX(INDIRECT("CAM_WTPCore_"&amp;$C22&amp;"_UnitValues"),MATCH("COMBINED-HH",WTPCore_Group,0),MATCH("MEAN",LMH,0))</f>
        <v>207.69569571588755</v>
      </c>
      <c r="Z22" s="429">
        <f ca="1">Y22*(S22-T22)*(AllProps_CAM/HHProps_CAM)</f>
        <v>0.94640816326530586</v>
      </c>
      <c r="AA22" s="89">
        <f t="shared" ref="AA22" ca="1" si="16">INDEX(INDIRECT("CAM_WTPCore2_"&amp;$C22&amp;"_UnitValues"),1,MATCH("MEAN",LMH,0))</f>
        <v>37.069382180075451</v>
      </c>
      <c r="AB22" s="429">
        <f ca="1">AA22*($S22-$T22)*(AllProps_CAM/HHProps_CAM)</f>
        <v>0.16891426556290079</v>
      </c>
      <c r="AC22" s="168">
        <f t="shared" ref="AC22:AC23" ca="1" si="17">X22*AA$25/X$24</f>
        <v>1.7246842537525848</v>
      </c>
      <c r="AD22" s="243" t="str">
        <f>Q22</f>
        <v>Property affected</v>
      </c>
      <c r="AE22" s="391">
        <f ca="1">(AC22*HHProps_CAM)/((S22-T22)*AllProps_CAM)</f>
        <v>378.4936667679217</v>
      </c>
    </row>
    <row r="23" spans="1:31" x14ac:dyDescent="0.35">
      <c r="A23" s="7" t="s">
        <v>855</v>
      </c>
      <c r="B23" s="7" t="s">
        <v>138</v>
      </c>
      <c r="C23" s="7" t="s">
        <v>1008</v>
      </c>
      <c r="D23" s="377" t="s">
        <v>127</v>
      </c>
      <c r="E23" s="124">
        <f ca="1">INDEX(INDIRECT("ExtWTP_"&amp;$C23&amp;"_UnitValues"),MATCH(A$20, INDIRECT("ExtWTP_Comps_"&amp;C23),0),MATCH("HH",ExtWTP_Group,0))</f>
        <v>1313</v>
      </c>
      <c r="F23" s="383">
        <f t="shared" ca="1" si="11"/>
        <v>1.4285714285714285E-2</v>
      </c>
      <c r="G23" s="383">
        <f t="shared" ca="1" si="11"/>
        <v>9.5238095238095247E-3</v>
      </c>
      <c r="H23" s="16">
        <f ca="1">INDEX(INDIRECT("SSW_WTPCore2_"&amp;$B23&amp;"_LevelValues"),1,MATCH("S1 MEAN",WTPCore2_LevelValues,0))</f>
        <v>0.39718669024665654</v>
      </c>
      <c r="I23" s="16">
        <f ca="1">INDEX(INDIRECT("SSW_WTPCore2_"&amp;$B23&amp;"_LevelValues"),1,MATCH("S2 MEAN",WTPCore2_LevelValues,0))</f>
        <v>0.53859352958370721</v>
      </c>
      <c r="J23" s="16">
        <f ca="1">SUM(H23:I23)</f>
        <v>0.93578021983036375</v>
      </c>
      <c r="K23" s="213">
        <f ca="1">E23*(F23-G23)</f>
        <v>6.2523809523809506</v>
      </c>
      <c r="L23" s="429">
        <f ca="1">INDEX(INDIRECT("SSW_WTPCore_DCE_"&amp;$B23&amp;"_UnitValues"),MATCH("COMBINED-HH",WTPCore_Group,0),MATCH("MEAN",LMH,0))</f>
        <v>162.10819588181059</v>
      </c>
      <c r="M23" s="429">
        <f ca="1">L23*($F23-$G23)*(AllProps_SSW/HHProps_SSW)</f>
        <v>0.8148571428571425</v>
      </c>
      <c r="N23" s="89">
        <f ca="1">INDEX(INDIRECT("SSW_WTPCore2_"&amp;$B23&amp;"_UnitValues"),1,MATCH("MEAN",LMH,0))</f>
        <v>186.16470937063306</v>
      </c>
      <c r="O23" s="429">
        <f ca="1">N23*($F23-$G23)*(AllProps_SSW/HHProps_SSW)</f>
        <v>0.93578021983036375</v>
      </c>
      <c r="P23" s="16">
        <f t="shared" ca="1" si="13"/>
        <v>4.9472634000449559E-2</v>
      </c>
      <c r="Q23" s="377" t="s">
        <v>127</v>
      </c>
      <c r="R23" s="391">
        <f ca="1">P23*HHProps_SSW/((F23-G23)*AllProps_SSW)</f>
        <v>9.8421171289162022</v>
      </c>
      <c r="S23" s="12">
        <f t="shared" ca="1" si="12"/>
        <v>2.5000000000000001E-2</v>
      </c>
      <c r="T23" s="12">
        <f t="shared" ca="1" si="12"/>
        <v>1.6666666666666666E-2</v>
      </c>
      <c r="U23" s="168">
        <f ca="1">INDEX(INDIRECT("CAM_WTPCore2_"&amp;$B23&amp;"_LevelValues"),1,MATCH("S1 MEAN",WTPCore2_LevelValues,0))</f>
        <v>5.3490671066612649E-2</v>
      </c>
      <c r="V23" s="168">
        <f ca="1">INDEX(INDIRECT("CAM_WTPCore2_"&amp;$B23&amp;"_LevelValues"),1,MATCH("S2 MEAN",WTPCore2_LevelValues,0))</f>
        <v>0.33457681646237136</v>
      </c>
      <c r="W23" s="168">
        <f t="shared" ca="1" si="14"/>
        <v>0.38806748752898401</v>
      </c>
      <c r="X23" s="386">
        <f ca="1">E23*(S23-T23)</f>
        <v>10.941666666666668</v>
      </c>
      <c r="Y23" s="429">
        <f ca="1">INDEX(INDIRECT("CAM_WTPCore_"&amp;$B23&amp;"_UnitValues"),MATCH("COMBINED-HH",WTPCore_Group,0),MATCH("MEAN",LMH,0))</f>
        <v>28.26566546881222</v>
      </c>
      <c r="Z23" s="429">
        <f ca="1">Y23*($S23-$T23)*(AllProps_CAM/HHProps_CAM)</f>
        <v>0.25044117647058828</v>
      </c>
      <c r="AA23" s="89">
        <f ca="1">INDEX(INDIRECT("CAM_WTPCore2_"&amp;$B23&amp;"_UnitValues"),1,MATCH("MEAN",LMH,0))</f>
        <v>43.79865138952065</v>
      </c>
      <c r="AB23" s="429">
        <f ca="1">AA23*($S23-$T23)*(AllProps_CAM/HHProps_CAM)</f>
        <v>0.3880674875289839</v>
      </c>
      <c r="AC23" s="168">
        <f t="shared" ca="1" si="17"/>
        <v>0.24048141538078782</v>
      </c>
      <c r="AD23" s="243" t="str">
        <f>Q23</f>
        <v>Property affected</v>
      </c>
      <c r="AE23" s="391">
        <f ca="1">(AC23*HHProps_CAM)/((S23-T23)*AllProps_CAM)</f>
        <v>27.141572062604098</v>
      </c>
    </row>
    <row r="24" spans="1:31" x14ac:dyDescent="0.35">
      <c r="D24" s="377"/>
      <c r="E24" s="124"/>
      <c r="F24" s="16"/>
      <c r="G24" s="16"/>
      <c r="H24" s="16"/>
      <c r="I24" s="16"/>
      <c r="J24" s="330">
        <f ca="1">SUM(J21:J23)</f>
        <v>5.4044315585085911</v>
      </c>
      <c r="K24" s="331">
        <f ca="1">SUM(K21:K23)</f>
        <v>509.60126984126987</v>
      </c>
      <c r="L24" s="331"/>
      <c r="M24" s="331">
        <f ca="1">SUM(M21:M23)</f>
        <v>2.6313501894089963</v>
      </c>
      <c r="N24" s="331"/>
      <c r="O24" s="331">
        <f ca="1">SUM(O21:O23)</f>
        <v>5.4331990762338256</v>
      </c>
      <c r="P24" s="330">
        <f ca="1">SUM(P21:P23)</f>
        <v>4.0322746328214105</v>
      </c>
      <c r="Q24" s="201"/>
      <c r="R24" s="466"/>
      <c r="S24" s="168"/>
      <c r="T24" s="168"/>
      <c r="U24" s="168"/>
      <c r="V24" s="168"/>
      <c r="W24" s="44">
        <f ca="1">SUM(W21:W23)</f>
        <v>5.0145120682992701</v>
      </c>
      <c r="X24" s="389">
        <f ca="1">SUM(X21:X23)</f>
        <v>192.39429181929182</v>
      </c>
      <c r="Y24" s="389"/>
      <c r="Z24" s="389">
        <f ca="1">SUM(Z21:Z23)</f>
        <v>3.4425636254501799</v>
      </c>
      <c r="AA24" s="389"/>
      <c r="AB24" s="222">
        <f ca="1">SUM(AB21:AB23)</f>
        <v>5.0145120682992701</v>
      </c>
      <c r="AC24" s="44">
        <f ca="1">SUM(AC21:AC23)</f>
        <v>4.2285378468747252</v>
      </c>
      <c r="AE24" s="391"/>
    </row>
    <row r="25" spans="1:31" x14ac:dyDescent="0.35">
      <c r="A25" s="50"/>
      <c r="B25" s="50"/>
      <c r="C25" s="50"/>
      <c r="D25" s="379"/>
      <c r="E25" s="14"/>
      <c r="F25" s="384"/>
      <c r="G25" s="384"/>
      <c r="H25" s="384"/>
      <c r="I25" s="384"/>
      <c r="J25" s="384"/>
      <c r="K25" s="25"/>
      <c r="L25" s="25"/>
      <c r="M25" s="39" t="s">
        <v>361</v>
      </c>
      <c r="N25" s="546">
        <f ca="1">AVERAGE(M24,O24)</f>
        <v>4.0322746328214105</v>
      </c>
      <c r="O25" s="39"/>
      <c r="P25" s="11"/>
      <c r="Q25" s="50"/>
      <c r="R25" s="467"/>
      <c r="S25" s="13"/>
      <c r="T25" s="13"/>
      <c r="U25" s="13"/>
      <c r="V25" s="13"/>
      <c r="W25" s="13"/>
      <c r="X25" s="25"/>
      <c r="Y25" s="25"/>
      <c r="Z25" s="390" t="s">
        <v>361</v>
      </c>
      <c r="AA25" s="546">
        <f ca="1">AVERAGE(Z24,AB24)</f>
        <v>4.2285378468747252</v>
      </c>
      <c r="AB25" s="390"/>
      <c r="AC25" s="11"/>
      <c r="AD25" s="50"/>
      <c r="AE25" s="392"/>
    </row>
    <row r="26" spans="1:31" x14ac:dyDescent="0.35">
      <c r="A26" s="51" t="s">
        <v>93</v>
      </c>
      <c r="B26" s="51"/>
      <c r="D26" s="378"/>
      <c r="E26" s="218"/>
      <c r="F26" s="218"/>
      <c r="G26" s="218"/>
      <c r="H26" s="330"/>
      <c r="I26" s="330"/>
      <c r="J26" s="330"/>
      <c r="K26" s="389"/>
      <c r="L26" s="389"/>
      <c r="M26" s="389"/>
      <c r="N26" s="389"/>
      <c r="O26" s="389"/>
      <c r="P26" s="45"/>
      <c r="Q26" s="193"/>
      <c r="R26" s="468"/>
      <c r="S26" s="45"/>
      <c r="T26" s="45"/>
      <c r="U26" s="44"/>
      <c r="V26" s="44"/>
      <c r="W26" s="44"/>
      <c r="X26" s="389"/>
      <c r="Y26" s="389"/>
      <c r="Z26" s="389"/>
      <c r="AA26" s="389"/>
      <c r="AB26" s="389"/>
      <c r="AC26" s="45"/>
      <c r="AE26" s="393"/>
    </row>
    <row r="27" spans="1:31" x14ac:dyDescent="0.35">
      <c r="A27" s="7" t="s">
        <v>129</v>
      </c>
      <c r="B27" s="7" t="s">
        <v>130</v>
      </c>
      <c r="C27" s="7" t="str">
        <f>B27</f>
        <v>Discolour</v>
      </c>
      <c r="D27" s="377" t="s">
        <v>127</v>
      </c>
      <c r="E27" s="124">
        <f ca="1">INDEX(INDIRECT("ExtWTP_"&amp;$C27&amp;"_UnitValues"),MATCH(A$26, INDIRECT("ExtWTP_Comps_"&amp;C27),0),MATCH("HH",ExtWTP_Group,0))</f>
        <v>126</v>
      </c>
      <c r="F27" s="383">
        <f t="shared" ref="F27:G29" ca="1" si="18">INDEX(INDIRECT("SSW_WTPCore2_"&amp;$B27&amp;"_Levels"),1,MATCH(F$4,WTPCore2_AttLevels,0))</f>
        <v>6.6666666666666666E-2</v>
      </c>
      <c r="G27" s="383">
        <f t="shared" ca="1" si="18"/>
        <v>0.04</v>
      </c>
      <c r="H27" s="16">
        <f ca="1">INDEX(INDIRECT("SSW_WTPCore2_"&amp;$B27&amp;"_LevelValues"),1,MATCH("S1 MEAN",WTPCore2_LevelValues,0))</f>
        <v>3.3679929677046498</v>
      </c>
      <c r="I27" s="16">
        <f ca="1">INDEX(INDIRECT("SSW_WTPCore2_"&amp;$B27&amp;"_LevelValues"),1,MATCH("S2 MEAN",WTPCore2_LevelValues,0))</f>
        <v>0.60669022375558512</v>
      </c>
      <c r="J27" s="16">
        <f ca="1">SUM(H27:I27)</f>
        <v>3.974683191460235</v>
      </c>
      <c r="K27" s="213">
        <f ca="1">E27*(F27-G27)</f>
        <v>3.36</v>
      </c>
      <c r="L27" s="429">
        <f ca="1">INDEX(INDIRECT("SSW_WTPCore_DCE_"&amp;$C27&amp;"_UnitValues"),MATCH("COMBINED-HH",WTPCore_Group,0),MATCH("MEAN",LMH,0))</f>
        <v>28.111247840776404</v>
      </c>
      <c r="M27" s="429">
        <f ca="1">L27*(F27-G27)*(AllProps_CAM/HHProps_CAM)</f>
        <v>0.7970335870923948</v>
      </c>
      <c r="N27" s="89">
        <f ca="1">INDEX(INDIRECT("SSW_WTPCore2_"&amp;$C27&amp;"_UnitValues"),1,MATCH("MEAN",LMH,0))</f>
        <v>141.20106972505607</v>
      </c>
      <c r="O27" s="429">
        <f ca="1">N27*($F27-$G27)*(AllProps_CAM/HHProps_CAM)</f>
        <v>4.0034507091854694</v>
      </c>
      <c r="P27" s="16">
        <f ca="1">K27*N$31/K$30</f>
        <v>2.022638748644932</v>
      </c>
      <c r="Q27" s="377" t="s">
        <v>127</v>
      </c>
      <c r="R27" s="391">
        <f ca="1">P27*HHProps_SSW/((F27-G27)*AllProps_SSW)</f>
        <v>71.854470210263173</v>
      </c>
      <c r="S27" s="12">
        <f t="shared" ref="S27:T29" ca="1" si="19">INDEX(INDIRECT("CAM_WTPCore2_"&amp;$B27&amp;"_Levels"),1,MATCH(S$4,WTPCore2_AttLevels,0))</f>
        <v>2.2222222222222223E-2</v>
      </c>
      <c r="T27" s="12">
        <f t="shared" ca="1" si="19"/>
        <v>1.5384615384615385E-2</v>
      </c>
      <c r="U27" s="168">
        <f ca="1">INDEX(INDIRECT("CAM_WTPCore2_"&amp;$B27&amp;"_LevelValues"),1,MATCH("S1 MEAN",WTPCore2_LevelValues,0))</f>
        <v>3.1155463151224057</v>
      </c>
      <c r="V27" s="168">
        <f ca="1">INDEX(INDIRECT("CAM_WTPCore2_"&amp;$B27&amp;"_LevelValues"),1,MATCH("S2 MEAN",WTPCore2_LevelValues,0))</f>
        <v>1.3419840000849801</v>
      </c>
      <c r="W27" s="168">
        <f ca="1">SUM(U27:V27)</f>
        <v>4.4575303152073857</v>
      </c>
      <c r="X27" s="386">
        <f ca="1">E27*(S27-T27)</f>
        <v>0.86153846153846159</v>
      </c>
      <c r="Y27" s="429">
        <f ca="1">INDEX(INDIRECT("CAM_WTPCore_"&amp;$C27&amp;"_UnitValues"),MATCH("COMBINED-HH",WTPCore_Group,0),MATCH("MEAN",LMH,0))</f>
        <v>308.90334405201918</v>
      </c>
      <c r="Z27" s="429">
        <f ca="1">Y27*($S27-$T27)*(AllProps_CAM/HHProps_CAM)</f>
        <v>2.2457142857142856</v>
      </c>
      <c r="AA27" s="89">
        <f ca="1">INDEX(INDIRECT("CAM_WTPCore2_"&amp;$C27&amp;"_UnitValues"),1,MATCH("MEAN",LMH,0))</f>
        <v>613.1439022942551</v>
      </c>
      <c r="AB27" s="429">
        <f ca="1">AA27*($S27-$T27)*(AllProps_CAM/HHProps_CAM)</f>
        <v>4.4575303152073857</v>
      </c>
      <c r="AC27" s="168">
        <f ca="1">X27*AA$31/X$30</f>
        <v>0.93544352454388391</v>
      </c>
      <c r="AD27" s="243" t="str">
        <f>Q27</f>
        <v>Property affected</v>
      </c>
      <c r="AE27" s="391">
        <f ca="1">(AC27*HHProps_CAM)/((S27-T27)*AllProps_CAM)</f>
        <v>128.67248284503117</v>
      </c>
    </row>
    <row r="28" spans="1:31" x14ac:dyDescent="0.35">
      <c r="A28" s="7" t="s">
        <v>849</v>
      </c>
      <c r="B28" s="7" t="s">
        <v>138</v>
      </c>
      <c r="C28" s="7" t="s">
        <v>1009</v>
      </c>
      <c r="D28" s="377" t="s">
        <v>127</v>
      </c>
      <c r="E28" s="124">
        <f ca="1">INDEX(INDIRECT("ExtWTP_"&amp;$C28&amp;"_UnitValues"),MATCH(A$26, INDIRECT("ExtWTP_Comps_"&amp;C28),0),MATCH("HH",ExtWTP_Group,0))</f>
        <v>416</v>
      </c>
      <c r="F28" s="383">
        <f t="shared" ca="1" si="18"/>
        <v>1.4285714285714285E-2</v>
      </c>
      <c r="G28" s="383">
        <f t="shared" ca="1" si="18"/>
        <v>9.5238095238095247E-3</v>
      </c>
      <c r="H28" s="16">
        <f ca="1">INDEX(INDIRECT("SSW_WTPCore2_"&amp;$B28&amp;"_LevelValues"),1,MATCH("S1 MEAN",WTPCore2_LevelValues,0))</f>
        <v>0.39718669024665654</v>
      </c>
      <c r="I28" s="16">
        <f ca="1">INDEX(INDIRECT("SSW_WTPCore2_"&amp;$B28&amp;"_LevelValues"),1,MATCH("S2 MEAN",WTPCore2_LevelValues,0))</f>
        <v>0.53859352958370721</v>
      </c>
      <c r="J28" s="16">
        <f ca="1">SUM(H28:I28)</f>
        <v>0.93578021983036375</v>
      </c>
      <c r="K28" s="213">
        <f ca="1">E28*(F28-G28)</f>
        <v>1.9809523809523804</v>
      </c>
      <c r="L28" s="429">
        <f ca="1">INDEX(INDIRECT("SSW_WTPCore_DCE_"&amp;$B28&amp;"_UnitValues"),MATCH("COMBINED-HH",WTPCore_Group,0),MATCH("MEAN",LMH,0))</f>
        <v>162.10819588181059</v>
      </c>
      <c r="M28" s="429">
        <f ca="1">L28*($F28-$G28)*(AllProps_SSW/HHProps_SSW)</f>
        <v>0.8148571428571425</v>
      </c>
      <c r="N28" s="89">
        <f ca="1">INDEX(INDIRECT("SSW_WTPCore2_"&amp;$B28&amp;"_UnitValues"),1,MATCH("MEAN",LMH,0))</f>
        <v>186.16470937063306</v>
      </c>
      <c r="O28" s="429">
        <f ca="1">N28*($F28-$G28)*(AllProps_SSW/HHProps_SSW)</f>
        <v>0.93578021983036375</v>
      </c>
      <c r="P28" s="16">
        <f t="shared" ref="P28:P29" ca="1" si="20">K28*N$31/K$30</f>
        <v>1.1924854300400956</v>
      </c>
      <c r="Q28" s="377" t="s">
        <v>127</v>
      </c>
      <c r="R28" s="391">
        <f ca="1">P28*HHProps_SSW/((F28-G28)*AllProps_SSW)</f>
        <v>237.23380640848791</v>
      </c>
      <c r="S28" s="12">
        <f t="shared" ca="1" si="19"/>
        <v>2.5000000000000001E-2</v>
      </c>
      <c r="T28" s="12">
        <f t="shared" ca="1" si="19"/>
        <v>1.6666666666666666E-2</v>
      </c>
      <c r="U28" s="168">
        <f ca="1">INDEX(INDIRECT("CAM_WTPCore2_"&amp;$B28&amp;"_LevelValues"),1,MATCH("S1 MEAN",WTPCore2_LevelValues,0))</f>
        <v>5.3490671066612649E-2</v>
      </c>
      <c r="V28" s="168">
        <f ca="1">INDEX(INDIRECT("CAM_WTPCore2_"&amp;$B28&amp;"_LevelValues"),1,MATCH("S2 MEAN",WTPCore2_LevelValues,0))</f>
        <v>0.33457681646237136</v>
      </c>
      <c r="W28" s="168">
        <f t="shared" ref="W28:W29" ca="1" si="21">SUM(U28:V28)</f>
        <v>0.38806748752898401</v>
      </c>
      <c r="X28" s="386">
        <f ca="1">E28*(S28-T28)</f>
        <v>3.4666666666666672</v>
      </c>
      <c r="Y28" s="429">
        <f ca="1">INDEX(INDIRECT("CAM_WTPCore_"&amp;$B28&amp;"_UnitValues"),MATCH("COMBINED-HH",WTPCore_Group,0),MATCH("MEAN",LMH,0))</f>
        <v>28.26566546881222</v>
      </c>
      <c r="Z28" s="429">
        <f ca="1">Y28*($S28-$T28)*(AllProps_CAM/HHProps_CAM)</f>
        <v>0.25044117647058828</v>
      </c>
      <c r="AA28" s="89">
        <f ca="1">INDEX(INDIRECT("CAM_WTPCore2_"&amp;$B28&amp;"_UnitValues"),1,MATCH("MEAN",LMH,0))</f>
        <v>43.79865138952065</v>
      </c>
      <c r="AB28" s="429">
        <f ca="1">AA28*($S28-$T28)*(AllProps_CAM/HHProps_CAM)</f>
        <v>0.3880674875289839</v>
      </c>
      <c r="AC28" s="168">
        <f t="shared" ref="AC28:AC29" ca="1" si="22">X28*AA$31/X$30</f>
        <v>3.7640465630456283</v>
      </c>
      <c r="AD28" s="243" t="str">
        <f>Q28</f>
        <v>Property affected</v>
      </c>
      <c r="AE28" s="391">
        <f ca="1">(AC28*HHProps_CAM)/((S28-T28)*AllProps_CAM)</f>
        <v>424.82343542486478</v>
      </c>
    </row>
    <row r="29" spans="1:31" x14ac:dyDescent="0.35">
      <c r="A29" s="7" t="s">
        <v>1010</v>
      </c>
      <c r="B29" s="7" t="s">
        <v>144</v>
      </c>
      <c r="C29" s="7" t="str">
        <f>B29</f>
        <v>TempBan</v>
      </c>
      <c r="D29" s="377" t="s">
        <v>127</v>
      </c>
      <c r="E29" s="124">
        <f ca="1">INDEX(INDIRECT("ExtWTP_"&amp;$C29&amp;"_UnitValues"),MATCH(A$26, INDIRECT("ExtWTP_Comps_"&amp;C29),0),MATCH("HH",ExtWTP_Group,0))</f>
        <v>108</v>
      </c>
      <c r="F29" s="383">
        <f t="shared" ca="1" si="18"/>
        <v>2.5000000000000001E-2</v>
      </c>
      <c r="G29" s="383">
        <f t="shared" ca="1" si="18"/>
        <v>1.5384615384615385E-2</v>
      </c>
      <c r="H29" s="16">
        <f ca="1">INDEX(INDIRECT("SSW_WTPCore2_"&amp;$B29&amp;"_LevelValues"),1,MATCH("S1 MEAN",WTPCore2_LevelValues,0))</f>
        <v>0.4084226191643695</v>
      </c>
      <c r="I29" s="16">
        <f ca="1">INDEX(INDIRECT("SSW_WTPCore2_"&amp;$B29&amp;"_LevelValues"),1,MATCH("S2 MEAN",WTPCore2_LevelValues,0))</f>
        <v>0.28250000903457151</v>
      </c>
      <c r="J29" s="16">
        <f ca="1">SUM(H29:I29)</f>
        <v>0.69092262819894101</v>
      </c>
      <c r="K29" s="213">
        <f ca="1">E29*(F29-G29)</f>
        <v>1.0384615384615385</v>
      </c>
      <c r="L29" s="605">
        <f t="shared" ref="L29" ca="1" si="23">INDEX(INDIRECT("SSW_WTPCore_DCE_"&amp;$C29&amp;"_UnitValues"),MATCH("COMBINED-HH",WTPCore_Group,0),MATCH("MEAN",LMH,0))</f>
        <v>245983.27199999994</v>
      </c>
      <c r="M29" s="429">
        <f ca="1">L29*(F29-G29)/HHProps_SSW*100</f>
        <v>0.43846153846153846</v>
      </c>
      <c r="N29" s="245">
        <f t="shared" ref="N29" ca="1" si="24">INDEX(INDIRECT("SSW_WTPCore2_"&amp;$C29&amp;"_UnitValues"),1,MATCH("MEAN",LMH,0))</f>
        <v>387617.59897926223</v>
      </c>
      <c r="O29" s="429">
        <f ca="1">N29*(F29-G29)/HHProps_SSW*100</f>
        <v>0.69092262819894101</v>
      </c>
      <c r="P29" s="16">
        <f t="shared" ca="1" si="20"/>
        <v>0.62512873412789793</v>
      </c>
      <c r="Q29" s="477" t="s">
        <v>145</v>
      </c>
      <c r="R29" s="391">
        <f ca="1">P29*HHProps_SSW/((F29-G29)*100)</f>
        <v>350706.2717098209</v>
      </c>
      <c r="S29" s="12">
        <f t="shared" ca="1" si="19"/>
        <v>0.05</v>
      </c>
      <c r="T29" s="12">
        <f t="shared" ca="1" si="19"/>
        <v>3.3333333333333333E-2</v>
      </c>
      <c r="U29" s="168">
        <f ca="1">INDEX(INDIRECT("CAM_WTPCore2_"&amp;$B29&amp;"_LevelValues"),1,MATCH("S1 MEAN",WTPCore2_LevelValues,0))</f>
        <v>0.15591350717379643</v>
      </c>
      <c r="V29" s="168">
        <f ca="1">INDEX(INDIRECT("CAM_WTPCore2_"&amp;$B29&amp;"_LevelValues"),1,MATCH("S2 MEAN",WTPCore2_LevelValues,0))</f>
        <v>5.0130987785217407E-2</v>
      </c>
      <c r="W29" s="168">
        <f t="shared" ca="1" si="21"/>
        <v>0.20604449495901384</v>
      </c>
      <c r="X29" s="386">
        <f ca="1">E29*(S29-T29)</f>
        <v>1.8000000000000003</v>
      </c>
      <c r="Y29" s="605">
        <f ca="1">INDEX(INDIRECT("CAM_WTPCore_"&amp;$C29&amp;"_UnitValues"),MATCH("COMBINED-HH",WTPCore_Group,0),MATCH("MEAN",LMH,0))</f>
        <v>469608.19199999986</v>
      </c>
      <c r="Z29" s="429">
        <f ca="1">Y29*(S29-T29)/HHProps_CAM*100</f>
        <v>5.76</v>
      </c>
      <c r="AA29" s="245">
        <f ca="1">INDEX(INDIRECT("CAM_WTPCore2_"&amp;$C29&amp;"_UnitValues"),1,MATCH("MEAN",LMH,0))</f>
        <v>16798.64283841243</v>
      </c>
      <c r="AB29" s="429">
        <f ca="1">AA29*(S29-T29)/HHProps_CAM*100</f>
        <v>0.20604449495901386</v>
      </c>
      <c r="AC29" s="168">
        <f t="shared" ca="1" si="22"/>
        <v>1.9544087923506148</v>
      </c>
      <c r="AD29" s="243" t="str">
        <f>Q29</f>
        <v>1% change in risk</v>
      </c>
      <c r="AE29" s="391">
        <f ca="1">(AC29*HHProps_CAM)/((S29-T29)*100)</f>
        <v>159341.38531331174</v>
      </c>
    </row>
    <row r="30" spans="1:31" x14ac:dyDescent="0.35">
      <c r="D30" s="377"/>
      <c r="E30" s="124"/>
      <c r="F30" s="16"/>
      <c r="G30" s="16"/>
      <c r="H30" s="16"/>
      <c r="I30" s="16"/>
      <c r="J30" s="330">
        <f ca="1">SUM(J27:J29)</f>
        <v>5.6013860394895403</v>
      </c>
      <c r="K30" s="331">
        <f ca="1">SUM(K27:K29)</f>
        <v>6.3794139194139188</v>
      </c>
      <c r="L30" s="331"/>
      <c r="M30" s="331">
        <f ca="1">SUM(M27:M29)</f>
        <v>2.0503522684110758</v>
      </c>
      <c r="N30" s="331"/>
      <c r="O30" s="331">
        <f ca="1">SUM(O27:O29)</f>
        <v>5.6301535572147747</v>
      </c>
      <c r="P30" s="330">
        <f ca="1">SUM(P27:P29)</f>
        <v>3.8402529128129252</v>
      </c>
      <c r="Q30" s="201"/>
      <c r="R30" s="466"/>
      <c r="S30" s="168"/>
      <c r="T30" s="168"/>
      <c r="U30" s="168"/>
      <c r="V30" s="168"/>
      <c r="W30" s="44">
        <f ca="1">SUM(W27:W29)</f>
        <v>5.0516422976953832</v>
      </c>
      <c r="X30" s="389">
        <f ca="1">SUM(X27:X29)</f>
        <v>6.1282051282051295</v>
      </c>
      <c r="Y30" s="389"/>
      <c r="Z30" s="389">
        <f ca="1">SUM(Z27:Z29)</f>
        <v>8.2561554621848732</v>
      </c>
      <c r="AA30" s="389"/>
      <c r="AB30" s="222">
        <f ca="1">SUM(AB27:AB29)</f>
        <v>5.0516422976953832</v>
      </c>
      <c r="AC30" s="44">
        <f ca="1">SUM(AC27:AC29)</f>
        <v>6.6538988799401277</v>
      </c>
      <c r="AE30" s="391"/>
    </row>
    <row r="31" spans="1:31" x14ac:dyDescent="0.35">
      <c r="A31" s="50"/>
      <c r="B31" s="50"/>
      <c r="C31" s="50"/>
      <c r="D31" s="379"/>
      <c r="E31" s="14"/>
      <c r="F31" s="384"/>
      <c r="G31" s="384"/>
      <c r="H31" s="384"/>
      <c r="I31" s="384"/>
      <c r="J31" s="384"/>
      <c r="K31" s="25"/>
      <c r="L31" s="25"/>
      <c r="M31" s="39" t="s">
        <v>361</v>
      </c>
      <c r="N31" s="546">
        <f ca="1">AVERAGE(M30,O30)</f>
        <v>3.8402529128129252</v>
      </c>
      <c r="O31" s="39"/>
      <c r="P31" s="11"/>
      <c r="Q31" s="50"/>
      <c r="R31" s="467"/>
      <c r="S31" s="13"/>
      <c r="T31" s="13"/>
      <c r="U31" s="13"/>
      <c r="V31" s="13"/>
      <c r="W31" s="13"/>
      <c r="X31" s="25"/>
      <c r="Y31" s="25"/>
      <c r="Z31" s="390" t="s">
        <v>361</v>
      </c>
      <c r="AA31" s="546">
        <f ca="1">AVERAGE(Z30,AB30)</f>
        <v>6.6538988799401277</v>
      </c>
      <c r="AB31" s="390"/>
      <c r="AC31" s="11"/>
      <c r="AD31" s="50"/>
      <c r="AE31" s="392"/>
    </row>
    <row r="32" spans="1:31" x14ac:dyDescent="0.35">
      <c r="A32" s="424" t="s">
        <v>94</v>
      </c>
      <c r="B32" s="388"/>
      <c r="D32" s="378"/>
      <c r="E32" s="218"/>
      <c r="F32" s="218"/>
      <c r="G32" s="218"/>
      <c r="H32" s="330"/>
      <c r="I32" s="330"/>
      <c r="J32" s="330"/>
      <c r="K32" s="389"/>
      <c r="L32" s="389"/>
      <c r="M32" s="389"/>
      <c r="N32" s="389"/>
      <c r="O32" s="389"/>
      <c r="P32" s="45"/>
      <c r="Q32" s="193"/>
      <c r="R32" s="468"/>
      <c r="S32" s="45"/>
      <c r="T32" s="45"/>
      <c r="U32" s="44"/>
      <c r="V32" s="44"/>
      <c r="W32" s="44"/>
      <c r="X32" s="389"/>
      <c r="Y32" s="389"/>
      <c r="Z32" s="389"/>
      <c r="AA32" s="389"/>
      <c r="AB32" s="389"/>
      <c r="AC32" s="45"/>
      <c r="AE32" s="393"/>
    </row>
    <row r="33" spans="1:31" x14ac:dyDescent="0.35">
      <c r="A33" s="7" t="s">
        <v>855</v>
      </c>
      <c r="B33" s="7" t="s">
        <v>138</v>
      </c>
      <c r="C33" s="7" t="s">
        <v>1008</v>
      </c>
      <c r="D33" s="377" t="s">
        <v>127</v>
      </c>
      <c r="E33" s="124">
        <f ca="1">INDEX(INDIRECT("ExtWTP_"&amp;$C33&amp;"_UnitValues"),MATCH(A$32, INDIRECT("ExtWTP_Comps_"&amp;C33),0),MATCH("HH",ExtWTP_Group,0))</f>
        <v>86</v>
      </c>
      <c r="F33" s="383">
        <f ca="1">INDEX(INDIRECT("SSW_WTPCore2_"&amp;$B33&amp;"_Levels"),1,MATCH(F$4,WTPCore2_AttLevels,0))</f>
        <v>1.4285714285714285E-2</v>
      </c>
      <c r="G33" s="383">
        <f ca="1">INDEX(INDIRECT("SSW_WTPCore2_"&amp;$B33&amp;"_Levels"),1,MATCH(G$4,WTPCore2_AttLevels,0))</f>
        <v>9.5238095238095247E-3</v>
      </c>
      <c r="H33" s="16">
        <f ca="1">INDEX(INDIRECT("SSW_WTPCore2_"&amp;$B33&amp;"_LevelValues"),1,MATCH("S1 MEAN",WTPCore2_LevelValues,0))</f>
        <v>0.39718669024665654</v>
      </c>
      <c r="I33" s="16">
        <f ca="1">INDEX(INDIRECT("SSW_WTPCore2_"&amp;$B33&amp;"_LevelValues"),1,MATCH("S2 MEAN",WTPCore2_LevelValues,0))</f>
        <v>0.53859352958370721</v>
      </c>
      <c r="J33" s="16">
        <f ca="1">SUM(H33:I33)</f>
        <v>0.93578021983036375</v>
      </c>
      <c r="K33" s="213">
        <f ca="1">E33*(F33-G33)</f>
        <v>0.4095238095238094</v>
      </c>
      <c r="L33" s="429">
        <f ca="1">INDEX(INDIRECT("SSW_WTPCore_DCE_"&amp;$B33&amp;"_UnitValues"),MATCH("COMBINED-HH",WTPCore_Group,0),MATCH("MEAN",LMH,0))</f>
        <v>162.10819588181059</v>
      </c>
      <c r="M33" s="429">
        <f ca="1">L33*($F33-$G33)*(AllProps_SSW/HHProps_SSW)</f>
        <v>0.8148571428571425</v>
      </c>
      <c r="N33" s="89">
        <f ca="1">INDEX(INDIRECT("SSW_WTPCore2_"&amp;$B33&amp;"_UnitValues"),1,MATCH("MEAN",LMH,0))</f>
        <v>186.16470937063306</v>
      </c>
      <c r="O33" s="429">
        <f ca="1">N33*($F33-$G33)*(AllProps_SSW/HHProps_SSW)</f>
        <v>0.93578021983036375</v>
      </c>
      <c r="P33" s="16">
        <f ca="1">K33*N$35/K$34</f>
        <v>0.87531868134375312</v>
      </c>
      <c r="Q33" s="377" t="s">
        <v>127</v>
      </c>
      <c r="R33" s="391">
        <f ca="1">P33*HHProps_SSW/((F33-G33)*AllProps_SSW)</f>
        <v>174.13645262622182</v>
      </c>
      <c r="S33" s="12">
        <f ca="1">INDEX(INDIRECT("CAM_WTPCore2_"&amp;$B33&amp;"_Levels"),1,MATCH(S$4,WTPCore2_AttLevels,0))</f>
        <v>2.5000000000000001E-2</v>
      </c>
      <c r="T33" s="12">
        <f ca="1">INDEX(INDIRECT("CAM_WTPCore2_"&amp;$B33&amp;"_Levels"),1,MATCH(T$4,WTPCore2_AttLevels,0))</f>
        <v>1.6666666666666666E-2</v>
      </c>
      <c r="U33" s="168">
        <f ca="1">INDEX(INDIRECT("CAM_WTPCore2_"&amp;$B33&amp;"_LevelValues"),1,MATCH("S1 MEAN",WTPCore2_LevelValues,0))</f>
        <v>5.3490671066612649E-2</v>
      </c>
      <c r="V33" s="168">
        <f ca="1">INDEX(INDIRECT("CAM_WTPCore2_"&amp;$B33&amp;"_LevelValues"),1,MATCH("S2 MEAN",WTPCore2_LevelValues,0))</f>
        <v>0.33457681646237136</v>
      </c>
      <c r="W33" s="168">
        <f ca="1">SUM(U33:V33)</f>
        <v>0.38806748752898401</v>
      </c>
      <c r="X33" s="386">
        <f ca="1">E33*(S33-T33)</f>
        <v>0.71666666666666679</v>
      </c>
      <c r="Y33" s="429">
        <f ca="1">INDEX(INDIRECT("CAM_WTPCore_"&amp;$B33&amp;"_UnitValues"),MATCH("COMBINED-HH",WTPCore_Group,0),MATCH("MEAN",LMH,0))</f>
        <v>28.26566546881222</v>
      </c>
      <c r="Z33" s="429">
        <f ca="1">Y33*($S33-$T33)*(AllProps_CAM/HHProps_CAM)</f>
        <v>0.25044117647058828</v>
      </c>
      <c r="AA33" s="89">
        <f ca="1">INDEX(INDIRECT("CAM_WTPCore2_"&amp;$B33&amp;"_UnitValues"),1,MATCH("MEAN",LMH,0))</f>
        <v>43.79865138952065</v>
      </c>
      <c r="AB33" s="429">
        <f ca="1">AA33*($S33-$T33)*(AllProps_CAM/HHProps_CAM)</f>
        <v>0.3880674875289839</v>
      </c>
      <c r="AC33" s="168">
        <f ca="1">X33*AA$35/X$34</f>
        <v>0.31925433199978609</v>
      </c>
      <c r="AD33" s="243" t="str">
        <f>Q33</f>
        <v>Property affected</v>
      </c>
      <c r="AE33" s="391">
        <f ca="1">(AC33*HHProps_CAM)/((S33-T33)*AllProps_CAM)</f>
        <v>36.032158429166429</v>
      </c>
    </row>
    <row r="34" spans="1:31" x14ac:dyDescent="0.35">
      <c r="A34" s="426" t="s">
        <v>161</v>
      </c>
      <c r="D34" s="377"/>
      <c r="E34" s="124"/>
      <c r="F34" s="16"/>
      <c r="G34" s="16"/>
      <c r="H34" s="16"/>
      <c r="I34" s="16"/>
      <c r="J34" s="330">
        <f ca="1">SUM(J33:J33)</f>
        <v>0.93578021983036375</v>
      </c>
      <c r="K34" s="331">
        <f ca="1">SUM(K33:K33)</f>
        <v>0.4095238095238094</v>
      </c>
      <c r="L34" s="331"/>
      <c r="M34" s="331">
        <f ca="1">SUM(M31:M33)</f>
        <v>0.8148571428571425</v>
      </c>
      <c r="N34" s="331"/>
      <c r="O34" s="331">
        <f ca="1">SUM(O31:O33)</f>
        <v>0.93578021983036375</v>
      </c>
      <c r="P34" s="330">
        <f ca="1">SUM(P33:P33)</f>
        <v>0.87531868134375312</v>
      </c>
      <c r="Q34" s="201"/>
      <c r="R34" s="466"/>
      <c r="S34" s="168"/>
      <c r="T34" s="168"/>
      <c r="U34" s="168"/>
      <c r="V34" s="168"/>
      <c r="W34" s="44">
        <f ca="1">SUM(W33:W33)</f>
        <v>0.38806748752898401</v>
      </c>
      <c r="X34" s="389">
        <f ca="1">SUM(X33:X33)</f>
        <v>0.71666666666666679</v>
      </c>
      <c r="Y34" s="389"/>
      <c r="Z34" s="389">
        <f ca="1">SUM(Z32:Z33)</f>
        <v>0.25044117647058828</v>
      </c>
      <c r="AA34" s="389"/>
      <c r="AB34" s="222">
        <f ca="1">SUM(AB32:AB33)</f>
        <v>0.3880674875289839</v>
      </c>
      <c r="AC34" s="44">
        <f ca="1">SUM(AC33:AC33)</f>
        <v>0.31925433199978609</v>
      </c>
      <c r="AE34" s="391"/>
    </row>
    <row r="35" spans="1:31" x14ac:dyDescent="0.35">
      <c r="A35" s="50"/>
      <c r="B35" s="50"/>
      <c r="C35" s="50"/>
      <c r="D35" s="379"/>
      <c r="E35" s="14"/>
      <c r="F35" s="384"/>
      <c r="G35" s="384"/>
      <c r="H35" s="384"/>
      <c r="I35" s="384"/>
      <c r="J35" s="384"/>
      <c r="K35" s="25"/>
      <c r="L35" s="25"/>
      <c r="M35" s="39" t="s">
        <v>361</v>
      </c>
      <c r="N35" s="546">
        <f ca="1">AVERAGE(M34,O34)</f>
        <v>0.87531868134375312</v>
      </c>
      <c r="O35" s="39"/>
      <c r="P35" s="11"/>
      <c r="Q35" s="50"/>
      <c r="R35" s="467"/>
      <c r="S35" s="13"/>
      <c r="T35" s="13"/>
      <c r="U35" s="13"/>
      <c r="V35" s="13"/>
      <c r="W35" s="13"/>
      <c r="X35" s="25"/>
      <c r="Y35" s="25"/>
      <c r="Z35" s="390" t="s">
        <v>361</v>
      </c>
      <c r="AA35" s="546">
        <f ca="1">AVERAGE(Z34,AB34)</f>
        <v>0.31925433199978609</v>
      </c>
      <c r="AB35" s="390"/>
      <c r="AC35" s="11"/>
      <c r="AD35" s="50"/>
      <c r="AE35" s="392"/>
    </row>
    <row r="36" spans="1:31" x14ac:dyDescent="0.35">
      <c r="A36" s="51" t="s">
        <v>95</v>
      </c>
      <c r="B36" s="51"/>
      <c r="D36" s="378"/>
      <c r="E36" s="218"/>
      <c r="F36" s="218"/>
      <c r="G36" s="218"/>
      <c r="H36" s="330"/>
      <c r="I36" s="330"/>
      <c r="J36" s="330"/>
      <c r="K36" s="389"/>
      <c r="L36" s="389"/>
      <c r="M36" s="389"/>
      <c r="N36" s="389"/>
      <c r="O36" s="389"/>
      <c r="P36" s="45"/>
      <c r="Q36" s="193"/>
      <c r="R36" s="468"/>
      <c r="S36" s="45"/>
      <c r="T36" s="45"/>
      <c r="U36" s="44"/>
      <c r="V36" s="44"/>
      <c r="W36" s="44"/>
      <c r="X36" s="389"/>
      <c r="Y36" s="389"/>
      <c r="Z36" s="389"/>
      <c r="AA36" s="389"/>
      <c r="AB36" s="389"/>
      <c r="AC36" s="45"/>
      <c r="AE36" s="393"/>
    </row>
    <row r="37" spans="1:31" x14ac:dyDescent="0.35">
      <c r="A37" s="7" t="s">
        <v>129</v>
      </c>
      <c r="B37" s="7" t="s">
        <v>130</v>
      </c>
      <c r="C37" s="7" t="str">
        <f>B37</f>
        <v>Discolour</v>
      </c>
      <c r="D37" s="377" t="s">
        <v>127</v>
      </c>
      <c r="E37" s="124">
        <f ca="1">INDEX(INDIRECT("ExtWTP_"&amp;$C37&amp;"_UnitValues"),MATCH(A$36, INDIRECT("ExtWTP_Comps_"&amp;C37),0),MATCH("HH",ExtWTP_Group,0))</f>
        <v>830</v>
      </c>
      <c r="F37" s="383">
        <f t="shared" ref="F37:G40" ca="1" si="25">INDEX(INDIRECT("SSW_WTPCore2_"&amp;$B37&amp;"_Levels"),1,MATCH(F$4,WTPCore2_AttLevels,0))</f>
        <v>6.6666666666666666E-2</v>
      </c>
      <c r="G37" s="383">
        <f t="shared" ca="1" si="25"/>
        <v>0.04</v>
      </c>
      <c r="H37" s="16">
        <f ca="1">INDEX(INDIRECT("SSW_WTPCore2_"&amp;$B37&amp;"_LevelValues"),1,MATCH("S1 MEAN",WTPCore2_LevelValues,0))</f>
        <v>3.3679929677046498</v>
      </c>
      <c r="I37" s="16">
        <f ca="1">INDEX(INDIRECT("SSW_WTPCore2_"&amp;$B37&amp;"_LevelValues"),1,MATCH("S2 MEAN",WTPCore2_LevelValues,0))</f>
        <v>0.60669022375558512</v>
      </c>
      <c r="J37" s="16">
        <f ca="1">SUM(H37:I37)</f>
        <v>3.974683191460235</v>
      </c>
      <c r="K37" s="213">
        <f ca="1">E37*(F37-G37)</f>
        <v>22.133333333333333</v>
      </c>
      <c r="L37" s="429">
        <f ca="1">INDEX(INDIRECT("SSW_WTPCore_DCE_"&amp;$C37&amp;"_UnitValues"),MATCH("COMBINED-HH",WTPCore_Group,0),MATCH("MEAN",LMH,0))</f>
        <v>28.111247840776404</v>
      </c>
      <c r="M37" s="429">
        <f ca="1">L37*(F37-G37)*(AllProps_CAM/HHProps_CAM)</f>
        <v>0.7970335870923948</v>
      </c>
      <c r="N37" s="89">
        <f ca="1">INDEX(INDIRECT("SSW_WTPCore2_"&amp;$C37&amp;"_UnitValues"),1,MATCH("MEAN",LMH,0))</f>
        <v>141.20106972505607</v>
      </c>
      <c r="O37" s="429">
        <f ca="1">N37*($F37-$G37)*(AllProps_CAM/HHProps_CAM)</f>
        <v>4.0034507091854694</v>
      </c>
      <c r="P37" s="16">
        <f ca="1">K37*N$42/K$41</f>
        <v>3.6834865563578156</v>
      </c>
      <c r="Q37" s="377" t="s">
        <v>127</v>
      </c>
      <c r="R37" s="391">
        <f ca="1">P37*HHProps_SSW/((F37-G37)*AllProps_SSW)</f>
        <v>130.85627634249403</v>
      </c>
      <c r="S37" s="12">
        <f t="shared" ref="S37:T40" ca="1" si="26">INDEX(INDIRECT("CAM_WTPCore2_"&amp;$B37&amp;"_Levels"),1,MATCH(S$4,WTPCore2_AttLevels,0))</f>
        <v>2.2222222222222223E-2</v>
      </c>
      <c r="T37" s="12">
        <f t="shared" ca="1" si="26"/>
        <v>1.5384615384615385E-2</v>
      </c>
      <c r="U37" s="168">
        <f ca="1">INDEX(INDIRECT("CAM_WTPCore2_"&amp;$B37&amp;"_LevelValues"),1,MATCH("S1 MEAN",WTPCore2_LevelValues,0))</f>
        <v>3.1155463151224057</v>
      </c>
      <c r="V37" s="168">
        <f ca="1">INDEX(INDIRECT("CAM_WTPCore2_"&amp;$B37&amp;"_LevelValues"),1,MATCH("S2 MEAN",WTPCore2_LevelValues,0))</f>
        <v>1.3419840000849801</v>
      </c>
      <c r="W37" s="168">
        <f ca="1">SUM(U37:V37)</f>
        <v>4.4575303152073857</v>
      </c>
      <c r="X37" s="386">
        <f ca="1">E37*(S37-T37)</f>
        <v>5.6752136752136755</v>
      </c>
      <c r="Y37" s="429">
        <f ca="1">INDEX(INDIRECT("CAM_WTPCore_"&amp;$C37&amp;"_UnitValues"),MATCH("COMBINED-HH",WTPCore_Group,0),MATCH("MEAN",LMH,0))</f>
        <v>308.90334405201918</v>
      </c>
      <c r="Z37" s="429">
        <f ca="1">Y37*($S37-$T37)*(AllProps_CAM/HHProps_CAM)</f>
        <v>2.2457142857142856</v>
      </c>
      <c r="AA37" s="89">
        <f ca="1">INDEX(INDIRECT("CAM_WTPCore2_"&amp;$C37&amp;"_UnitValues"),1,MATCH("MEAN",LMH,0))</f>
        <v>613.1439022942551</v>
      </c>
      <c r="AB37" s="429">
        <f ca="1">AA37*($S37-$T37)*(AllProps_CAM/HHProps_CAM)</f>
        <v>4.4575303152073857</v>
      </c>
      <c r="AC37" s="168">
        <f ca="1">X37*AA$42/X$41</f>
        <v>3.9097122266743418</v>
      </c>
      <c r="AD37" s="243" t="str">
        <f>Q37</f>
        <v>Property affected</v>
      </c>
      <c r="AE37" s="391">
        <f ca="1">(AC37*HHProps_CAM)/((S37-T37)*AllProps_CAM)</f>
        <v>537.79022059194619</v>
      </c>
    </row>
    <row r="38" spans="1:31" x14ac:dyDescent="0.35">
      <c r="A38" s="7" t="s">
        <v>131</v>
      </c>
      <c r="B38" s="7" t="s">
        <v>132</v>
      </c>
      <c r="C38" s="7" t="str">
        <f>B38</f>
        <v>TasteSmell</v>
      </c>
      <c r="D38" s="377" t="s">
        <v>127</v>
      </c>
      <c r="E38" s="124">
        <f ca="1">INDEX(INDIRECT("ExtWTP_"&amp;$C38&amp;"_UnitValues"),MATCH(A$36, INDIRECT("ExtWTP_Comps_"&amp;C38),0),MATCH("HH",ExtWTP_Group,0))</f>
        <v>885</v>
      </c>
      <c r="F38" s="383">
        <f t="shared" ca="1" si="25"/>
        <v>1.6666666666666666E-2</v>
      </c>
      <c r="G38" s="383">
        <f t="shared" ca="1" si="25"/>
        <v>1.1111111111111112E-2</v>
      </c>
      <c r="H38" s="16">
        <f ca="1">INDEX(INDIRECT("SSW_WTPCore2_"&amp;$B38&amp;"_LevelValues"),1,MATCH("S1 MEAN",WTPCore2_LevelValues,0))</f>
        <v>0.30818609087835352</v>
      </c>
      <c r="I38" s="16">
        <f ca="1">INDEX(INDIRECT("SSW_WTPCore2_"&amp;$B38&amp;"_LevelValues"),1,MATCH("S2 MEAN",WTPCore2_LevelValues,0))</f>
        <v>0.18578205633963885</v>
      </c>
      <c r="J38" s="16">
        <f ca="1">SUM(H38:I38)</f>
        <v>0.49396814721799237</v>
      </c>
      <c r="K38" s="213">
        <f ca="1">E38*(F38-G38)</f>
        <v>4.9166666666666661</v>
      </c>
      <c r="L38" s="429">
        <f ca="1">INDEX(INDIRECT("SSW_WTPCore_DCE_"&amp;$B38&amp;"_UnitValues"),MATCH("COMBINED-HH",WTPCore_Group,0),MATCH("MEAN",LMH,0))</f>
        <v>173.83878023943072</v>
      </c>
      <c r="M38" s="429">
        <f ca="1">L38*($F38-$G38)*(AllProps_SSW/HHProps_SSW)</f>
        <v>1.0194594594594593</v>
      </c>
      <c r="N38" s="89">
        <f ca="1">INDEX(INDIRECT("SSW_WTPCore2_"&amp;$B38&amp;"_UnitValues"),1,MATCH("MEAN",LMH,0))</f>
        <v>84.231716516748989</v>
      </c>
      <c r="O38" s="429">
        <f ca="1">N38*($F38-$G38)*(AllProps_SSW/HHProps_SSW)</f>
        <v>0.49396814721799237</v>
      </c>
      <c r="P38" s="16">
        <f t="shared" ref="P38:P40" ca="1" si="27">K38*N$42/K$41</f>
        <v>0.81824437810659301</v>
      </c>
      <c r="Q38" s="377" t="s">
        <v>127</v>
      </c>
      <c r="R38" s="391">
        <f ca="1">P38*HHProps_SSW/((F38-G38)*AllProps_SSW)</f>
        <v>139.52747537723761</v>
      </c>
      <c r="S38" s="12">
        <f t="shared" ca="1" si="26"/>
        <v>1.4285714285714285E-2</v>
      </c>
      <c r="T38" s="12">
        <f t="shared" ca="1" si="26"/>
        <v>0.01</v>
      </c>
      <c r="U38" s="168">
        <f ca="1">INDEX(INDIRECT("CAM_WTPCore2_"&amp;$B38&amp;"_LevelValues"),1,MATCH("S1 MEAN",WTPCore2_LevelValues,0))</f>
        <v>4.7204807663126298E-2</v>
      </c>
      <c r="V38" s="168">
        <f ca="1">INDEX(INDIRECT("CAM_WTPCore2_"&amp;$B38&amp;"_LevelValues"),1,MATCH("S2 MEAN",WTPCore2_LevelValues,0))</f>
        <v>0.1217094578997745</v>
      </c>
      <c r="W38" s="168">
        <f t="shared" ref="W38:W40" ca="1" si="28">SUM(U38:V38)</f>
        <v>0.16891426556290079</v>
      </c>
      <c r="X38" s="386">
        <f ca="1">E38*(S38-T38)</f>
        <v>3.7928571428571423</v>
      </c>
      <c r="Y38" s="429">
        <f t="shared" ref="Y38" ca="1" si="29">INDEX(INDIRECT("CAM_WTPCore_"&amp;$C38&amp;"_UnitValues"),MATCH("COMBINED-HH",WTPCore_Group,0),MATCH("MEAN",LMH,0))</f>
        <v>207.69569571588755</v>
      </c>
      <c r="Z38" s="429">
        <f ca="1">Y38*(S38-T38)*(AllProps_CAM/HHProps_CAM)</f>
        <v>0.94640816326530586</v>
      </c>
      <c r="AA38" s="89">
        <f t="shared" ref="AA38" ca="1" si="30">INDEX(INDIRECT("CAM_WTPCore2_"&amp;$C38&amp;"_UnitValues"),1,MATCH("MEAN",LMH,0))</f>
        <v>37.069382180075451</v>
      </c>
      <c r="AB38" s="429">
        <f ca="1">AA38*($S38-$T38)*(AllProps_CAM/HHProps_CAM)</f>
        <v>0.16891426556290079</v>
      </c>
      <c r="AC38" s="168">
        <f t="shared" ref="AC38:AC40" ca="1" si="31">X38*AA$42/X$41</f>
        <v>2.6129377313532358</v>
      </c>
      <c r="AD38" s="243" t="str">
        <f>Q38</f>
        <v>Property affected</v>
      </c>
      <c r="AE38" s="391">
        <f ca="1">(AC38*HHProps_CAM)/((S38-T38)*AllProps_CAM)</f>
        <v>573.42692195647271</v>
      </c>
    </row>
    <row r="39" spans="1:31" x14ac:dyDescent="0.35">
      <c r="A39" s="7" t="s">
        <v>849</v>
      </c>
      <c r="B39" s="7" t="s">
        <v>138</v>
      </c>
      <c r="C39" s="7" t="s">
        <v>1009</v>
      </c>
      <c r="D39" s="377" t="s">
        <v>127</v>
      </c>
      <c r="E39" s="124">
        <f ca="1">INDEX(INDIRECT("ExtWTP_"&amp;$C39&amp;"_UnitValues"),MATCH(A$36, INDIRECT("ExtWTP_Comps_"&amp;C39),0),MATCH("HH",ExtWTP_Group,0))</f>
        <v>102</v>
      </c>
      <c r="F39" s="383">
        <f t="shared" ca="1" si="25"/>
        <v>1.4285714285714285E-2</v>
      </c>
      <c r="G39" s="383">
        <f t="shared" ca="1" si="25"/>
        <v>9.5238095238095247E-3</v>
      </c>
      <c r="H39" s="16">
        <f ca="1">INDEX(INDIRECT("SSW_WTPCore2_"&amp;$B39&amp;"_LevelValues"),1,MATCH("S1 MEAN",WTPCore2_LevelValues,0))</f>
        <v>0.39718669024665654</v>
      </c>
      <c r="I39" s="16">
        <f ca="1">INDEX(INDIRECT("SSW_WTPCore2_"&amp;$B39&amp;"_LevelValues"),1,MATCH("S2 MEAN",WTPCore2_LevelValues,0))</f>
        <v>0.53859352958370721</v>
      </c>
      <c r="J39" s="16">
        <f ca="1">SUM(H39:I39)</f>
        <v>0.93578021983036375</v>
      </c>
      <c r="K39" s="213">
        <f ca="1">E39*(F39-G39)</f>
        <v>0.4857142857142856</v>
      </c>
      <c r="L39" s="429">
        <f ca="1">INDEX(INDIRECT("SSW_WTPCore_DCE_"&amp;$B39&amp;"_UnitValues"),MATCH("COMBINED-HH",WTPCore_Group,0),MATCH("MEAN",LMH,0))</f>
        <v>162.10819588181059</v>
      </c>
      <c r="M39" s="429">
        <f ca="1">L39*($F39-$G39)*(AllProps_SSW/HHProps_SSW)</f>
        <v>0.8148571428571425</v>
      </c>
      <c r="N39" s="89">
        <f ca="1">INDEX(INDIRECT("SSW_WTPCore2_"&amp;$B39&amp;"_UnitValues"),1,MATCH("MEAN",LMH,0))</f>
        <v>186.16470937063306</v>
      </c>
      <c r="O39" s="429">
        <f ca="1">N39*($F39-$G39)*(AllProps_SSW/HHProps_SSW)</f>
        <v>0.93578021983036375</v>
      </c>
      <c r="P39" s="16">
        <f t="shared" ca="1" si="27"/>
        <v>8.0833827183411588E-2</v>
      </c>
      <c r="Q39" s="377" t="s">
        <v>127</v>
      </c>
      <c r="R39" s="391">
        <f ca="1">P39*HHProps_SSW/((F39-G39)*AllProps_SSW)</f>
        <v>16.081132755342637</v>
      </c>
      <c r="S39" s="12">
        <f t="shared" ca="1" si="26"/>
        <v>2.5000000000000001E-2</v>
      </c>
      <c r="T39" s="12">
        <f t="shared" ca="1" si="26"/>
        <v>1.6666666666666666E-2</v>
      </c>
      <c r="U39" s="168">
        <f ca="1">INDEX(INDIRECT("CAM_WTPCore2_"&amp;$B39&amp;"_LevelValues"),1,MATCH("S1 MEAN",WTPCore2_LevelValues,0))</f>
        <v>5.3490671066612649E-2</v>
      </c>
      <c r="V39" s="168">
        <f ca="1">INDEX(INDIRECT("CAM_WTPCore2_"&amp;$B39&amp;"_LevelValues"),1,MATCH("S2 MEAN",WTPCore2_LevelValues,0))</f>
        <v>0.33457681646237136</v>
      </c>
      <c r="W39" s="168">
        <f t="shared" ca="1" si="28"/>
        <v>0.38806748752898401</v>
      </c>
      <c r="X39" s="386">
        <f ca="1">E39*(S39-T39)</f>
        <v>0.8500000000000002</v>
      </c>
      <c r="Y39" s="429">
        <f ca="1">INDEX(INDIRECT("CAM_WTPCore_"&amp;$B39&amp;"_UnitValues"),MATCH("COMBINED-HH",WTPCore_Group,0),MATCH("MEAN",LMH,0))</f>
        <v>28.26566546881222</v>
      </c>
      <c r="Z39" s="429">
        <f ca="1">Y39*($S39-$T39)*(AllProps_CAM/HHProps_CAM)</f>
        <v>0.25044117647058828</v>
      </c>
      <c r="AA39" s="89">
        <f ca="1">INDEX(INDIRECT("CAM_WTPCore2_"&amp;$B39&amp;"_UnitValues"),1,MATCH("MEAN",LMH,0))</f>
        <v>43.79865138952065</v>
      </c>
      <c r="AB39" s="429">
        <f ca="1">AA39*($S39-$T39)*(AllProps_CAM/HHProps_CAM)</f>
        <v>0.3880674875289839</v>
      </c>
      <c r="AC39" s="168">
        <f t="shared" ca="1" si="31"/>
        <v>0.58557361587765577</v>
      </c>
      <c r="AD39" s="243" t="str">
        <f>Q39</f>
        <v>Property affected</v>
      </c>
      <c r="AE39" s="391">
        <f ca="1">(AC39*HHProps_CAM)/((S39-T39)*AllProps_CAM)</f>
        <v>66.089882530576517</v>
      </c>
    </row>
    <row r="40" spans="1:31" x14ac:dyDescent="0.35">
      <c r="A40" s="7" t="s">
        <v>1010</v>
      </c>
      <c r="B40" s="7" t="s">
        <v>144</v>
      </c>
      <c r="C40" s="7" t="str">
        <f>B40</f>
        <v>TempBan</v>
      </c>
      <c r="D40" s="377" t="s">
        <v>127</v>
      </c>
      <c r="E40" s="124">
        <f ca="1">INDEX(INDIRECT("ExtWTP_"&amp;$C40&amp;"_UnitValues"),MATCH(A$36, INDIRECT("ExtWTP_Comps_"&amp;C40),0),MATCH("HH",ExtWTP_Group,0))</f>
        <v>9</v>
      </c>
      <c r="F40" s="383">
        <f t="shared" ca="1" si="25"/>
        <v>2.5000000000000001E-2</v>
      </c>
      <c r="G40" s="383">
        <f t="shared" ca="1" si="25"/>
        <v>1.5384615384615385E-2</v>
      </c>
      <c r="H40" s="16">
        <f ca="1">INDEX(INDIRECT("SSW_WTPCore2_"&amp;$B40&amp;"_LevelValues"),1,MATCH("S1 MEAN",WTPCore2_LevelValues,0))</f>
        <v>0.4084226191643695</v>
      </c>
      <c r="I40" s="16">
        <f ca="1">INDEX(INDIRECT("SSW_WTPCore2_"&amp;$B40&amp;"_LevelValues"),1,MATCH("S2 MEAN",WTPCore2_LevelValues,0))</f>
        <v>0.28250000903457151</v>
      </c>
      <c r="J40" s="16">
        <f ca="1">SUM(H40:I40)</f>
        <v>0.69092262819894101</v>
      </c>
      <c r="K40" s="213">
        <f ca="1">E40*(F40-G40)</f>
        <v>8.6538461538461536E-2</v>
      </c>
      <c r="L40" s="605">
        <f t="shared" ref="L40" ca="1" si="32">INDEX(INDIRECT("SSW_WTPCore_DCE_"&amp;$C40&amp;"_UnitValues"),MATCH("COMBINED-HH",WTPCore_Group,0),MATCH("MEAN",LMH,0))</f>
        <v>245983.27199999994</v>
      </c>
      <c r="M40" s="429">
        <f ca="1">L40*(F40-G40)/HHProps_SSW*100</f>
        <v>0.43846153846153846</v>
      </c>
      <c r="N40" s="245">
        <f t="shared" ref="N40" ca="1" si="33">INDEX(INDIRECT("SSW_WTPCore2_"&amp;$C40&amp;"_UnitValues"),1,MATCH("MEAN",LMH,0))</f>
        <v>387617.59897926223</v>
      </c>
      <c r="O40" s="429">
        <f ca="1">N40*(F40-G40)/HHProps_SSW*100</f>
        <v>0.69092262819894101</v>
      </c>
      <c r="P40" s="16">
        <f t="shared" ca="1" si="27"/>
        <v>1.440195450383182E-2</v>
      </c>
      <c r="Q40" s="477" t="s">
        <v>145</v>
      </c>
      <c r="R40" s="391">
        <f ca="1">P40*HHProps_SSW/((F40-G40)*100)</f>
        <v>8079.7050169508657</v>
      </c>
      <c r="S40" s="12">
        <f t="shared" ca="1" si="26"/>
        <v>0.05</v>
      </c>
      <c r="T40" s="12">
        <f t="shared" ca="1" si="26"/>
        <v>3.3333333333333333E-2</v>
      </c>
      <c r="U40" s="168">
        <f ca="1">INDEX(INDIRECT("CAM_WTPCore2_"&amp;$B40&amp;"_LevelValues"),1,MATCH("S1 MEAN",WTPCore2_LevelValues,0))</f>
        <v>0.15591350717379643</v>
      </c>
      <c r="V40" s="168">
        <f ca="1">INDEX(INDIRECT("CAM_WTPCore2_"&amp;$B40&amp;"_LevelValues"),1,MATCH("S2 MEAN",WTPCore2_LevelValues,0))</f>
        <v>5.0130987785217407E-2</v>
      </c>
      <c r="W40" s="168">
        <f t="shared" ca="1" si="28"/>
        <v>0.20604449495901384</v>
      </c>
      <c r="X40" s="386">
        <f ca="1">E40*(S40-T40)</f>
        <v>0.15000000000000002</v>
      </c>
      <c r="Y40" s="605">
        <f ca="1">INDEX(INDIRECT("CAM_WTPCore_"&amp;$C40&amp;"_UnitValues"),MATCH("COMBINED-HH",WTPCore_Group,0),MATCH("MEAN",LMH,0))</f>
        <v>469608.19199999986</v>
      </c>
      <c r="Z40" s="429">
        <f ca="1">Y40*(S40-T40)/HHProps_CAM*100</f>
        <v>5.76</v>
      </c>
      <c r="AA40" s="245">
        <f ca="1">INDEX(INDIRECT("CAM_WTPCore2_"&amp;$C40&amp;"_UnitValues"),1,MATCH("MEAN",LMH,0))</f>
        <v>16798.64283841243</v>
      </c>
      <c r="AB40" s="429">
        <f ca="1">AA40*(S40-T40)/HHProps_CAM*100</f>
        <v>0.20604449495901386</v>
      </c>
      <c r="AC40" s="168">
        <f t="shared" ca="1" si="31"/>
        <v>0.10333652044899806</v>
      </c>
      <c r="AD40" s="243" t="str">
        <f>Q40</f>
        <v>1% change in risk</v>
      </c>
      <c r="AE40" s="391">
        <f ca="1">(AC40*HHProps_CAM)/((S40-T40)*100)</f>
        <v>8424.9438429904512</v>
      </c>
    </row>
    <row r="41" spans="1:31" x14ac:dyDescent="0.35">
      <c r="D41" s="377"/>
      <c r="E41" s="124"/>
      <c r="F41" s="16"/>
      <c r="G41" s="16"/>
      <c r="H41" s="16"/>
      <c r="I41" s="16"/>
      <c r="J41" s="330">
        <f ca="1">SUM(J37:J40)</f>
        <v>6.0953541867075325</v>
      </c>
      <c r="K41" s="331">
        <f ca="1">SUM(K37:K40)</f>
        <v>27.622252747252741</v>
      </c>
      <c r="L41" s="331"/>
      <c r="M41" s="331">
        <f ca="1">SUM(M37:M40)</f>
        <v>3.069811727870535</v>
      </c>
      <c r="N41" s="331"/>
      <c r="O41" s="331">
        <f ca="1">SUM(O37:O40)</f>
        <v>6.1241217044327669</v>
      </c>
      <c r="P41" s="330">
        <f ca="1">SUM(P37:P40)</f>
        <v>4.5969667161516519</v>
      </c>
      <c r="Q41" s="31"/>
      <c r="R41" s="466"/>
      <c r="S41" s="168"/>
      <c r="T41" s="168"/>
      <c r="U41" s="168"/>
      <c r="V41" s="168"/>
      <c r="W41" s="44">
        <f ca="1">SUM(W37:W40)</f>
        <v>5.2205565632582838</v>
      </c>
      <c r="X41" s="389">
        <f ca="1">SUM(X37:X40)</f>
        <v>10.468070818070817</v>
      </c>
      <c r="Y41" s="389"/>
      <c r="Z41" s="389">
        <f ca="1">SUM(Z37:Z40)</f>
        <v>9.2025636254501801</v>
      </c>
      <c r="AA41" s="389"/>
      <c r="AB41" s="389">
        <f ca="1">SUM(AB37:AB40)</f>
        <v>5.2205565632582838</v>
      </c>
      <c r="AC41" s="44">
        <f ca="1">SUM(AC37:AC40)</f>
        <v>7.2115600943542315</v>
      </c>
      <c r="AE41" s="391"/>
    </row>
    <row r="42" spans="1:31" x14ac:dyDescent="0.35">
      <c r="A42" s="50"/>
      <c r="B42" s="50"/>
      <c r="C42" s="50"/>
      <c r="D42" s="379"/>
      <c r="E42" s="14"/>
      <c r="F42" s="384"/>
      <c r="G42" s="384"/>
      <c r="H42" s="384"/>
      <c r="I42" s="384"/>
      <c r="J42" s="384"/>
      <c r="K42" s="25"/>
      <c r="L42" s="25"/>
      <c r="M42" s="39" t="s">
        <v>361</v>
      </c>
      <c r="N42" s="546">
        <f ca="1">AVERAGE(M41,O41)</f>
        <v>4.596966716151651</v>
      </c>
      <c r="O42" s="39"/>
      <c r="P42" s="11"/>
      <c r="Q42" s="50"/>
      <c r="R42" s="467"/>
      <c r="S42" s="13"/>
      <c r="T42" s="13"/>
      <c r="U42" s="13"/>
      <c r="V42" s="13"/>
      <c r="W42" s="13"/>
      <c r="X42" s="25"/>
      <c r="Y42" s="25"/>
      <c r="Z42" s="390" t="s">
        <v>361</v>
      </c>
      <c r="AA42" s="546">
        <f ca="1">AVERAGE(Z41,AB41)</f>
        <v>7.2115600943542315</v>
      </c>
      <c r="AB42" s="390"/>
      <c r="AC42" s="11"/>
      <c r="AD42" s="50"/>
      <c r="AE42" s="392"/>
    </row>
    <row r="43" spans="1:31" x14ac:dyDescent="0.35">
      <c r="A43" s="51" t="s">
        <v>96</v>
      </c>
      <c r="B43" s="51"/>
      <c r="D43" s="378"/>
      <c r="E43" s="218"/>
      <c r="F43" s="218"/>
      <c r="G43" s="218"/>
      <c r="H43" s="330"/>
      <c r="I43" s="330"/>
      <c r="J43" s="330"/>
      <c r="K43" s="389"/>
      <c r="L43" s="389"/>
      <c r="M43" s="389"/>
      <c r="N43" s="389"/>
      <c r="O43" s="389"/>
      <c r="P43" s="45"/>
      <c r="Q43" s="193"/>
      <c r="R43" s="468"/>
      <c r="S43" s="45"/>
      <c r="T43" s="45"/>
      <c r="U43" s="44"/>
      <c r="V43" s="44"/>
      <c r="W43" s="44"/>
      <c r="X43" s="389"/>
      <c r="Y43" s="389"/>
      <c r="Z43" s="389"/>
      <c r="AA43" s="389"/>
      <c r="AB43" s="389"/>
      <c r="AC43" s="45"/>
      <c r="AE43" s="393"/>
    </row>
    <row r="44" spans="1:31" x14ac:dyDescent="0.35">
      <c r="A44" s="7" t="s">
        <v>855</v>
      </c>
      <c r="B44" s="7" t="s">
        <v>138</v>
      </c>
      <c r="C44" s="7" t="s">
        <v>1008</v>
      </c>
      <c r="D44" s="377" t="s">
        <v>127</v>
      </c>
      <c r="E44" s="124">
        <f ca="1">INDEX(INDIRECT("ExtWTP_"&amp;$C44&amp;"_UnitValues"),MATCH(A$43, INDIRECT("ExtWTP_Comps_"&amp;C44),0),MATCH("HH",ExtWTP_Group,0))</f>
        <v>50</v>
      </c>
      <c r="F44" s="383">
        <f ca="1">INDEX(INDIRECT("SSW_WTPCore2_"&amp;$B44&amp;"_Levels"),1,MATCH(F$4,WTPCore2_AttLevels,0))</f>
        <v>1.4285714285714285E-2</v>
      </c>
      <c r="G44" s="383">
        <f ca="1">INDEX(INDIRECT("SSW_WTPCore2_"&amp;$B44&amp;"_Levels"),1,MATCH(G$4,WTPCore2_AttLevels,0))</f>
        <v>9.5238095238095247E-3</v>
      </c>
      <c r="H44" s="16">
        <f ca="1">INDEX(INDIRECT("SSW_WTPCore2_"&amp;$B44&amp;"_LevelValues"),1,MATCH("S1 MEAN",WTPCore2_LevelValues,0))</f>
        <v>0.39718669024665654</v>
      </c>
      <c r="I44" s="16">
        <f ca="1">INDEX(INDIRECT("SSW_WTPCore2_"&amp;$B44&amp;"_LevelValues"),1,MATCH("S2 MEAN",WTPCore2_LevelValues,0))</f>
        <v>0.53859352958370721</v>
      </c>
      <c r="J44" s="16">
        <f ca="1">SUM(H44:I44)</f>
        <v>0.93578021983036375</v>
      </c>
      <c r="K44" s="213">
        <f ca="1">E44*(F44-G44)</f>
        <v>0.23809523809523803</v>
      </c>
      <c r="L44" s="429">
        <f ca="1">INDEX(INDIRECT("SSW_WTPCore_DCE_"&amp;$B44&amp;"_UnitValues"),MATCH("COMBINED-HH",WTPCore_Group,0),MATCH("MEAN",LMH,0))</f>
        <v>162.10819588181059</v>
      </c>
      <c r="M44" s="429">
        <f ca="1">L44*($F44-$G44)*(AllProps_SSW/HHProps_SSW)</f>
        <v>0.8148571428571425</v>
      </c>
      <c r="N44" s="89">
        <f ca="1">INDEX(INDIRECT("SSW_WTPCore2_"&amp;$B44&amp;"_UnitValues"),1,MATCH("MEAN",LMH,0))</f>
        <v>186.16470937063306</v>
      </c>
      <c r="O44" s="429">
        <f ca="1">N44*($F44-$G44)*(AllProps_SSW/HHProps_SSW)</f>
        <v>0.93578021983036375</v>
      </c>
      <c r="P44" s="16">
        <f ca="1">K44*N$47/K$46</f>
        <v>0.60681166744771164</v>
      </c>
      <c r="Q44" s="377" t="s">
        <v>127</v>
      </c>
      <c r="R44" s="391">
        <f ca="1">P44*HHProps_SSW/((F44-G44)*AllProps_SSW)</f>
        <v>120.7194972913521</v>
      </c>
      <c r="S44" s="12">
        <f ca="1">INDEX(INDIRECT("CAM_WTPCore2_"&amp;$B44&amp;"_Levels"),1,MATCH(S$4,WTPCore2_AttLevels,0))</f>
        <v>2.5000000000000001E-2</v>
      </c>
      <c r="T44" s="12">
        <f ca="1">INDEX(INDIRECT("CAM_WTPCore2_"&amp;$B44&amp;"_Levels"),1,MATCH(T$4,WTPCore2_AttLevels,0))</f>
        <v>1.6666666666666666E-2</v>
      </c>
      <c r="U44" s="168">
        <f ca="1">INDEX(INDIRECT("CAM_WTPCore2_"&amp;$B44&amp;"_LevelValues"),1,MATCH("S1 MEAN",WTPCore2_LevelValues,0))</f>
        <v>5.3490671066612649E-2</v>
      </c>
      <c r="V44" s="168">
        <f ca="1">INDEX(INDIRECT("CAM_WTPCore2_"&amp;$B44&amp;"_LevelValues"),1,MATCH("S2 MEAN",WTPCore2_LevelValues,0))</f>
        <v>0.33457681646237136</v>
      </c>
      <c r="W44" s="168">
        <f ca="1">SUM(U44:V44)</f>
        <v>0.38806748752898401</v>
      </c>
      <c r="X44" s="386">
        <f ca="1">E44*(S44-T44)</f>
        <v>0.41666666666666674</v>
      </c>
      <c r="Y44" s="429">
        <f ca="1">INDEX(INDIRECT("CAM_WTPCore_"&amp;$B44&amp;"_UnitValues"),MATCH("COMBINED-HH",WTPCore_Group,0),MATCH("MEAN",LMH,0))</f>
        <v>28.26566546881222</v>
      </c>
      <c r="Z44" s="429">
        <f ca="1">Y44*($S44-$T44)*(AllProps_CAM/HHProps_CAM)</f>
        <v>0.25044117647058828</v>
      </c>
      <c r="AA44" s="89">
        <f ca="1">INDEX(INDIRECT("CAM_WTPCore2_"&amp;$B44&amp;"_UnitValues"),1,MATCH("MEAN",LMH,0))</f>
        <v>43.79865138952065</v>
      </c>
      <c r="AB44" s="429">
        <f ca="1">AA44*($S44-$T44)*(AllProps_CAM/HHProps_CAM)</f>
        <v>0.3880674875289839</v>
      </c>
      <c r="AC44" s="168">
        <f ca="1">X44*AA$47/X$46</f>
        <v>1.3992697370674969</v>
      </c>
      <c r="AD44" s="243" t="str">
        <f>Q44</f>
        <v>Property affected</v>
      </c>
      <c r="AE44" s="391">
        <f ca="1">(AC44*HHProps_CAM)/((S44-T44)*AllProps_CAM)</f>
        <v>157.92646738835131</v>
      </c>
    </row>
    <row r="45" spans="1:31" x14ac:dyDescent="0.35">
      <c r="A45" s="7" t="s">
        <v>1010</v>
      </c>
      <c r="B45" s="7" t="s">
        <v>144</v>
      </c>
      <c r="C45" s="7" t="str">
        <f>B45</f>
        <v>TempBan</v>
      </c>
      <c r="D45" s="377" t="s">
        <v>127</v>
      </c>
      <c r="E45" s="124">
        <f ca="1">INDEX(INDIRECT("ExtWTP_"&amp;$C45&amp;"_UnitValues"),MATCH(A$43, INDIRECT("ExtWTP_Comps_"&amp;C45),0),MATCH("HH",ExtWTP_Group,0))</f>
        <v>34</v>
      </c>
      <c r="F45" s="383">
        <f ca="1">INDEX(INDIRECT("SSW_WTPCore2_"&amp;$B45&amp;"_Levels"),1,MATCH(F$4,WTPCore2_AttLevels,0))</f>
        <v>2.5000000000000001E-2</v>
      </c>
      <c r="G45" s="383">
        <f ca="1">INDEX(INDIRECT("SSW_WTPCore2_"&amp;$B45&amp;"_Levels"),1,MATCH(G$4,WTPCore2_AttLevels,0))</f>
        <v>1.5384615384615385E-2</v>
      </c>
      <c r="H45" s="16">
        <f ca="1">INDEX(INDIRECT("SSW_WTPCore2_"&amp;$B45&amp;"_LevelValues"),1,MATCH("S1 MEAN",WTPCore2_LevelValues,0))</f>
        <v>0.4084226191643695</v>
      </c>
      <c r="I45" s="16">
        <f ca="1">INDEX(INDIRECT("SSW_WTPCore2_"&amp;$B45&amp;"_LevelValues"),1,MATCH("S2 MEAN",WTPCore2_LevelValues,0))</f>
        <v>0.28250000903457151</v>
      </c>
      <c r="J45" s="16">
        <f ca="1">SUM(H45:I45)</f>
        <v>0.69092262819894101</v>
      </c>
      <c r="K45" s="213">
        <f ca="1">E45*(F45-G45)</f>
        <v>0.32692307692307693</v>
      </c>
      <c r="L45" s="605">
        <f t="shared" ref="L45" ca="1" si="34">INDEX(INDIRECT("SSW_WTPCore_DCE_"&amp;$C45&amp;"_UnitValues"),MATCH("COMBINED-HH",WTPCore_Group,0),MATCH("MEAN",LMH,0))</f>
        <v>245983.27199999994</v>
      </c>
      <c r="M45" s="429">
        <f ca="1">L45*(F45-G45)/HHProps_SSW*100</f>
        <v>0.43846153846153846</v>
      </c>
      <c r="N45" s="245">
        <f t="shared" ref="N45" ca="1" si="35">INDEX(INDIRECT("SSW_WTPCore2_"&amp;$C45&amp;"_UnitValues"),1,MATCH("MEAN",LMH,0))</f>
        <v>387617.59897926223</v>
      </c>
      <c r="O45" s="429">
        <f ca="1">N45*(F45-G45)/HHProps_SSW*100</f>
        <v>0.69092262819894101</v>
      </c>
      <c r="P45" s="16">
        <f ca="1">K45*N$47/K$46</f>
        <v>0.83319909722628116</v>
      </c>
      <c r="Q45" s="477" t="s">
        <v>145</v>
      </c>
      <c r="R45" s="391">
        <f ca="1">P45*HHProps_SSW/((F45-G45)*100)</f>
        <v>467436.75826687156</v>
      </c>
      <c r="S45" s="12">
        <f ca="1">INDEX(INDIRECT("CAM_WTPCore2_"&amp;$B45&amp;"_Levels"),1,MATCH(S$4,WTPCore2_AttLevels,0))</f>
        <v>0.05</v>
      </c>
      <c r="T45" s="12">
        <f ca="1">INDEX(INDIRECT("CAM_WTPCore2_"&amp;$B45&amp;"_Levels"),1,MATCH(T$4,WTPCore2_AttLevels,0))</f>
        <v>3.3333333333333333E-2</v>
      </c>
      <c r="U45" s="168">
        <f ca="1">INDEX(INDIRECT("CAM_WTPCore2_"&amp;$B45&amp;"_LevelValues"),1,MATCH("S1 MEAN",WTPCore2_LevelValues,0))</f>
        <v>0.15591350717379643</v>
      </c>
      <c r="V45" s="168">
        <f ca="1">INDEX(INDIRECT("CAM_WTPCore2_"&amp;$B45&amp;"_LevelValues"),1,MATCH("S2 MEAN",WTPCore2_LevelValues,0))</f>
        <v>5.0130987785217407E-2</v>
      </c>
      <c r="W45" s="168">
        <f ca="1">SUM(U45:V45)</f>
        <v>0.20604449495901384</v>
      </c>
      <c r="X45" s="386">
        <f ca="1">E45*(S45-T45)</f>
        <v>0.56666666666666676</v>
      </c>
      <c r="Y45" s="605">
        <f ca="1">INDEX(INDIRECT("CAM_WTPCore_"&amp;$C45&amp;"_UnitValues"),MATCH("COMBINED-HH",WTPCore_Group,0),MATCH("MEAN",LMH,0))</f>
        <v>469608.19199999986</v>
      </c>
      <c r="Z45" s="429">
        <f ca="1">Y45*(S45-T45)/HHProps_CAM*100</f>
        <v>5.76</v>
      </c>
      <c r="AA45" s="245">
        <f ca="1">INDEX(INDIRECT("CAM_WTPCore2_"&amp;$C45&amp;"_UnitValues"),1,MATCH("MEAN",LMH,0))</f>
        <v>16798.64283841243</v>
      </c>
      <c r="AB45" s="429">
        <f ca="1">AA45*(S45-T45)/HHProps_CAM*100</f>
        <v>0.20604449495901386</v>
      </c>
      <c r="AC45" s="168">
        <f ca="1">X45*AA$47/X$46</f>
        <v>1.9030068424117959</v>
      </c>
      <c r="AD45" s="243" t="str">
        <f>Q45</f>
        <v>1% change in risk</v>
      </c>
      <c r="AE45" s="391">
        <f ca="1">(AC45*HHProps_CAM)/((S45-T45)*100)</f>
        <v>155150.62545635976</v>
      </c>
    </row>
    <row r="46" spans="1:31" x14ac:dyDescent="0.35">
      <c r="D46" s="377"/>
      <c r="E46" s="124"/>
      <c r="F46" s="16"/>
      <c r="G46" s="16"/>
      <c r="H46" s="16"/>
      <c r="I46" s="16"/>
      <c r="J46" s="330">
        <f ca="1">SUM(J44:J45)</f>
        <v>1.6267028480293049</v>
      </c>
      <c r="K46" s="331">
        <f ca="1">SUM(K44:K45)</f>
        <v>0.56501831501831501</v>
      </c>
      <c r="L46" s="331"/>
      <c r="M46" s="331">
        <f ca="1">SUM(M44:M45)</f>
        <v>1.253318681318681</v>
      </c>
      <c r="N46" s="331"/>
      <c r="O46" s="223">
        <f ca="1">SUM(O44:O45)</f>
        <v>1.6267028480293049</v>
      </c>
      <c r="P46" s="330">
        <f ca="1">SUM(P44:P45)</f>
        <v>1.4400107646739928</v>
      </c>
      <c r="Q46" s="201"/>
      <c r="R46" s="466"/>
      <c r="S46" s="168"/>
      <c r="T46" s="168"/>
      <c r="U46" s="168"/>
      <c r="V46" s="168"/>
      <c r="W46" s="44">
        <f ca="1">SUM(W44:W45)</f>
        <v>0.5941119824879979</v>
      </c>
      <c r="X46" s="389">
        <f ca="1">SUM(X44:X45)</f>
        <v>0.9833333333333335</v>
      </c>
      <c r="Y46" s="389"/>
      <c r="Z46" s="389">
        <f ca="1">SUM(Z43:Z45)</f>
        <v>6.0104411764705876</v>
      </c>
      <c r="AA46" s="389"/>
      <c r="AB46" s="222">
        <f ca="1">SUM(AB43:AB45)</f>
        <v>0.59411198248799779</v>
      </c>
      <c r="AC46" s="44">
        <f ca="1">SUM(AC44:AC45)</f>
        <v>3.302276579479293</v>
      </c>
      <c r="AE46" s="391"/>
    </row>
    <row r="47" spans="1:31" x14ac:dyDescent="0.35">
      <c r="A47" s="50"/>
      <c r="B47" s="50"/>
      <c r="C47" s="50"/>
      <c r="D47" s="379"/>
      <c r="E47" s="14"/>
      <c r="F47" s="384"/>
      <c r="G47" s="384"/>
      <c r="H47" s="384"/>
      <c r="I47" s="384"/>
      <c r="J47" s="384"/>
      <c r="K47" s="25"/>
      <c r="L47" s="25"/>
      <c r="M47" s="39" t="s">
        <v>361</v>
      </c>
      <c r="N47" s="546">
        <f ca="1">AVERAGE(M46,O46)</f>
        <v>1.440010764673993</v>
      </c>
      <c r="O47" s="39"/>
      <c r="P47" s="11"/>
      <c r="Q47" s="50"/>
      <c r="R47" s="467"/>
      <c r="S47" s="13"/>
      <c r="T47" s="13"/>
      <c r="U47" s="13"/>
      <c r="V47" s="13"/>
      <c r="W47" s="13"/>
      <c r="X47" s="25"/>
      <c r="Y47" s="25"/>
      <c r="Z47" s="390" t="s">
        <v>361</v>
      </c>
      <c r="AA47" s="546">
        <f ca="1">AVERAGE(Z46,AB46)</f>
        <v>3.3022765794792925</v>
      </c>
      <c r="AB47" s="390"/>
      <c r="AC47" s="11"/>
      <c r="AD47" s="50"/>
      <c r="AE47" s="392"/>
    </row>
    <row r="48" spans="1:31" x14ac:dyDescent="0.35">
      <c r="A48" s="51" t="s">
        <v>97</v>
      </c>
      <c r="B48" s="51"/>
      <c r="D48" s="378"/>
      <c r="E48" s="218"/>
      <c r="F48" s="218"/>
      <c r="G48" s="218"/>
      <c r="H48" s="330"/>
      <c r="I48" s="330"/>
      <c r="J48" s="330"/>
      <c r="K48" s="389"/>
      <c r="L48" s="389"/>
      <c r="M48" s="389"/>
      <c r="N48" s="389"/>
      <c r="O48" s="389"/>
      <c r="P48" s="45"/>
      <c r="Q48" s="193"/>
      <c r="R48" s="468"/>
      <c r="S48" s="45"/>
      <c r="T48" s="45"/>
      <c r="U48" s="44"/>
      <c r="V48" s="44"/>
      <c r="W48" s="44"/>
      <c r="X48" s="389"/>
      <c r="Y48" s="389"/>
      <c r="Z48" s="389"/>
      <c r="AA48" s="389"/>
      <c r="AB48" s="389"/>
      <c r="AC48" s="45"/>
      <c r="AE48" s="393"/>
    </row>
    <row r="49" spans="1:31" x14ac:dyDescent="0.35">
      <c r="A49" s="7" t="s">
        <v>855</v>
      </c>
      <c r="B49" s="7" t="s">
        <v>138</v>
      </c>
      <c r="C49" s="7" t="s">
        <v>1008</v>
      </c>
      <c r="D49" s="377" t="s">
        <v>127</v>
      </c>
      <c r="E49" s="124">
        <f ca="1">INDEX(INDIRECT("ExtWTP_"&amp;$C49&amp;"_UnitValues"),MATCH(A$48, INDIRECT("ExtWTP_Comps_"&amp;C49),0),MATCH("HH",ExtWTP_Group,0))</f>
        <v>320</v>
      </c>
      <c r="F49" s="383">
        <f t="shared" ref="F49:G51" ca="1" si="36">INDEX(INDIRECT("SSW_WTPCore2_"&amp;$B49&amp;"_Levels"),1,MATCH(F$4,WTPCore2_AttLevels,0))</f>
        <v>1.4285714285714285E-2</v>
      </c>
      <c r="G49" s="383">
        <f t="shared" ca="1" si="36"/>
        <v>9.5238095238095247E-3</v>
      </c>
      <c r="H49" s="16">
        <f ca="1">INDEX(INDIRECT("SSW_WTPCore2_"&amp;$B49&amp;"_LevelValues"),1,MATCH("S1 MEAN",WTPCore2_LevelValues,0))</f>
        <v>0.39718669024665654</v>
      </c>
      <c r="I49" s="16">
        <f ca="1">INDEX(INDIRECT("SSW_WTPCore2_"&amp;$B49&amp;"_LevelValues"),1,MATCH("S2 MEAN",WTPCore2_LevelValues,0))</f>
        <v>0.53859352958370721</v>
      </c>
      <c r="J49" s="16">
        <f ca="1">SUM(H49:I49)</f>
        <v>0.93578021983036375</v>
      </c>
      <c r="K49" s="213">
        <f ca="1">E49*(F49-G49)</f>
        <v>1.5238095238095233</v>
      </c>
      <c r="L49" s="429">
        <f ca="1">INDEX(INDIRECT("SSW_WTPCore_DCE_"&amp;$B49&amp;"_UnitValues"),MATCH("COMBINED-HH",WTPCore_Group,0),MATCH("MEAN",LMH,0))</f>
        <v>162.10819588181059</v>
      </c>
      <c r="M49" s="429">
        <f ca="1">L49*($F49-$G49)*(AllProps_SSW/HHProps_SSW)</f>
        <v>0.8148571428571425</v>
      </c>
      <c r="N49" s="89">
        <f ca="1">INDEX(INDIRECT("SSW_WTPCore2_"&amp;$B49&amp;"_UnitValues"),1,MATCH("MEAN",LMH,0))</f>
        <v>186.16470937063306</v>
      </c>
      <c r="O49" s="429">
        <f ca="1">N49*($F49-$G49)*(AllProps_SSW/HHProps_SSW)</f>
        <v>0.93578021983036375</v>
      </c>
      <c r="P49" s="16">
        <f ca="1">K49*N$53/K$52</f>
        <v>0.3783178100089854</v>
      </c>
      <c r="Q49" s="377" t="s">
        <v>127</v>
      </c>
      <c r="R49" s="391">
        <f ca="1">P49*HHProps_SSW/((F49-G49)*AllProps_SSW)</f>
        <v>75.262784634221532</v>
      </c>
      <c r="S49" s="12">
        <f t="shared" ref="S49:T51" ca="1" si="37">INDEX(INDIRECT("CAM_WTPCore2_"&amp;$B49&amp;"_Levels"),1,MATCH(S$4,WTPCore2_AttLevels,0))</f>
        <v>2.5000000000000001E-2</v>
      </c>
      <c r="T49" s="12">
        <f t="shared" ca="1" si="37"/>
        <v>1.6666666666666666E-2</v>
      </c>
      <c r="U49" s="168">
        <f ca="1">INDEX(INDIRECT("CAM_WTPCore2_"&amp;$B49&amp;"_LevelValues"),1,MATCH("S1 MEAN",WTPCore2_LevelValues,0))</f>
        <v>5.3490671066612649E-2</v>
      </c>
      <c r="V49" s="168">
        <f ca="1">INDEX(INDIRECT("CAM_WTPCore2_"&amp;$B49&amp;"_LevelValues"),1,MATCH("S2 MEAN",WTPCore2_LevelValues,0))</f>
        <v>0.33457681646237136</v>
      </c>
      <c r="W49" s="168">
        <f ca="1">SUM(U49:V49)</f>
        <v>0.38806748752898401</v>
      </c>
      <c r="X49" s="386">
        <f ca="1">E49*(S49-T49)</f>
        <v>2.666666666666667</v>
      </c>
      <c r="Y49" s="429">
        <f ca="1">INDEX(INDIRECT("CAM_WTPCore_"&amp;$B49&amp;"_UnitValues"),MATCH("COMBINED-HH",WTPCore_Group,0),MATCH("MEAN",LMH,0))</f>
        <v>28.26566546881222</v>
      </c>
      <c r="Z49" s="429">
        <f ca="1">Y49*($S49-$T49)*(AllProps_CAM/HHProps_CAM)</f>
        <v>0.25044117647058828</v>
      </c>
      <c r="AA49" s="89">
        <f ca="1">INDEX(INDIRECT("CAM_WTPCore2_"&amp;$B49&amp;"_UnitValues"),1,MATCH("MEAN",LMH,0))</f>
        <v>43.79865138952065</v>
      </c>
      <c r="AB49" s="429">
        <f ca="1">AA49*($S49-$T49)*(AllProps_CAM/HHProps_CAM)</f>
        <v>0.3880674875289839</v>
      </c>
      <c r="AC49" s="168">
        <f ca="1">X49*AA$53/X$52</f>
        <v>1.5573071376212584</v>
      </c>
      <c r="AD49" s="243" t="str">
        <f>Q49</f>
        <v>Property affected</v>
      </c>
      <c r="AE49" s="391">
        <f ca="1">(AC49*HHProps_CAM)/((S49-T49)*AllProps_CAM)</f>
        <v>175.76312012479903</v>
      </c>
    </row>
    <row r="50" spans="1:31" x14ac:dyDescent="0.35">
      <c r="A50" s="7" t="s">
        <v>1010</v>
      </c>
      <c r="B50" s="7" t="s">
        <v>144</v>
      </c>
      <c r="C50" s="7" t="str">
        <f>B50</f>
        <v>TempBan</v>
      </c>
      <c r="D50" s="377" t="s">
        <v>127</v>
      </c>
      <c r="E50" s="124">
        <f ca="1">INDEX(INDIRECT("ExtWTP_"&amp;$C50&amp;"_UnitValues"),MATCH(A$48, INDIRECT("ExtWTP_Comps_"&amp;C50),0),MATCH("HH",ExtWTP_Group,0))</f>
        <v>24</v>
      </c>
      <c r="F50" s="383">
        <f t="shared" ca="1" si="36"/>
        <v>2.5000000000000001E-2</v>
      </c>
      <c r="G50" s="383">
        <f t="shared" ca="1" si="36"/>
        <v>1.5384615384615385E-2</v>
      </c>
      <c r="H50" s="16">
        <f ca="1">INDEX(INDIRECT("SSW_WTPCore2_"&amp;$B50&amp;"_LevelValues"),1,MATCH("S1 MEAN",WTPCore2_LevelValues,0))</f>
        <v>0.4084226191643695</v>
      </c>
      <c r="I50" s="16">
        <f ca="1">INDEX(INDIRECT("SSW_WTPCore2_"&amp;$B50&amp;"_LevelValues"),1,MATCH("S2 MEAN",WTPCore2_LevelValues,0))</f>
        <v>0.28250000903457151</v>
      </c>
      <c r="J50" s="16">
        <f ca="1">SUM(H50:I50)</f>
        <v>0.69092262819894101</v>
      </c>
      <c r="K50" s="213">
        <f ca="1">E50*(F50-G50)</f>
        <v>0.23076923076923078</v>
      </c>
      <c r="L50" s="605">
        <f t="shared" ref="L50:L51" ca="1" si="38">INDEX(INDIRECT("SSW_WTPCore_DCE_"&amp;$C50&amp;"_UnitValues"),MATCH("COMBINED-HH",WTPCore_Group,0),MATCH("MEAN",LMH,0))</f>
        <v>245983.27199999994</v>
      </c>
      <c r="M50" s="429">
        <f ca="1">L50*(F50-G50)/HHProps_SSW*100</f>
        <v>0.43846153846153846</v>
      </c>
      <c r="N50" s="245">
        <f t="shared" ref="N50:N51" ca="1" si="39">INDEX(INDIRECT("SSW_WTPCore2_"&amp;$C50&amp;"_UnitValues"),1,MATCH("MEAN",LMH,0))</f>
        <v>387617.59897926223</v>
      </c>
      <c r="O50" s="429">
        <f ca="1">N50*(F50-G50)/HHProps_SSW*100</f>
        <v>0.69092262819894101</v>
      </c>
      <c r="P50" s="16">
        <f t="shared" ref="P50:P51" ca="1" si="40">K50*N$53/K$52</f>
        <v>5.7293322188860796E-2</v>
      </c>
      <c r="Q50" s="477" t="s">
        <v>145</v>
      </c>
      <c r="R50" s="391">
        <f ca="1">P50*HHProps_SSW/((F50-G50)*100)</f>
        <v>32142.383355256203</v>
      </c>
      <c r="S50" s="12">
        <f t="shared" ca="1" si="37"/>
        <v>0.05</v>
      </c>
      <c r="T50" s="12">
        <f t="shared" ca="1" si="37"/>
        <v>3.3333333333333333E-2</v>
      </c>
      <c r="U50" s="168">
        <f ca="1">INDEX(INDIRECT("CAM_WTPCore2_"&amp;$B50&amp;"_LevelValues"),1,MATCH("S1 MEAN",WTPCore2_LevelValues,0))</f>
        <v>0.15591350717379643</v>
      </c>
      <c r="V50" s="168">
        <f ca="1">INDEX(INDIRECT("CAM_WTPCore2_"&amp;$B50&amp;"_LevelValues"),1,MATCH("S2 MEAN",WTPCore2_LevelValues,0))</f>
        <v>5.0130987785217407E-2</v>
      </c>
      <c r="W50" s="168">
        <f t="shared" ref="W50:W51" ca="1" si="41">SUM(U50:V50)</f>
        <v>0.20604449495901384</v>
      </c>
      <c r="X50" s="386">
        <f ca="1">E50*(S50-T50)</f>
        <v>0.40000000000000008</v>
      </c>
      <c r="Y50" s="605">
        <f ca="1">INDEX(INDIRECT("CAM_WTPCore_"&amp;$C50&amp;"_UnitValues"),MATCH("COMBINED-HH",WTPCore_Group,0),MATCH("MEAN",LMH,0))</f>
        <v>469608.19199999986</v>
      </c>
      <c r="Z50" s="429">
        <f ca="1">Y50*(S50-T50)/HHProps_CAM*100</f>
        <v>5.76</v>
      </c>
      <c r="AA50" s="245">
        <f ca="1">INDEX(INDIRECT("CAM_WTPCore2_"&amp;$C50&amp;"_UnitValues"),1,MATCH("MEAN",LMH,0))</f>
        <v>16798.64283841243</v>
      </c>
      <c r="AB50" s="429">
        <f ca="1">AA50*(S50-T50)/HHProps_CAM*100</f>
        <v>0.20604449495901386</v>
      </c>
      <c r="AC50" s="168">
        <f t="shared" ref="AC50:AC51" ca="1" si="42">X50*AA$53/X$52</f>
        <v>0.23359607064318877</v>
      </c>
      <c r="AD50" s="243" t="str">
        <f>Q50</f>
        <v>1% change in risk</v>
      </c>
      <c r="AE50" s="391">
        <f ca="1">(AC50*HHProps_CAM)/((S50-T50)*100)</f>
        <v>19044.900762682661</v>
      </c>
    </row>
    <row r="51" spans="1:31" x14ac:dyDescent="0.35">
      <c r="A51" s="7" t="s">
        <v>929</v>
      </c>
      <c r="B51" s="7" t="s">
        <v>140</v>
      </c>
      <c r="C51" s="7" t="str">
        <f>B51</f>
        <v>LowPressure</v>
      </c>
      <c r="D51" s="377" t="s">
        <v>127</v>
      </c>
      <c r="E51" s="124">
        <f ca="1">INDEX(INDIRECT("ExtWTP_"&amp;$C51&amp;"_UnitValues"),MATCH(A$48, INDIRECT("ExtWTP_Comps_"&amp;C51),0),MATCH("HH",ExtWTP_Group,0))</f>
        <v>229</v>
      </c>
      <c r="F51" s="383">
        <f t="shared" ca="1" si="36"/>
        <v>0.1</v>
      </c>
      <c r="G51" s="383">
        <f t="shared" ca="1" si="36"/>
        <v>6.6666666666666666E-2</v>
      </c>
      <c r="H51" s="16">
        <f ca="1">INDEX(INDIRECT("SSW_WTPCore2_"&amp;$B51&amp;"_LevelValues"),1,MATCH("S1 MEAN",WTPCore2_LevelValues,0))</f>
        <v>0.78010561855806027</v>
      </c>
      <c r="I51" s="16">
        <f ca="1">INDEX(INDIRECT("SSW_WTPCore2_"&amp;$B51&amp;"_LevelValues"),1,MATCH("S2 MEAN",WTPCore2_LevelValues,0))</f>
        <v>0.37050953266002729</v>
      </c>
      <c r="J51" s="16">
        <f ca="1">SUM(H51:I51)</f>
        <v>1.1506151512180876</v>
      </c>
      <c r="K51" s="213">
        <f ca="1">E51*(F51-G51)</f>
        <v>7.6333333333333346</v>
      </c>
      <c r="L51" s="429">
        <f t="shared" ca="1" si="38"/>
        <v>41.08733075345431</v>
      </c>
      <c r="M51" s="429">
        <f ca="1">L51*(F51-G51)*(AllProps_SSW/HHProps_SSW)</f>
        <v>1.4457142857142862</v>
      </c>
      <c r="N51" s="89">
        <f t="shared" ca="1" si="39"/>
        <v>32.700586661683175</v>
      </c>
      <c r="O51" s="429">
        <f ca="1">N51*($F51-$G51)*(AllProps_SSW/HHProps_SSW)</f>
        <v>1.1506151512180876</v>
      </c>
      <c r="P51" s="16">
        <f t="shared" ca="1" si="40"/>
        <v>1.8951357795137622</v>
      </c>
      <c r="Q51" s="377" t="s">
        <v>127</v>
      </c>
      <c r="R51" s="391">
        <f ca="1">P51*HHProps_SSW/((F51-G51)*AllProps_SSW)</f>
        <v>53.859930253864789</v>
      </c>
      <c r="S51" s="12">
        <f t="shared" ca="1" si="37"/>
        <v>9.0909090909090912E-2</v>
      </c>
      <c r="T51" s="12">
        <f t="shared" ca="1" si="37"/>
        <v>6.6666666666666666E-2</v>
      </c>
      <c r="U51" s="168">
        <f ca="1">INDEX(INDIRECT("CAM_WTPCore2_"&amp;$B51&amp;"_LevelValues"),1,MATCH("S1 MEAN",WTPCore2_LevelValues,0))</f>
        <v>2.1416418362159599</v>
      </c>
      <c r="V51" s="168">
        <f ca="1">INDEX(INDIRECT("CAM_WTPCore2_"&amp;$B51&amp;"_LevelValues"),1,MATCH("S2 MEAN",WTPCore2_LevelValues,0))</f>
        <v>0.84070533256091329</v>
      </c>
      <c r="W51" s="168">
        <f t="shared" ca="1" si="41"/>
        <v>2.9823471687768732</v>
      </c>
      <c r="X51" s="386">
        <f ca="1">E51*(S51-T51)</f>
        <v>5.5515151515151526</v>
      </c>
      <c r="Y51" s="429">
        <f ca="1">INDEX(INDIRECT("CAM_WTPCore_"&amp;$B51&amp;"_UnitValues"),MATCH("COMBINED-HH",WTPCore_Group,0),MATCH("MEAN",LMH,0))</f>
        <v>18.582387891224172</v>
      </c>
      <c r="Z51" s="429">
        <f ca="1">Y51*($S51-$T51)*(AllProps_CAM/HHProps_CAM)</f>
        <v>0.47896671634376553</v>
      </c>
      <c r="AA51" s="89">
        <f ca="1">INDEX(INDIRECT("CAM_WTPCore2_"&amp;$B51&amp;"_UnitValues"),1,MATCH("MEAN",LMH,0))</f>
        <v>115.70560129846363</v>
      </c>
      <c r="AB51" s="429">
        <f ca="1">AA51*($S51-$T51)*(AllProps_CAM/HHProps_CAM)</f>
        <v>2.9823471687768732</v>
      </c>
      <c r="AC51" s="168">
        <f t="shared" ca="1" si="42"/>
        <v>3.2420303137751656</v>
      </c>
      <c r="AD51" s="243" t="str">
        <f>Q51</f>
        <v>Property affected</v>
      </c>
      <c r="AE51" s="391">
        <f ca="1">(AC51*HHProps_CAM)/((S51-T51)*AllProps_CAM)</f>
        <v>125.78048283930931</v>
      </c>
    </row>
    <row r="52" spans="1:31" x14ac:dyDescent="0.35">
      <c r="D52" s="377"/>
      <c r="E52" s="124"/>
      <c r="F52" s="383"/>
      <c r="G52" s="383"/>
      <c r="H52" s="16"/>
      <c r="I52" s="16"/>
      <c r="J52" s="610">
        <f ca="1">SUM(J49:J51)</f>
        <v>2.7773179992473924</v>
      </c>
      <c r="K52" s="331">
        <f ca="1">SUM(K49:K51)</f>
        <v>9.3879120879120883</v>
      </c>
      <c r="L52" s="331"/>
      <c r="M52" s="331">
        <f ca="1">SUM(M50:M51)</f>
        <v>1.8841758241758246</v>
      </c>
      <c r="N52" s="331"/>
      <c r="O52" s="331">
        <f ca="1">SUM(O49:O51)</f>
        <v>2.7773179992473924</v>
      </c>
      <c r="P52" s="330">
        <f ca="1">SUM(P49:P51)</f>
        <v>2.3307469117116084</v>
      </c>
      <c r="Q52" s="31"/>
      <c r="R52" s="469"/>
      <c r="S52" s="12"/>
      <c r="T52" s="12"/>
      <c r="U52" s="168"/>
      <c r="V52" s="168"/>
      <c r="W52" s="44">
        <f ca="1">SUM(W49:W51)</f>
        <v>3.5764591512648711</v>
      </c>
      <c r="X52" s="389">
        <f ca="1">SUM(X49:X51)</f>
        <v>8.6181818181818191</v>
      </c>
      <c r="Y52" s="389"/>
      <c r="Z52" s="389">
        <f ca="1">SUM(Z49:Z51)</f>
        <v>6.489407892814353</v>
      </c>
      <c r="AA52" s="389"/>
      <c r="AB52" s="222">
        <f ca="1">SUM(AB49:AB51)</f>
        <v>3.5764591512648711</v>
      </c>
      <c r="AC52" s="44">
        <f ca="1">SUM(AC49:AC51)</f>
        <v>5.0329335220396132</v>
      </c>
      <c r="AE52" s="391"/>
    </row>
    <row r="53" spans="1:31" x14ac:dyDescent="0.35">
      <c r="A53" s="50"/>
      <c r="B53" s="50"/>
      <c r="C53" s="50"/>
      <c r="D53" s="379"/>
      <c r="E53" s="14"/>
      <c r="F53" s="384"/>
      <c r="G53" s="384"/>
      <c r="H53" s="384"/>
      <c r="I53" s="384"/>
      <c r="J53" s="384"/>
      <c r="K53" s="25"/>
      <c r="L53" s="25"/>
      <c r="M53" s="39" t="s">
        <v>361</v>
      </c>
      <c r="N53" s="546">
        <f ca="1">AVERAGE(M52,O52)</f>
        <v>2.3307469117116084</v>
      </c>
      <c r="O53" s="39"/>
      <c r="P53" s="11"/>
      <c r="Q53" s="50"/>
      <c r="R53" s="467"/>
      <c r="S53" s="13"/>
      <c r="T53" s="13"/>
      <c r="U53" s="13"/>
      <c r="V53" s="13"/>
      <c r="W53" s="13"/>
      <c r="X53" s="25"/>
      <c r="Y53" s="25"/>
      <c r="Z53" s="390" t="s">
        <v>361</v>
      </c>
      <c r="AA53" s="546">
        <f ca="1">AVERAGE(Z52,AB52)</f>
        <v>5.0329335220396123</v>
      </c>
      <c r="AB53" s="390"/>
      <c r="AC53" s="11"/>
      <c r="AD53" s="50"/>
      <c r="AE53" s="392"/>
    </row>
    <row r="54" spans="1:31" x14ac:dyDescent="0.35">
      <c r="A54" s="51" t="s">
        <v>98</v>
      </c>
      <c r="B54" s="51"/>
      <c r="D54" s="378"/>
      <c r="E54" s="218"/>
      <c r="F54" s="218"/>
      <c r="G54" s="218"/>
      <c r="H54" s="330"/>
      <c r="I54" s="330"/>
      <c r="J54" s="330"/>
      <c r="K54" s="389"/>
      <c r="L54" s="389"/>
      <c r="M54" s="389"/>
      <c r="N54" s="389"/>
      <c r="O54" s="389"/>
      <c r="P54" s="45"/>
      <c r="Q54" s="193"/>
      <c r="R54" s="468"/>
      <c r="S54" s="45"/>
      <c r="T54" s="45"/>
      <c r="U54" s="44"/>
      <c r="V54" s="44"/>
      <c r="W54" s="44"/>
      <c r="X54" s="389"/>
      <c r="Y54" s="389"/>
      <c r="Z54" s="389"/>
      <c r="AA54" s="389"/>
      <c r="AB54" s="389"/>
      <c r="AC54" s="45"/>
      <c r="AE54" s="393"/>
    </row>
    <row r="55" spans="1:31" x14ac:dyDescent="0.35">
      <c r="A55" s="7" t="s">
        <v>129</v>
      </c>
      <c r="B55" s="7" t="s">
        <v>130</v>
      </c>
      <c r="C55" s="7" t="str">
        <f>B55</f>
        <v>Discolour</v>
      </c>
      <c r="D55" s="377" t="s">
        <v>127</v>
      </c>
      <c r="E55" s="124">
        <f ca="1">INDEX(INDIRECT("ExtWTP_"&amp;$C55&amp;"_UnitValues"),MATCH(A$54, INDIRECT("ExtWTP_Comps_"&amp;C55),0),MATCH("HH",ExtWTP_Group,0))</f>
        <v>6510</v>
      </c>
      <c r="F55" s="383">
        <f t="shared" ref="F55:G58" ca="1" si="43">INDEX(INDIRECT("SSW_WTPCore2_"&amp;$B55&amp;"_Levels"),1,MATCH(F$4,WTPCore2_AttLevels,0))</f>
        <v>6.6666666666666666E-2</v>
      </c>
      <c r="G55" s="383">
        <f t="shared" ca="1" si="43"/>
        <v>0.04</v>
      </c>
      <c r="H55" s="16">
        <f ca="1">INDEX(INDIRECT("SSW_WTPCore2_"&amp;$B55&amp;"_LevelValues"),1,MATCH("S1 MEAN",WTPCore2_LevelValues,0))</f>
        <v>3.3679929677046498</v>
      </c>
      <c r="I55" s="16">
        <f ca="1">INDEX(INDIRECT("SSW_WTPCore2_"&amp;$B55&amp;"_LevelValues"),1,MATCH("S2 MEAN",WTPCore2_LevelValues,0))</f>
        <v>0.60669022375558512</v>
      </c>
      <c r="J55" s="16">
        <f ca="1">SUM(H55:I55)</f>
        <v>3.974683191460235</v>
      </c>
      <c r="K55" s="213">
        <f ca="1">E55*(F55-G55)</f>
        <v>173.6</v>
      </c>
      <c r="L55" s="429">
        <f ca="1">INDEX(INDIRECT("SSW_WTPCore_DCE_"&amp;$C55&amp;"_UnitValues"),MATCH("COMBINED-HH",WTPCore_Group,0),MATCH("MEAN",LMH,0))</f>
        <v>28.111247840776404</v>
      </c>
      <c r="M55" s="429">
        <f ca="1">L55*(F55-G55)*(AllProps_SSW/HHProps_SSW)</f>
        <v>0.79130635838150276</v>
      </c>
      <c r="N55" s="89">
        <f ca="1">INDEX(INDIRECT("SSW_WTPCore2_"&amp;$C55&amp;"_UnitValues"),1,MATCH("MEAN",LMH,0))</f>
        <v>141.20106972505607</v>
      </c>
      <c r="O55" s="429">
        <f ca="1">N55*($F55-$G55)*(AllProps_SSW/HHProps_SSW)</f>
        <v>3.9746831914602345</v>
      </c>
      <c r="P55" s="16">
        <f ca="1">K55*N$60/K$59</f>
        <v>4.5352325445239661</v>
      </c>
      <c r="Q55" s="377" t="s">
        <v>127</v>
      </c>
      <c r="R55" s="391">
        <f ca="1">P55*HHProps_SSW/((F55-G55)*AllProps_SSW)</f>
        <v>161.11464886422979</v>
      </c>
      <c r="S55" s="12">
        <f t="shared" ref="S55:T58" ca="1" si="44">INDEX(INDIRECT("CAM_WTPCore2_"&amp;$B55&amp;"_Levels"),1,MATCH(S$4,WTPCore2_AttLevels,0))</f>
        <v>2.2222222222222223E-2</v>
      </c>
      <c r="T55" s="12">
        <f t="shared" ca="1" si="44"/>
        <v>1.5384615384615385E-2</v>
      </c>
      <c r="U55" s="168">
        <f ca="1">INDEX(INDIRECT("CAM_WTPCore2_"&amp;$B55&amp;"_LevelValues"),1,MATCH("S1 MEAN",WTPCore2_LevelValues,0))</f>
        <v>3.1155463151224057</v>
      </c>
      <c r="V55" s="168">
        <f ca="1">INDEX(INDIRECT("CAM_WTPCore2_"&amp;$B55&amp;"_LevelValues"),1,MATCH("S2 MEAN",WTPCore2_LevelValues,0))</f>
        <v>1.3419840000849801</v>
      </c>
      <c r="W55" s="168">
        <f ca="1">SUM(U55:V55)</f>
        <v>4.4575303152073857</v>
      </c>
      <c r="X55" s="386">
        <f ca="1">E55*(S55-T55)</f>
        <v>44.512820512820511</v>
      </c>
      <c r="Y55" s="429">
        <f ca="1">INDEX(INDIRECT("CAM_WTPCore_"&amp;$C55&amp;"_UnitValues"),MATCH("COMBINED-HH",WTPCore_Group,0),MATCH("MEAN",LMH,0))</f>
        <v>308.90334405201918</v>
      </c>
      <c r="Z55" s="429">
        <f ca="1">Y55*($S55-$T55)*(AllProps_CAM/HHProps_CAM)</f>
        <v>2.2457142857142856</v>
      </c>
      <c r="AA55" s="89">
        <f ca="1">INDEX(INDIRECT("CAM_WTPCore2_"&amp;$C55&amp;"_UnitValues"),1,MATCH("MEAN",LMH,0))</f>
        <v>613.1439022942551</v>
      </c>
      <c r="AB55" s="429">
        <f ca="1">AA55*($S55-$T55)*(AllProps_CAM/HHProps_CAM)</f>
        <v>4.4575303152073857</v>
      </c>
      <c r="AC55" s="168">
        <f ca="1">X55*AA$60/X$59</f>
        <v>5.770978778898999</v>
      </c>
      <c r="AD55" s="243" t="str">
        <f>Q55</f>
        <v>Property affected</v>
      </c>
      <c r="AE55" s="391">
        <f ca="1">(AC55*HHProps_CAM)/((S55-T55)*AllProps_CAM)</f>
        <v>793.81186404490938</v>
      </c>
    </row>
    <row r="56" spans="1:31" x14ac:dyDescent="0.35">
      <c r="A56" s="7" t="s">
        <v>876</v>
      </c>
      <c r="B56" s="7" t="s">
        <v>138</v>
      </c>
      <c r="C56" s="7" t="s">
        <v>1007</v>
      </c>
      <c r="D56" s="377" t="s">
        <v>127</v>
      </c>
      <c r="E56" s="124">
        <f ca="1">INDEX(INDIRECT("ExtWTP_"&amp;$C56&amp;"_UnitValues"),MATCH(A$54, INDIRECT("ExtWTP_Comps_"&amp;C56),0),MATCH("HH",ExtWTP_Group,0))</f>
        <v>790</v>
      </c>
      <c r="F56" s="383">
        <f t="shared" ca="1" si="43"/>
        <v>1.4285714285714285E-2</v>
      </c>
      <c r="G56" s="383">
        <f t="shared" ca="1" si="43"/>
        <v>9.5238095238095247E-3</v>
      </c>
      <c r="H56" s="16">
        <f ca="1">INDEX(INDIRECT("SSW_WTPCore2_"&amp;$B56&amp;"_LevelValues"),1,MATCH("S1 MEAN",WTPCore2_LevelValues,0))</f>
        <v>0.39718669024665654</v>
      </c>
      <c r="I56" s="16">
        <f ca="1">INDEX(INDIRECT("SSW_WTPCore2_"&amp;$B56&amp;"_LevelValues"),1,MATCH("S2 MEAN",WTPCore2_LevelValues,0))</f>
        <v>0.53859352958370721</v>
      </c>
      <c r="J56" s="16">
        <f ca="1">SUM(H56:I56)</f>
        <v>0.93578021983036375</v>
      </c>
      <c r="K56" s="213">
        <f ca="1">E56*(F56-G56)</f>
        <v>3.761904761904761</v>
      </c>
      <c r="L56" s="429">
        <f ca="1">INDEX(INDIRECT("SSW_WTPCore_DCE_"&amp;$B56&amp;"_UnitValues"),MATCH("COMBINED-HH",WTPCore_Group,0),MATCH("MEAN",LMH,0))</f>
        <v>162.10819588181059</v>
      </c>
      <c r="M56" s="429">
        <f ca="1">L56*($F56-$G56)*(AllProps_SSW/HHProps_SSW)</f>
        <v>0.8148571428571425</v>
      </c>
      <c r="N56" s="89">
        <f ca="1">INDEX(INDIRECT("SSW_WTPCore2_"&amp;$B56&amp;"_UnitValues"),1,MATCH("MEAN",LMH,0))</f>
        <v>186.16470937063306</v>
      </c>
      <c r="O56" s="429">
        <f ca="1">N56*($F56-$G56)*(AllProps_SSW/HHProps_SSW)</f>
        <v>0.93578021983036375</v>
      </c>
      <c r="P56" s="16">
        <f t="shared" ref="P56:P58" ca="1" si="45">K56*N$60/K$59</f>
        <v>9.8278300147408723E-2</v>
      </c>
      <c r="Q56" s="377" t="s">
        <v>127</v>
      </c>
      <c r="R56" s="391">
        <f ca="1">P56*HHProps_SSW/((F56-G56)*AllProps_SSW)</f>
        <v>19.551547250805154</v>
      </c>
      <c r="S56" s="12">
        <f t="shared" ca="1" si="44"/>
        <v>2.5000000000000001E-2</v>
      </c>
      <c r="T56" s="12">
        <f t="shared" ca="1" si="44"/>
        <v>1.6666666666666666E-2</v>
      </c>
      <c r="U56" s="168">
        <f ca="1">INDEX(INDIRECT("CAM_WTPCore2_"&amp;$B56&amp;"_LevelValues"),1,MATCH("S1 MEAN",WTPCore2_LevelValues,0))</f>
        <v>5.3490671066612649E-2</v>
      </c>
      <c r="V56" s="168">
        <f ca="1">INDEX(INDIRECT("CAM_WTPCore2_"&amp;$B56&amp;"_LevelValues"),1,MATCH("S2 MEAN",WTPCore2_LevelValues,0))</f>
        <v>0.33457681646237136</v>
      </c>
      <c r="W56" s="168">
        <f t="shared" ref="W56:W58" ca="1" si="46">SUM(U56:V56)</f>
        <v>0.38806748752898401</v>
      </c>
      <c r="X56" s="386">
        <f ca="1">E56*(S56-T56)</f>
        <v>6.5833333333333348</v>
      </c>
      <c r="Y56" s="429">
        <f ca="1">INDEX(INDIRECT("CAM_WTPCore_"&amp;$B56&amp;"_UnitValues"),MATCH("COMBINED-HH",WTPCore_Group,0),MATCH("MEAN",LMH,0))</f>
        <v>28.26566546881222</v>
      </c>
      <c r="Z56" s="429">
        <f ca="1">Y56*($S56-$T56)*(AllProps_CAM/HHProps_CAM)</f>
        <v>0.25044117647058828</v>
      </c>
      <c r="AA56" s="89">
        <f ca="1">INDEX(INDIRECT("CAM_WTPCore2_"&amp;$B56&amp;"_UnitValues"),1,MATCH("MEAN",LMH,0))</f>
        <v>43.79865138952065</v>
      </c>
      <c r="AB56" s="429">
        <f ca="1">AA56*($S56-$T56)*(AllProps_CAM/HHProps_CAM)</f>
        <v>0.3880674875289839</v>
      </c>
      <c r="AC56" s="168">
        <f t="shared" ref="AC56:AC58" ca="1" si="47">X56*AA$60/X$59</f>
        <v>0.85351313449442301</v>
      </c>
      <c r="AD56" s="243" t="str">
        <f>Q56</f>
        <v>Property affected</v>
      </c>
      <c r="AE56" s="391">
        <f ca="1">(AC56*HHProps_CAM)/((S56-T56)*AllProps_CAM)</f>
        <v>96.330471980872261</v>
      </c>
    </row>
    <row r="57" spans="1:31" x14ac:dyDescent="0.35">
      <c r="A57" s="7" t="s">
        <v>1010</v>
      </c>
      <c r="B57" s="7" t="s">
        <v>144</v>
      </c>
      <c r="C57" s="7" t="str">
        <f>B57</f>
        <v>TempBan</v>
      </c>
      <c r="D57" s="377" t="s">
        <v>127</v>
      </c>
      <c r="E57" s="124">
        <f ca="1">INDEX(INDIRECT("ExtWTP_"&amp;$C57&amp;"_UnitValues"),MATCH(A$54, INDIRECT("ExtWTP_Comps_"&amp;C57),0),MATCH("HH",ExtWTP_Group,0))</f>
        <v>0</v>
      </c>
      <c r="F57" s="383">
        <f t="shared" ca="1" si="43"/>
        <v>2.5000000000000001E-2</v>
      </c>
      <c r="G57" s="383">
        <f t="shared" ca="1" si="43"/>
        <v>1.5384615384615385E-2</v>
      </c>
      <c r="H57" s="16">
        <f ca="1">INDEX(INDIRECT("SSW_WTPCore2_"&amp;$B57&amp;"_LevelValues"),1,MATCH("S1 MEAN",WTPCore2_LevelValues,0))</f>
        <v>0.4084226191643695</v>
      </c>
      <c r="I57" s="16">
        <f ca="1">INDEX(INDIRECT("SSW_WTPCore2_"&amp;$B57&amp;"_LevelValues"),1,MATCH("S2 MEAN",WTPCore2_LevelValues,0))</f>
        <v>0.28250000903457151</v>
      </c>
      <c r="J57" s="16">
        <f ca="1">SUM(H57:I57)</f>
        <v>0.69092262819894101</v>
      </c>
      <c r="K57" s="213">
        <f ca="1">E57*(F57-G57)</f>
        <v>0</v>
      </c>
      <c r="L57" s="605">
        <f t="shared" ref="L57:L58" ca="1" si="48">INDEX(INDIRECT("SSW_WTPCore_DCE_"&amp;$C57&amp;"_UnitValues"),MATCH("COMBINED-HH",WTPCore_Group,0),MATCH("MEAN",LMH,0))</f>
        <v>245983.27199999994</v>
      </c>
      <c r="M57" s="429">
        <f ca="1">L57*(F57-G57)/HHProps_SSW*100</f>
        <v>0.43846153846153846</v>
      </c>
      <c r="N57" s="245">
        <f t="shared" ref="N57:N58" ca="1" si="49">INDEX(INDIRECT("SSW_WTPCore2_"&amp;$C57&amp;"_UnitValues"),1,MATCH("MEAN",LMH,0))</f>
        <v>387617.59897926223</v>
      </c>
      <c r="O57" s="429">
        <f ca="1">N57*(F57-G57)/HHProps_SSW*100</f>
        <v>0.69092262819894101</v>
      </c>
      <c r="P57" s="16">
        <f ca="1">K57*N$60/K$59</f>
        <v>0</v>
      </c>
      <c r="Q57" s="477" t="s">
        <v>145</v>
      </c>
      <c r="R57" s="391">
        <f ca="1">P57*HHProps_SSW/((F57-G57)*100)</f>
        <v>0</v>
      </c>
      <c r="S57" s="12">
        <f t="shared" ca="1" si="44"/>
        <v>0.05</v>
      </c>
      <c r="T57" s="12">
        <f t="shared" ca="1" si="44"/>
        <v>3.3333333333333333E-2</v>
      </c>
      <c r="U57" s="168">
        <f ca="1">INDEX(INDIRECT("CAM_WTPCore2_"&amp;$B57&amp;"_LevelValues"),1,MATCH("S1 MEAN",WTPCore2_LevelValues,0))</f>
        <v>0.15591350717379643</v>
      </c>
      <c r="V57" s="168">
        <f ca="1">INDEX(INDIRECT("CAM_WTPCore2_"&amp;$B57&amp;"_LevelValues"),1,MATCH("S2 MEAN",WTPCore2_LevelValues,0))</f>
        <v>5.0130987785217407E-2</v>
      </c>
      <c r="W57" s="168">
        <f t="shared" ca="1" si="46"/>
        <v>0.20604449495901384</v>
      </c>
      <c r="X57" s="386">
        <f ca="1">E57*(S57-T57)</f>
        <v>0</v>
      </c>
      <c r="Y57" s="605">
        <f ca="1">INDEX(INDIRECT("CAM_WTPCore_"&amp;$C57&amp;"_UnitValues"),MATCH("COMBINED-HH",WTPCore_Group,0),MATCH("MEAN",LMH,0))</f>
        <v>469608.19199999986</v>
      </c>
      <c r="Z57" s="429">
        <f ca="1">Y57*(S57-T57)/HHProps_CAM*100</f>
        <v>5.76</v>
      </c>
      <c r="AA57" s="245">
        <f ca="1">INDEX(INDIRECT("CAM_WTPCore2_"&amp;$C57&amp;"_UnitValues"),1,MATCH("MEAN",LMH,0))</f>
        <v>16798.64283841243</v>
      </c>
      <c r="AB57" s="429">
        <f ca="1">AA57*(S57-T57)/HHProps_CAM*100</f>
        <v>0.20604449495901386</v>
      </c>
      <c r="AC57" s="168">
        <f t="shared" ca="1" si="47"/>
        <v>0</v>
      </c>
      <c r="AD57" s="243" t="str">
        <f>Q57</f>
        <v>1% change in risk</v>
      </c>
      <c r="AE57" s="391">
        <f ca="1">(AC57*HHProps_CAM)/((S57-T57)*100)</f>
        <v>0</v>
      </c>
    </row>
    <row r="58" spans="1:31" x14ac:dyDescent="0.35">
      <c r="A58" s="7" t="s">
        <v>929</v>
      </c>
      <c r="B58" s="7" t="s">
        <v>140</v>
      </c>
      <c r="C58" s="7" t="str">
        <f>B58</f>
        <v>LowPressure</v>
      </c>
      <c r="D58" s="377" t="s">
        <v>127</v>
      </c>
      <c r="E58" s="124">
        <f ca="1">INDEX(INDIRECT("ExtWTP_"&amp;$C58&amp;"_UnitValues"),MATCH(A$54, INDIRECT("ExtWTP_Comps_"&amp;C58),0),MATCH("HH",ExtWTP_Group,0))</f>
        <v>560</v>
      </c>
      <c r="F58" s="383">
        <f t="shared" ca="1" si="43"/>
        <v>0.1</v>
      </c>
      <c r="G58" s="383">
        <f t="shared" ca="1" si="43"/>
        <v>6.6666666666666666E-2</v>
      </c>
      <c r="H58" s="16">
        <f ca="1">INDEX(INDIRECT("SSW_WTPCore2_"&amp;$B58&amp;"_LevelValues"),1,MATCH("S1 MEAN",WTPCore2_LevelValues,0))</f>
        <v>0.78010561855806027</v>
      </c>
      <c r="I58" s="16">
        <f ca="1">INDEX(INDIRECT("SSW_WTPCore2_"&amp;$B58&amp;"_LevelValues"),1,MATCH("S2 MEAN",WTPCore2_LevelValues,0))</f>
        <v>0.37050953266002729</v>
      </c>
      <c r="J58" s="16">
        <f ca="1">SUM(H58:I58)</f>
        <v>1.1506151512180876</v>
      </c>
      <c r="K58" s="213">
        <f ca="1">E58*(F58-G58)</f>
        <v>18.666666666666671</v>
      </c>
      <c r="L58" s="429">
        <f t="shared" ca="1" si="48"/>
        <v>41.08733075345431</v>
      </c>
      <c r="M58" s="429">
        <f ca="1">L58*(F58-G58)*(AllProps_SSW/HHProps_SSW)</f>
        <v>1.4457142857142862</v>
      </c>
      <c r="N58" s="89">
        <f t="shared" ca="1" si="49"/>
        <v>32.700586661683175</v>
      </c>
      <c r="O58" s="429">
        <f ca="1">N58*($F58-$G58)*(AllProps_SSW/HHProps_SSW)</f>
        <v>1.1506151512180876</v>
      </c>
      <c r="P58" s="16">
        <f t="shared" ca="1" si="45"/>
        <v>0.48765941338967395</v>
      </c>
      <c r="Q58" s="377" t="s">
        <v>127</v>
      </c>
      <c r="R58" s="391">
        <f ca="1">P58*HHProps_SSW/((F58-G58)*AllProps_SSW)</f>
        <v>13.859324633482137</v>
      </c>
      <c r="S58" s="12">
        <f t="shared" ca="1" si="44"/>
        <v>9.0909090909090912E-2</v>
      </c>
      <c r="T58" s="12">
        <f t="shared" ca="1" si="44"/>
        <v>6.6666666666666666E-2</v>
      </c>
      <c r="U58" s="168">
        <f ca="1">INDEX(INDIRECT("CAM_WTPCore2_"&amp;$B58&amp;"_LevelValues"),1,MATCH("S1 MEAN",WTPCore2_LevelValues,0))</f>
        <v>2.1416418362159599</v>
      </c>
      <c r="V58" s="168">
        <f ca="1">INDEX(INDIRECT("CAM_WTPCore2_"&amp;$B58&amp;"_LevelValues"),1,MATCH("S2 MEAN",WTPCore2_LevelValues,0))</f>
        <v>0.84070533256091329</v>
      </c>
      <c r="W58" s="168">
        <f t="shared" ca="1" si="46"/>
        <v>2.9823471687768732</v>
      </c>
      <c r="X58" s="386">
        <f ca="1">E58*(S58-T58)</f>
        <v>13.575757575757578</v>
      </c>
      <c r="Y58" s="429">
        <f ca="1">INDEX(INDIRECT("CAM_WTPCore_"&amp;$B58&amp;"_UnitValues"),MATCH("COMBINED-HH",WTPCore_Group,0),MATCH("MEAN",LMH,0))</f>
        <v>18.582387891224172</v>
      </c>
      <c r="Z58" s="429">
        <f ca="1">Y58*($S58-$T58)*(AllProps_CAM/HHProps_CAM)</f>
        <v>0.47896671634376553</v>
      </c>
      <c r="AA58" s="89">
        <f ca="1">INDEX(INDIRECT("CAM_WTPCore2_"&amp;$B58&amp;"_UnitValues"),1,MATCH("MEAN",LMH,0))</f>
        <v>115.70560129846363</v>
      </c>
      <c r="AB58" s="429">
        <f ca="1">AA58*($S58-$T58)*(AllProps_CAM/HHProps_CAM)</f>
        <v>2.9823471687768732</v>
      </c>
      <c r="AC58" s="168">
        <f t="shared" ca="1" si="47"/>
        <v>1.7600639091070263</v>
      </c>
      <c r="AD58" s="243" t="str">
        <f>Q58</f>
        <v>Property affected</v>
      </c>
      <c r="AE58" s="391">
        <f ca="1">(AC58*HHProps_CAM)/((S58-T58)*AllProps_CAM)</f>
        <v>68.284891530744886</v>
      </c>
    </row>
    <row r="59" spans="1:31" x14ac:dyDescent="0.35">
      <c r="D59" s="377"/>
      <c r="E59" s="124"/>
      <c r="F59" s="383"/>
      <c r="G59" s="383"/>
      <c r="H59" s="16"/>
      <c r="I59" s="16"/>
      <c r="J59" s="330">
        <f ca="1">SUM(J55:J58)</f>
        <v>6.7520011907076274</v>
      </c>
      <c r="K59" s="331">
        <f ca="1">SUM(K55:K58)</f>
        <v>196.02857142857141</v>
      </c>
      <c r="L59" s="331"/>
      <c r="M59" s="331">
        <f ca="1">SUM(M55:M58)</f>
        <v>3.4903393254144697</v>
      </c>
      <c r="N59" s="331"/>
      <c r="O59" s="223">
        <f ca="1">SUM(O55:O58)</f>
        <v>6.7520011907076274</v>
      </c>
      <c r="P59" s="330">
        <f ca="1">SUM(P55:P58)</f>
        <v>5.1211702580610492</v>
      </c>
      <c r="Q59" s="31"/>
      <c r="R59" s="469"/>
      <c r="S59" s="12"/>
      <c r="T59" s="12"/>
      <c r="U59" s="168"/>
      <c r="V59" s="168"/>
      <c r="W59" s="44">
        <f ca="1">SUM(W55:W58)</f>
        <v>8.0339894664722564</v>
      </c>
      <c r="X59" s="389">
        <f ca="1">SUM(X55:X58)</f>
        <v>64.671911421911432</v>
      </c>
      <c r="Y59" s="389"/>
      <c r="Z59" s="389">
        <f ca="1">SUM(Z55:Z58)</f>
        <v>8.7351221785286395</v>
      </c>
      <c r="AA59" s="389"/>
      <c r="AB59" s="222">
        <f ca="1">SUM(AB55:AB58)</f>
        <v>8.0339894664722564</v>
      </c>
      <c r="AC59" s="44">
        <f ca="1">SUM(AC55:AC58)</f>
        <v>8.3845558225004488</v>
      </c>
      <c r="AE59" s="391"/>
    </row>
    <row r="60" spans="1:31" x14ac:dyDescent="0.35">
      <c r="A60" s="50"/>
      <c r="B60" s="50"/>
      <c r="C60" s="50"/>
      <c r="D60" s="379"/>
      <c r="E60" s="14"/>
      <c r="F60" s="384"/>
      <c r="G60" s="384"/>
      <c r="H60" s="384"/>
      <c r="I60" s="384"/>
      <c r="J60" s="384"/>
      <c r="K60" s="25"/>
      <c r="L60" s="25"/>
      <c r="M60" s="39" t="s">
        <v>361</v>
      </c>
      <c r="N60" s="546">
        <f ca="1">AVERAGE(M59,O59)</f>
        <v>5.1211702580610483</v>
      </c>
      <c r="O60" s="39"/>
      <c r="P60" s="11"/>
      <c r="Q60" s="50"/>
      <c r="R60" s="467"/>
      <c r="S60" s="13"/>
      <c r="T60" s="13"/>
      <c r="U60" s="13"/>
      <c r="V60" s="13"/>
      <c r="W60" s="13"/>
      <c r="X60" s="25"/>
      <c r="Y60" s="25"/>
      <c r="Z60" s="390" t="s">
        <v>361</v>
      </c>
      <c r="AA60" s="546">
        <f ca="1">AVERAGE(Z59,AB59)</f>
        <v>8.3845558225004488</v>
      </c>
      <c r="AB60" s="390"/>
      <c r="AC60" s="11"/>
      <c r="AD60" s="50"/>
      <c r="AE60" s="392"/>
    </row>
    <row r="61" spans="1:31" x14ac:dyDescent="0.35">
      <c r="A61" s="51" t="s">
        <v>99</v>
      </c>
      <c r="B61" s="51"/>
      <c r="D61" s="378"/>
      <c r="E61" s="218"/>
      <c r="F61" s="218"/>
      <c r="G61" s="218"/>
      <c r="H61" s="330"/>
      <c r="I61" s="330"/>
      <c r="J61" s="330"/>
      <c r="K61" s="389"/>
      <c r="L61" s="389"/>
      <c r="M61" s="389"/>
      <c r="N61" s="389"/>
      <c r="O61" s="389"/>
      <c r="P61" s="45"/>
      <c r="Q61" s="193"/>
      <c r="R61" s="468"/>
      <c r="S61" s="45"/>
      <c r="T61" s="45"/>
      <c r="U61" s="44"/>
      <c r="V61" s="44"/>
      <c r="W61" s="44"/>
      <c r="X61" s="389"/>
      <c r="Y61" s="389"/>
      <c r="Z61" s="389"/>
      <c r="AA61" s="389"/>
      <c r="AB61" s="389"/>
      <c r="AC61" s="45"/>
      <c r="AE61" s="393"/>
    </row>
    <row r="62" spans="1:31" x14ac:dyDescent="0.35">
      <c r="A62" s="7" t="s">
        <v>855</v>
      </c>
      <c r="B62" s="7" t="s">
        <v>138</v>
      </c>
      <c r="C62" s="7" t="s">
        <v>1008</v>
      </c>
      <c r="D62" s="377" t="s">
        <v>127</v>
      </c>
      <c r="E62" s="124">
        <f ca="1">INDEX(INDIRECT("ExtWTP_"&amp;$C62&amp;"_UnitValues"),MATCH(A$61, INDIRECT("ExtWTP_Comps_"&amp;C62),0),MATCH("HH",ExtWTP_Group,0))</f>
        <v>1670</v>
      </c>
      <c r="F62" s="383">
        <f t="shared" ref="F62:G65" ca="1" si="50">INDEX(INDIRECT("SSW_WTPCore2_"&amp;$B62&amp;"_Levels"),1,MATCH(F$4,WTPCore2_AttLevels,0))</f>
        <v>1.4285714285714285E-2</v>
      </c>
      <c r="G62" s="383">
        <f t="shared" ca="1" si="50"/>
        <v>9.5238095238095247E-3</v>
      </c>
      <c r="H62" s="16">
        <f ca="1">INDEX(INDIRECT("SSW_WTPCore2_"&amp;$B62&amp;"_LevelValues"),1,MATCH("S1 MEAN",WTPCore2_LevelValues,0))</f>
        <v>0.39718669024665654</v>
      </c>
      <c r="I62" s="16">
        <f ca="1">INDEX(INDIRECT("SSW_WTPCore2_"&amp;$B62&amp;"_LevelValues"),1,MATCH("S2 MEAN",WTPCore2_LevelValues,0))</f>
        <v>0.53859352958370721</v>
      </c>
      <c r="J62" s="16">
        <f ca="1">SUM(H62:I62)</f>
        <v>0.93578021983036375</v>
      </c>
      <c r="K62" s="213">
        <f ca="1">E62*(F62-G62)</f>
        <v>7.9523809523809499</v>
      </c>
      <c r="L62" s="429">
        <f ca="1">INDEX(INDIRECT("SSW_WTPCore_DCE_"&amp;$B62&amp;"_UnitValues"),MATCH("COMBINED-HH",WTPCore_Group,0),MATCH("MEAN",LMH,0))</f>
        <v>162.10819588181059</v>
      </c>
      <c r="M62" s="429">
        <f ca="1">L62*($F62-$G62)*(AllProps_SSW/HHProps_SSW)</f>
        <v>0.8148571428571425</v>
      </c>
      <c r="N62" s="89">
        <f ca="1">INDEX(INDIRECT("SSW_WTPCore2_"&amp;$B62&amp;"_UnitValues"),1,MATCH("MEAN",LMH,0))</f>
        <v>186.16470937063306</v>
      </c>
      <c r="O62" s="429">
        <f ca="1">N62*($F62-$G62)*(AllProps_SSW/HHProps_SSW)</f>
        <v>0.93578021983036375</v>
      </c>
      <c r="P62" s="16">
        <f ca="1">K62*N$67/K$66</f>
        <v>2.0268515397458513</v>
      </c>
      <c r="Q62" s="377" t="s">
        <v>127</v>
      </c>
      <c r="R62" s="471">
        <f ca="1">P62*HHProps_SSW/((F62-G62)*AllProps_SSW)</f>
        <v>403.22312850618681</v>
      </c>
      <c r="S62" s="12">
        <f t="shared" ref="S62:T65" ca="1" si="51">INDEX(INDIRECT("CAM_WTPCore2_"&amp;$B62&amp;"_Levels"),1,MATCH(S$4,WTPCore2_AttLevels,0))</f>
        <v>2.5000000000000001E-2</v>
      </c>
      <c r="T62" s="12">
        <f t="shared" ca="1" si="51"/>
        <v>1.6666666666666666E-2</v>
      </c>
      <c r="U62" s="168">
        <f ca="1">INDEX(INDIRECT("CAM_WTPCore2_"&amp;$B62&amp;"_LevelValues"),1,MATCH("S1 MEAN",WTPCore2_LevelValues,0))</f>
        <v>5.3490671066612649E-2</v>
      </c>
      <c r="V62" s="168">
        <f ca="1">INDEX(INDIRECT("CAM_WTPCore2_"&amp;$B62&amp;"_LevelValues"),1,MATCH("S2 MEAN",WTPCore2_LevelValues,0))</f>
        <v>0.33457681646237136</v>
      </c>
      <c r="W62" s="168">
        <f ca="1">SUM(U62:V62)</f>
        <v>0.38806748752898401</v>
      </c>
      <c r="X62" s="386">
        <f ca="1">E62*(S62-T62)</f>
        <v>13.91666666666667</v>
      </c>
      <c r="Y62" s="429">
        <f ca="1">INDEX(INDIRECT("CAM_WTPCore_"&amp;$B62&amp;"_UnitValues"),MATCH("COMBINED-HH",WTPCore_Group,0),MATCH("MEAN",LMH,0))</f>
        <v>28.26566546881222</v>
      </c>
      <c r="Z62" s="429">
        <f ca="1">Y62*($S62-$T62)*(AllProps_CAM/HHProps_CAM)</f>
        <v>0.25044117647058828</v>
      </c>
      <c r="AA62" s="89">
        <f ca="1">INDEX(INDIRECT("CAM_WTPCore2_"&amp;$B62&amp;"_UnitValues"),1,MATCH("MEAN",LMH,0))</f>
        <v>43.79865138952065</v>
      </c>
      <c r="AB62" s="429">
        <f ca="1">AA62*($S62-$T62)*(AllProps_CAM/HHProps_CAM)</f>
        <v>0.3880674875289839</v>
      </c>
      <c r="AC62" s="168">
        <f ca="1">X62*AA$67/X$66</f>
        <v>5.08401775117642</v>
      </c>
      <c r="AD62" s="243" t="str">
        <f>Q62</f>
        <v>Property affected</v>
      </c>
      <c r="AE62" s="391">
        <f ca="1">(AC62*HHProps_CAM)/((S62-T62)*AllProps_CAM)</f>
        <v>573.79999174829027</v>
      </c>
    </row>
    <row r="63" spans="1:31" x14ac:dyDescent="0.35">
      <c r="A63" s="7" t="s">
        <v>1010</v>
      </c>
      <c r="B63" s="7" t="s">
        <v>144</v>
      </c>
      <c r="C63" s="7" t="str">
        <f>B63</f>
        <v>TempBan</v>
      </c>
      <c r="D63" s="377" t="s">
        <v>127</v>
      </c>
      <c r="E63" s="124">
        <f ca="1">INDEX(INDIRECT("ExtWTP_"&amp;$C63&amp;"_UnitValues"),MATCH(A$61, INDIRECT("ExtWTP_Comps_"&amp;C63),0),MATCH("HH",ExtWTP_Group,0))</f>
        <v>123</v>
      </c>
      <c r="F63" s="383">
        <f t="shared" ca="1" si="50"/>
        <v>2.5000000000000001E-2</v>
      </c>
      <c r="G63" s="383">
        <f t="shared" ca="1" si="50"/>
        <v>1.5384615384615385E-2</v>
      </c>
      <c r="H63" s="16">
        <f ca="1">INDEX(INDIRECT("SSW_WTPCore2_"&amp;$B63&amp;"_LevelValues"),1,MATCH("S1 MEAN",WTPCore2_LevelValues,0))</f>
        <v>0.4084226191643695</v>
      </c>
      <c r="I63" s="16">
        <f ca="1">INDEX(INDIRECT("SSW_WTPCore2_"&amp;$B63&amp;"_LevelValues"),1,MATCH("S2 MEAN",WTPCore2_LevelValues,0))</f>
        <v>0.28250000903457151</v>
      </c>
      <c r="J63" s="16">
        <f ca="1">SUM(H63:I63)</f>
        <v>0.69092262819894101</v>
      </c>
      <c r="K63" s="213">
        <f ca="1">E63*(F63-G63)</f>
        <v>1.1826923076923077</v>
      </c>
      <c r="L63" s="605">
        <f t="shared" ref="L63:L65" ca="1" si="52">INDEX(INDIRECT("SSW_WTPCore_DCE_"&amp;$C63&amp;"_UnitValues"),MATCH("COMBINED-HH",WTPCore_Group,0),MATCH("MEAN",LMH,0))</f>
        <v>245983.27199999994</v>
      </c>
      <c r="M63" s="429">
        <f ca="1">L63*(F63-G63)/HHProps_SSW*100</f>
        <v>0.43846153846153846</v>
      </c>
      <c r="N63" s="245">
        <f t="shared" ref="N63:N65" ca="1" si="53">INDEX(INDIRECT("SSW_WTPCore2_"&amp;$C63&amp;"_UnitValues"),1,MATCH("MEAN",LMH,0))</f>
        <v>387617.59897926223</v>
      </c>
      <c r="O63" s="429">
        <f ca="1">N63*(F63-G63)/HHProps_SSW*100</f>
        <v>0.69092262819894101</v>
      </c>
      <c r="P63" s="16">
        <f t="shared" ref="P63:P65" ca="1" si="54">K63*N$67/K$66</f>
        <v>0.30143698336961866</v>
      </c>
      <c r="Q63" s="477" t="s">
        <v>145</v>
      </c>
      <c r="R63" s="391">
        <f ca="1">P63*HHProps_SSW/((F63-G63)*100)</f>
        <v>169110.51247787525</v>
      </c>
      <c r="S63" s="12">
        <f t="shared" ca="1" si="51"/>
        <v>0.05</v>
      </c>
      <c r="T63" s="12">
        <f t="shared" ca="1" si="51"/>
        <v>3.3333333333333333E-2</v>
      </c>
      <c r="U63" s="168">
        <f ca="1">INDEX(INDIRECT("CAM_WTPCore2_"&amp;$B63&amp;"_LevelValues"),1,MATCH("S1 MEAN",WTPCore2_LevelValues,0))</f>
        <v>0.15591350717379643</v>
      </c>
      <c r="V63" s="168">
        <f ca="1">INDEX(INDIRECT("CAM_WTPCore2_"&amp;$B63&amp;"_LevelValues"),1,MATCH("S2 MEAN",WTPCore2_LevelValues,0))</f>
        <v>5.0130987785217407E-2</v>
      </c>
      <c r="W63" s="168">
        <f t="shared" ref="W63:W65" ca="1" si="55">SUM(U63:V63)</f>
        <v>0.20604449495901384</v>
      </c>
      <c r="X63" s="386">
        <f ca="1">E63*(S63-T63)</f>
        <v>2.0500000000000003</v>
      </c>
      <c r="Y63" s="605">
        <f ca="1">INDEX(INDIRECT("CAM_WTPCore_"&amp;$C63&amp;"_UnitValues"),MATCH("COMBINED-HH",WTPCore_Group,0),MATCH("MEAN",LMH,0))</f>
        <v>469608.19199999986</v>
      </c>
      <c r="Z63" s="429">
        <f ca="1">Y63*(S63-T63)/HHProps_CAM*100</f>
        <v>5.76</v>
      </c>
      <c r="AA63" s="245">
        <f ca="1">INDEX(INDIRECT("CAM_WTPCore2_"&amp;$C63&amp;"_UnitValues"),1,MATCH("MEAN",LMH,0))</f>
        <v>16798.64283841243</v>
      </c>
      <c r="AB63" s="429">
        <f ca="1">AA63*(S63-T63)/HHProps_CAM*100</f>
        <v>0.20604449495901386</v>
      </c>
      <c r="AC63" s="168">
        <f t="shared" ref="AC63:AC65" ca="1" si="56">X63*AA$67/X$66</f>
        <v>0.74890321364634693</v>
      </c>
      <c r="AD63" s="243" t="str">
        <f>Q63</f>
        <v>1% change in risk</v>
      </c>
      <c r="AE63" s="391">
        <f ca="1">(AC63*HHProps_CAM)/((S63-T63)*100)</f>
        <v>61057.479886015739</v>
      </c>
    </row>
    <row r="64" spans="1:31" x14ac:dyDescent="0.35">
      <c r="A64" s="7" t="s">
        <v>949</v>
      </c>
      <c r="B64" s="7" t="s">
        <v>136</v>
      </c>
      <c r="C64" s="7" t="str">
        <f>B64</f>
        <v>Hardness</v>
      </c>
      <c r="D64" s="377" t="s">
        <v>127</v>
      </c>
      <c r="E64" s="124">
        <f ca="1">INDEX(INDIRECT("ExtWTP_"&amp;$C64&amp;"_UnitValues"),MATCH(A$61, INDIRECT("ExtWTP_Comps_"&amp;C64),0),MATCH("HH",ExtWTP_Group,0))</f>
        <v>7</v>
      </c>
      <c r="F64" s="444">
        <f t="shared" ca="1" si="50"/>
        <v>0</v>
      </c>
      <c r="G64" s="444">
        <f t="shared" ca="1" si="50"/>
        <v>4000</v>
      </c>
      <c r="H64" s="16">
        <f ca="1">INDEX(INDIRECT("SSW_WTPCore2_"&amp;$B64&amp;"_LevelValues"),1,MATCH("S1 MEAN",WTPCore2_LevelValues,0))</f>
        <v>5.2894480160712298</v>
      </c>
      <c r="I64" s="16">
        <f ca="1">INDEX(INDIRECT("SSW_WTPCore2_"&amp;$B64&amp;"_LevelValues"),1,MATCH("S2 MEAN",WTPCore2_LevelValues,0))</f>
        <v>0.60625599239311434</v>
      </c>
      <c r="J64" s="16">
        <f ca="1">SUM(H64:I64)</f>
        <v>5.8957040084643442</v>
      </c>
      <c r="K64" s="213">
        <f ca="1">-E64*(F64-G64)/HHProps_SSW</f>
        <v>5.19059686302571E-2</v>
      </c>
      <c r="L64" s="429">
        <f t="shared" ca="1" si="52"/>
        <v>6.1861063528998557</v>
      </c>
      <c r="M64" s="429">
        <f ca="1">-L64*(F64-G64)/HHProps_SSW</f>
        <v>4.5870834613864868E-2</v>
      </c>
      <c r="N64" s="89">
        <f t="shared" ca="1" si="53"/>
        <v>795.09022080349519</v>
      </c>
      <c r="O64" s="429">
        <f ca="1">-N64*(F64-G64)/HHProps_SSW</f>
        <v>5.8957040084643442</v>
      </c>
      <c r="P64" s="16">
        <f t="shared" ca="1" si="54"/>
        <v>1.3229458330808184E-2</v>
      </c>
      <c r="Q64" s="377" t="s">
        <v>127</v>
      </c>
      <c r="R64" s="471">
        <f ca="1">-P64*HHProps_SSW/((F64-G64))</f>
        <v>1.7841148283990436</v>
      </c>
      <c r="S64" s="460">
        <f t="shared" ca="1" si="51"/>
        <v>0</v>
      </c>
      <c r="T64" s="460">
        <f t="shared" ca="1" si="51"/>
        <v>1350</v>
      </c>
      <c r="U64" s="168">
        <f ca="1">INDEX(INDIRECT("CAM_WTPCore2_"&amp;$B64&amp;"_LevelValues"),1,MATCH("S1 MEAN",WTPCore2_LevelValues,0))</f>
        <v>2.6407734226292283</v>
      </c>
      <c r="V64" s="168">
        <f ca="1">INDEX(INDIRECT("CAM_WTPCore2_"&amp;$B64&amp;"_LevelValues"),1,MATCH("S2 MEAN",WTPCore2_LevelValues,0))</f>
        <v>0.50756688037153719</v>
      </c>
      <c r="W64" s="168">
        <f t="shared" ca="1" si="55"/>
        <v>3.1483403030007655</v>
      </c>
      <c r="X64" s="386">
        <f ca="1">-E64*(S64-T64)/HHProps_CAM</f>
        <v>6.9545635183468013E-2</v>
      </c>
      <c r="Y64" s="429">
        <f t="shared" ref="Y64" ca="1" si="57">INDEX(INDIRECT("CAM_WTPCore_"&amp;$C64&amp;"_UnitValues"),MATCH("COMBINED-HH",WTPCore_Group,0),MATCH("MEAN",LMH,0))</f>
        <v>5.6902010050251253</v>
      </c>
      <c r="Z64" s="429">
        <f ca="1">-Y64*(S64-T64)/HHProps_CAM</f>
        <v>5.653266331658291E-2</v>
      </c>
      <c r="AA64" s="89">
        <f t="shared" ref="AA64" ca="1" si="58">INDEX(INDIRECT("CAM_WTPCore2_"&amp;$C64&amp;"_UnitValues"),1,MATCH("MEAN",LMH,0))</f>
        <v>316.89094596470369</v>
      </c>
      <c r="AB64" s="429">
        <f ca="1">-AA64*(R64-T64)/HHProps_CAM</f>
        <v>3.1441795618011876</v>
      </c>
      <c r="AC64" s="168">
        <f t="shared" ca="1" si="56"/>
        <v>2.5406316919012507E-2</v>
      </c>
      <c r="AD64" s="243" t="str">
        <f>Q64</f>
        <v>Property affected</v>
      </c>
      <c r="AE64" s="471">
        <f ca="1">-(AC64*HHProps_CAM)/((S64-T64))</f>
        <v>2.5572304856216719</v>
      </c>
    </row>
    <row r="65" spans="1:31" x14ac:dyDescent="0.35">
      <c r="A65" s="7" t="s">
        <v>40</v>
      </c>
      <c r="B65" s="7" t="s">
        <v>40</v>
      </c>
      <c r="C65" s="7" t="s">
        <v>40</v>
      </c>
      <c r="D65" s="377" t="s">
        <v>728</v>
      </c>
      <c r="E65" s="124">
        <f ca="1">INDEX(INDIRECT("ExtWTP_"&amp;$C65&amp;"_UnitValues"),MATCH(A$61, INDIRECT("ExtWTP_Comps_"&amp;C65),0),MATCH("HH",ExtWTP_Group,0))</f>
        <v>247500</v>
      </c>
      <c r="F65" s="442">
        <f t="shared" ca="1" si="50"/>
        <v>70.5</v>
      </c>
      <c r="G65" s="442">
        <f t="shared" ca="1" si="50"/>
        <v>35.25</v>
      </c>
      <c r="H65" s="16">
        <f ca="1">INDEX(INDIRECT("SSW_WTPCore2_"&amp;$B65&amp;"_LevelValues"),1,MATCH("S1 MEAN",WTPCore2_LevelValues,0))</f>
        <v>1.2301339708448666</v>
      </c>
      <c r="I65" s="16">
        <f ca="1">INDEX(INDIRECT("SSW_WTPCore2_"&amp;$B65&amp;"_LevelValues"),1,MATCH("S2 MEAN",WTPCore2_LevelValues,0))</f>
        <v>0.44133293088857806</v>
      </c>
      <c r="J65" s="16">
        <f ca="1">SUM(H65:I65)</f>
        <v>1.6714669017334447</v>
      </c>
      <c r="K65" s="213">
        <f ca="1">E65*(F65-G65)/AllProps_SSW</f>
        <v>15.321376827501426</v>
      </c>
      <c r="L65" s="429">
        <f t="shared" ca="1" si="52"/>
        <v>30606.35460992908</v>
      </c>
      <c r="M65" s="429">
        <f ca="1">L65*(F65-G65)/HHProps_SSW</f>
        <v>2</v>
      </c>
      <c r="N65" s="89">
        <f t="shared" ca="1" si="53"/>
        <v>25578.754356606645</v>
      </c>
      <c r="O65" s="429">
        <f ca="1">N65*(F65-G65)/HHProps_SSW</f>
        <v>1.6714669017334447</v>
      </c>
      <c r="P65" s="16">
        <f t="shared" ca="1" si="54"/>
        <v>3.9050136556335411</v>
      </c>
      <c r="Q65" s="377" t="s">
        <v>728</v>
      </c>
      <c r="R65" s="391">
        <f ca="1">P65*HHProps_SSW/((F65-G65))</f>
        <v>59759.116350467812</v>
      </c>
      <c r="S65" s="443">
        <f t="shared" ca="1" si="51"/>
        <v>13.5</v>
      </c>
      <c r="T65" s="443">
        <f t="shared" ca="1" si="51"/>
        <v>6.75</v>
      </c>
      <c r="U65" s="168">
        <f ca="1">INDEX(INDIRECT("CAM_WTPCore2_"&amp;$B65&amp;"_LevelValues"),1,MATCH("S1 MEAN",WTPCore2_LevelValues,0))</f>
        <v>3.1349723048319831</v>
      </c>
      <c r="V65" s="168">
        <f ca="1">INDEX(INDIRECT("CAM_WTPCore2_"&amp;$B65&amp;"_LevelValues"),1,MATCH("S2 MEAN",WTPCore2_LevelValues,0))</f>
        <v>5.1405797633106154E-3</v>
      </c>
      <c r="W65" s="168">
        <f t="shared" ca="1" si="55"/>
        <v>3.1401128845952937</v>
      </c>
      <c r="X65" s="386">
        <f ca="1">E65*(S65-T65)/AllProps_CAM</f>
        <v>11.563499314755596</v>
      </c>
      <c r="Y65" s="429">
        <f ca="1">INDEX(INDIRECT("CAM_WTPCore_"&amp;$C65&amp;"_UnitValues"),MATCH("COMBINED-HH",WTPCore_Group,0),MATCH("MEAN",LMH,0))</f>
        <v>145343.41333333333</v>
      </c>
      <c r="Z65" s="429">
        <f ca="1">Y65*(S65-T65)/HHProps_CAM</f>
        <v>7.2200000000000006</v>
      </c>
      <c r="AA65" s="89">
        <f ca="1">INDEX(INDIRECT("CAM_WTPCore2_"&amp;$C65&amp;"_UnitValues"),1,MATCH("MEAN",LMH,0))</f>
        <v>63212.565775492993</v>
      </c>
      <c r="AB65" s="429">
        <f ca="1">AA65*(S65-T65)/HHProps_CAM</f>
        <v>3.1401128845952937</v>
      </c>
      <c r="AC65" s="168">
        <f t="shared" ca="1" si="56"/>
        <v>4.2243618525940461</v>
      </c>
      <c r="AD65" s="243" t="s">
        <v>728</v>
      </c>
      <c r="AE65" s="391">
        <f ca="1">AC65*HHProps_CAM/((S65-T65))</f>
        <v>85039.220333953213</v>
      </c>
    </row>
    <row r="66" spans="1:31" x14ac:dyDescent="0.35">
      <c r="D66" s="377"/>
      <c r="E66" s="124"/>
      <c r="F66" s="385"/>
      <c r="G66" s="385"/>
      <c r="H66" s="321"/>
      <c r="I66" s="321"/>
      <c r="J66" s="330">
        <f ca="1">SUM(J62:J65)</f>
        <v>9.1938737582270935</v>
      </c>
      <c r="K66" s="331">
        <f ca="1">SUM(K62:K65)</f>
        <v>24.508356056204939</v>
      </c>
      <c r="L66" s="331"/>
      <c r="M66" s="331">
        <f ca="1">SUM(M62:M65)</f>
        <v>3.2991895159325457</v>
      </c>
      <c r="N66" s="331"/>
      <c r="O66" s="331">
        <f ca="1">SUM(O62:O65)</f>
        <v>9.1938737582270935</v>
      </c>
      <c r="P66" s="330">
        <f ca="1">SUM(P62:P65)</f>
        <v>6.2465316370798192</v>
      </c>
      <c r="Q66" s="663"/>
      <c r="R66" s="666"/>
      <c r="S66" s="46"/>
      <c r="T66" s="46"/>
      <c r="U66" s="28"/>
      <c r="V66" s="28"/>
      <c r="W66" s="44">
        <f ca="1">SUM(W62:W65)</f>
        <v>6.8825651700840567</v>
      </c>
      <c r="X66" s="389">
        <f ca="1">SUM(X62:X65)</f>
        <v>27.599711616605735</v>
      </c>
      <c r="Y66" s="389"/>
      <c r="Z66" s="389">
        <f ca="1">SUM(Z62:Z65)</f>
        <v>13.286973839787171</v>
      </c>
      <c r="AA66" s="389"/>
      <c r="AB66" s="222">
        <f ca="1">SUM(AB62:AB65)</f>
        <v>6.8784044288844797</v>
      </c>
      <c r="AC66" s="44">
        <f ca="1">SUM(AC62:AC65)</f>
        <v>10.082689134335826</v>
      </c>
      <c r="AE66" s="391"/>
    </row>
    <row r="67" spans="1:31" x14ac:dyDescent="0.35">
      <c r="A67" s="50"/>
      <c r="B67" s="50"/>
      <c r="C67" s="50"/>
      <c r="D67" s="379"/>
      <c r="E67" s="14"/>
      <c r="F67" s="384"/>
      <c r="G67" s="384"/>
      <c r="H67" s="384"/>
      <c r="I67" s="384"/>
      <c r="J67" s="384"/>
      <c r="K67" s="25"/>
      <c r="L67" s="25"/>
      <c r="M67" s="39" t="s">
        <v>361</v>
      </c>
      <c r="N67" s="546">
        <f ca="1">AVERAGE(M66,O66)</f>
        <v>6.2465316370798192</v>
      </c>
      <c r="O67" s="39"/>
      <c r="P67" s="11"/>
      <c r="Q67" s="50"/>
      <c r="R67" s="467"/>
      <c r="S67" s="13"/>
      <c r="T67" s="13"/>
      <c r="U67" s="13"/>
      <c r="V67" s="13"/>
      <c r="W67" s="13"/>
      <c r="X67" s="25"/>
      <c r="Y67" s="25"/>
      <c r="Z67" s="390" t="s">
        <v>361</v>
      </c>
      <c r="AA67" s="546">
        <f ca="1">AVERAGE(Z66,AB66)</f>
        <v>10.082689134335826</v>
      </c>
      <c r="AB67" s="390"/>
      <c r="AC67" s="11"/>
      <c r="AD67" s="50"/>
      <c r="AE67" s="392"/>
    </row>
    <row r="68" spans="1:31" x14ac:dyDescent="0.35">
      <c r="A68" s="51" t="s">
        <v>100</v>
      </c>
      <c r="D68" s="377"/>
      <c r="E68" s="124"/>
      <c r="F68" s="16"/>
      <c r="G68" s="16"/>
      <c r="H68" s="16"/>
      <c r="I68" s="16"/>
      <c r="J68" s="16"/>
      <c r="K68" s="169"/>
      <c r="L68" s="169"/>
      <c r="M68" s="169"/>
      <c r="N68" s="169"/>
      <c r="O68" s="169"/>
      <c r="P68"/>
      <c r="R68" s="466"/>
      <c r="S68" s="10"/>
      <c r="T68" s="10"/>
      <c r="U68" s="10"/>
      <c r="V68" s="10"/>
      <c r="W68" s="10"/>
      <c r="X68" s="169"/>
      <c r="Y68" s="169"/>
      <c r="Z68" s="169"/>
      <c r="AA68" s="169"/>
      <c r="AB68" s="169"/>
      <c r="AC68"/>
      <c r="AE68" s="391"/>
    </row>
    <row r="69" spans="1:31" x14ac:dyDescent="0.35">
      <c r="A69" s="7" t="s">
        <v>129</v>
      </c>
      <c r="B69" s="7" t="s">
        <v>130</v>
      </c>
      <c r="C69" s="7" t="str">
        <f>B69</f>
        <v>Discolour</v>
      </c>
      <c r="D69" s="377" t="s">
        <v>127</v>
      </c>
      <c r="E69" s="124">
        <f ca="1">INDEX(INDIRECT("ExtWTP_"&amp;$C69&amp;"_UnitValues"),MATCH(A$68, INDIRECT("ExtWTP_Comps_"&amp;C69),0),MATCH("HH",ExtWTP_Group,0))</f>
        <v>1430</v>
      </c>
      <c r="F69" s="383">
        <f t="shared" ref="F69:G73" ca="1" si="59">INDEX(INDIRECT("SSW_WTPCore2_"&amp;$B69&amp;"_Levels"),1,MATCH(F$4,WTPCore2_AttLevels,0))</f>
        <v>6.6666666666666666E-2</v>
      </c>
      <c r="G69" s="383">
        <f t="shared" ca="1" si="59"/>
        <v>0.04</v>
      </c>
      <c r="H69" s="16">
        <f ca="1">INDEX(INDIRECT("SSW_WTPCore2_"&amp;$B69&amp;"_LevelValues"),1,MATCH("S1 MEAN",WTPCore2_LevelValues,0))</f>
        <v>3.3679929677046498</v>
      </c>
      <c r="I69" s="16">
        <f ca="1">INDEX(INDIRECT("SSW_WTPCore2_"&amp;$B69&amp;"_LevelValues"),1,MATCH("S2 MEAN",WTPCore2_LevelValues,0))</f>
        <v>0.60669022375558512</v>
      </c>
      <c r="J69" s="16">
        <f ca="1">SUM(H69:I69)</f>
        <v>3.974683191460235</v>
      </c>
      <c r="K69" s="213">
        <f ca="1">E69*(F69-G69)</f>
        <v>38.133333333333333</v>
      </c>
      <c r="L69" s="429">
        <f ca="1">INDEX(INDIRECT("SSW_WTPCore_DCE_"&amp;$C69&amp;"_UnitValues"),MATCH("COMBINED-HH",WTPCore_Group,0),MATCH("MEAN",LMH,0))</f>
        <v>28.111247840776404</v>
      </c>
      <c r="M69" s="429">
        <f ca="1">L69*(F69-G69)*(AllProps_CAM/HHProps_CAM)</f>
        <v>0.7970335870923948</v>
      </c>
      <c r="N69" s="89">
        <f ca="1">INDEX(INDIRECT("SSW_WTPCore2_"&amp;$C69&amp;"_UnitValues"),1,MATCH("MEAN",LMH,0))</f>
        <v>141.20106972505607</v>
      </c>
      <c r="O69" s="429">
        <f ca="1">N69*($F69-$G69)*(AllProps_CAM/HHProps_CAM)</f>
        <v>4.0034507091854694</v>
      </c>
      <c r="P69" s="16">
        <f ca="1">K69*$N$75/K$74</f>
        <v>3.5294388177600382</v>
      </c>
      <c r="Q69" s="377" t="s">
        <v>127</v>
      </c>
      <c r="R69" s="391">
        <f ca="1">P69*HHProps_SSW/((F69-G69)*AllProps_SSW)</f>
        <v>125.38371301330433</v>
      </c>
      <c r="S69" s="12">
        <f t="shared" ref="S69:T73" ca="1" si="60">INDEX(INDIRECT("CAM_WTPCore2_"&amp;$B69&amp;"_Levels"),1,MATCH(S$4,WTPCore2_AttLevels,0))</f>
        <v>2.2222222222222223E-2</v>
      </c>
      <c r="T69" s="12">
        <f t="shared" ca="1" si="60"/>
        <v>1.5384615384615385E-2</v>
      </c>
      <c r="U69" s="168">
        <f ca="1">INDEX(INDIRECT("CAM_WTPCore2_"&amp;$B69&amp;"_LevelValues"),1,MATCH("S1 MEAN",WTPCore2_LevelValues,0))</f>
        <v>3.1155463151224057</v>
      </c>
      <c r="V69" s="168">
        <f ca="1">INDEX(INDIRECT("CAM_WTPCore2_"&amp;$B69&amp;"_LevelValues"),1,MATCH("S2 MEAN",WTPCore2_LevelValues,0))</f>
        <v>1.3419840000849801</v>
      </c>
      <c r="W69" s="168">
        <f ca="1">SUM(U69:V69)</f>
        <v>4.4575303152073857</v>
      </c>
      <c r="X69" s="386">
        <f ca="1">E69*(S69-T69)</f>
        <v>9.7777777777777786</v>
      </c>
      <c r="Y69" s="429">
        <f ca="1">INDEX(INDIRECT("CAM_WTPCore_"&amp;$C69&amp;"_UnitValues"),MATCH("COMBINED-HH",WTPCore_Group,0),MATCH("MEAN",LMH,0))</f>
        <v>308.90334405201918</v>
      </c>
      <c r="Z69" s="429">
        <f ca="1">Y69*($S69-$T69)*(AllProps_CAM/HHProps_CAM)</f>
        <v>2.2457142857142856</v>
      </c>
      <c r="AA69" s="89">
        <f ca="1">INDEX(INDIRECT("CAM_WTPCore2_"&amp;$C69&amp;"_UnitValues"),1,MATCH("MEAN",LMH,0))</f>
        <v>613.1439022942551</v>
      </c>
      <c r="AB69" s="429">
        <f ca="1">AA69*($S69-$T69)*(AllProps_CAM/HHProps_CAM)</f>
        <v>4.4575303152073857</v>
      </c>
      <c r="AC69" s="168">
        <f ca="1">X69*AA$75/X$74</f>
        <v>2.8200444767088411</v>
      </c>
      <c r="AD69" s="243" t="str">
        <f>Q69</f>
        <v>Property affected</v>
      </c>
      <c r="AE69" s="391">
        <f ca="1">(AC69*HHProps_CAM)/((S69-T69)*AllProps_CAM)</f>
        <v>387.90382853788253</v>
      </c>
    </row>
    <row r="70" spans="1:31" x14ac:dyDescent="0.35">
      <c r="A70" s="7" t="s">
        <v>131</v>
      </c>
      <c r="B70" s="7" t="s">
        <v>132</v>
      </c>
      <c r="C70" s="7" t="str">
        <f>B70</f>
        <v>TasteSmell</v>
      </c>
      <c r="D70" s="377" t="s">
        <v>127</v>
      </c>
      <c r="E70" s="124">
        <f ca="1">INDEX(INDIRECT("ExtWTP_"&amp;$C70&amp;"_UnitValues"),MATCH(A$68, INDIRECT("ExtWTP_Comps_"&amp;C70),0),MATCH("HH",ExtWTP_Group,0))</f>
        <v>2445</v>
      </c>
      <c r="F70" s="383">
        <f t="shared" ca="1" si="59"/>
        <v>1.6666666666666666E-2</v>
      </c>
      <c r="G70" s="383">
        <f t="shared" ca="1" si="59"/>
        <v>1.1111111111111112E-2</v>
      </c>
      <c r="H70" s="16">
        <f ca="1">INDEX(INDIRECT("SSW_WTPCore2_"&amp;$B70&amp;"_LevelValues"),1,MATCH("S1 MEAN",WTPCore2_LevelValues,0))</f>
        <v>0.30818609087835352</v>
      </c>
      <c r="I70" s="16">
        <f ca="1">INDEX(INDIRECT("SSW_WTPCore2_"&amp;$B70&amp;"_LevelValues"),1,MATCH("S2 MEAN",WTPCore2_LevelValues,0))</f>
        <v>0.18578205633963885</v>
      </c>
      <c r="J70" s="16">
        <f ca="1">SUM(H70:I70)</f>
        <v>0.49396814721799237</v>
      </c>
      <c r="K70" s="213">
        <f ca="1">E70*(F70-G70)</f>
        <v>13.583333333333332</v>
      </c>
      <c r="L70" s="429">
        <f ca="1">INDEX(INDIRECT("SSW_WTPCore_DCE_"&amp;$B70&amp;"_UnitValues"),MATCH("COMBINED-HH",WTPCore_Group,0),MATCH("MEAN",LMH,0))</f>
        <v>173.83878023943072</v>
      </c>
      <c r="M70" s="429">
        <f ca="1">L70*($F70-$G70)*(AllProps_SSW/HHProps_SSW)</f>
        <v>1.0194594594594593</v>
      </c>
      <c r="N70" s="89">
        <f ca="1">INDEX(INDIRECT("SSW_WTPCore2_"&amp;$B70&amp;"_UnitValues"),1,MATCH("MEAN",LMH,0))</f>
        <v>84.231716516748989</v>
      </c>
      <c r="O70" s="429">
        <f ca="1">N70*($F70-$G70)*(AllProps_SSW/HHProps_SSW)</f>
        <v>0.49396814721799237</v>
      </c>
      <c r="P70" s="16">
        <f t="shared" ref="P70:P73" ca="1" si="61">K70*$N$75/K$74</f>
        <v>1.257208320137426</v>
      </c>
      <c r="Q70" s="377" t="s">
        <v>127</v>
      </c>
      <c r="R70" s="391">
        <f ca="1">P70*HHProps_SSW/((F70-G70)*AllProps_SSW)</f>
        <v>214.37984497729306</v>
      </c>
      <c r="S70" s="12">
        <f t="shared" ca="1" si="60"/>
        <v>1.4285714285714285E-2</v>
      </c>
      <c r="T70" s="12">
        <f t="shared" ca="1" si="60"/>
        <v>0.01</v>
      </c>
      <c r="U70" s="168">
        <f ca="1">INDEX(INDIRECT("CAM_WTPCore2_"&amp;$B70&amp;"_LevelValues"),1,MATCH("S1 MEAN",WTPCore2_LevelValues,0))</f>
        <v>4.7204807663126298E-2</v>
      </c>
      <c r="V70" s="168">
        <f ca="1">INDEX(INDIRECT("CAM_WTPCore2_"&amp;$B70&amp;"_LevelValues"),1,MATCH("S2 MEAN",WTPCore2_LevelValues,0))</f>
        <v>0.1217094578997745</v>
      </c>
      <c r="W70" s="168">
        <f t="shared" ref="W70:W73" ca="1" si="62">SUM(U70:V70)</f>
        <v>0.16891426556290079</v>
      </c>
      <c r="X70" s="386">
        <f ca="1">E70*(S70-T70)</f>
        <v>10.478571428571428</v>
      </c>
      <c r="Y70" s="429">
        <f t="shared" ref="Y70" ca="1" si="63">INDEX(INDIRECT("CAM_WTPCore_"&amp;$C70&amp;"_UnitValues"),MATCH("COMBINED-HH",WTPCore_Group,0),MATCH("MEAN",LMH,0))</f>
        <v>207.69569571588755</v>
      </c>
      <c r="Z70" s="429">
        <f ca="1">Y70*(S70-T70)*(AllProps_CAM/HHProps_CAM)</f>
        <v>0.94640816326530586</v>
      </c>
      <c r="AA70" s="89">
        <f t="shared" ref="AA70" ca="1" si="64">INDEX(INDIRECT("CAM_WTPCore2_"&amp;$C70&amp;"_UnitValues"),1,MATCH("MEAN",LMH,0))</f>
        <v>37.069382180075451</v>
      </c>
      <c r="AB70" s="429">
        <f ca="1">AA70*($S70-$T70)*(AllProps_CAM/HHProps_CAM)</f>
        <v>0.16891426556290079</v>
      </c>
      <c r="AC70" s="168">
        <f t="shared" ref="AC70:AC73" ca="1" si="65">X70*AA$75/X$74</f>
        <v>3.0221629241872421</v>
      </c>
      <c r="AD70" s="243" t="str">
        <f>Q70</f>
        <v>Property affected</v>
      </c>
      <c r="AE70" s="391">
        <f ca="1">(AC70*HHProps_CAM)/((S70-T70)*AllProps_CAM)</f>
        <v>663.23416837421178</v>
      </c>
    </row>
    <row r="71" spans="1:31" x14ac:dyDescent="0.35">
      <c r="A71" s="7" t="s">
        <v>855</v>
      </c>
      <c r="B71" s="7" t="s">
        <v>138</v>
      </c>
      <c r="C71" s="7" t="s">
        <v>1008</v>
      </c>
      <c r="D71" s="377" t="s">
        <v>127</v>
      </c>
      <c r="E71" s="124">
        <f ca="1">INDEX(INDIRECT("ExtWTP_"&amp;$C71&amp;"_UnitValues"),MATCH(A$68, INDIRECT("ExtWTP_Comps_"&amp;C71),0),MATCH("HH",ExtWTP_Group,0))</f>
        <v>206</v>
      </c>
      <c r="F71" s="383">
        <f t="shared" ca="1" si="59"/>
        <v>1.4285714285714285E-2</v>
      </c>
      <c r="G71" s="383">
        <f t="shared" ca="1" si="59"/>
        <v>9.5238095238095247E-3</v>
      </c>
      <c r="H71" s="16">
        <f ca="1">INDEX(INDIRECT("SSW_WTPCore2_"&amp;$B71&amp;"_LevelValues"),1,MATCH("S1 MEAN",WTPCore2_LevelValues,0))</f>
        <v>0.39718669024665654</v>
      </c>
      <c r="I71" s="16">
        <f ca="1">INDEX(INDIRECT("SSW_WTPCore2_"&amp;$B71&amp;"_LevelValues"),1,MATCH("S2 MEAN",WTPCore2_LevelValues,0))</f>
        <v>0.53859352958370721</v>
      </c>
      <c r="J71" s="16">
        <f ca="1">SUM(H71:I71)</f>
        <v>0.93578021983036375</v>
      </c>
      <c r="K71" s="213">
        <f ca="1">E71*(F71-G71)</f>
        <v>0.98095238095238069</v>
      </c>
      <c r="L71" s="429">
        <f ca="1">INDEX(INDIRECT("SSW_WTPCore_DCE_"&amp;$B71&amp;"_UnitValues"),MATCH("COMBINED-HH",WTPCore_Group,0),MATCH("MEAN",LMH,0))</f>
        <v>162.10819588181059</v>
      </c>
      <c r="M71" s="429">
        <f ca="1">L71*($F71-$G71)*(AllProps_SSW/HHProps_SSW)</f>
        <v>0.8148571428571425</v>
      </c>
      <c r="N71" s="89">
        <f ca="1">INDEX(INDIRECT("SSW_WTPCore2_"&amp;$B71&amp;"_UnitValues"),1,MATCH("MEAN",LMH,0))</f>
        <v>186.16470937063306</v>
      </c>
      <c r="O71" s="429">
        <f ca="1">N71*($F71-$G71)*(AllProps_SSW/HHProps_SSW)</f>
        <v>0.93578021983036375</v>
      </c>
      <c r="P71" s="16">
        <f t="shared" ca="1" si="61"/>
        <v>9.079225730002094E-2</v>
      </c>
      <c r="Q71" s="377" t="s">
        <v>127</v>
      </c>
      <c r="R71" s="391">
        <f ca="1">P71*HHProps_SSW/((F71-G71)*AllProps_SSW)</f>
        <v>18.062269147371111</v>
      </c>
      <c r="S71" s="12">
        <f t="shared" ca="1" si="60"/>
        <v>2.5000000000000001E-2</v>
      </c>
      <c r="T71" s="12">
        <f t="shared" ca="1" si="60"/>
        <v>1.6666666666666666E-2</v>
      </c>
      <c r="U71" s="168">
        <f ca="1">INDEX(INDIRECT("CAM_WTPCore2_"&amp;$B71&amp;"_LevelValues"),1,MATCH("S1 MEAN",WTPCore2_LevelValues,0))</f>
        <v>5.3490671066612649E-2</v>
      </c>
      <c r="V71" s="168">
        <f ca="1">INDEX(INDIRECT("CAM_WTPCore2_"&amp;$B71&amp;"_LevelValues"),1,MATCH("S2 MEAN",WTPCore2_LevelValues,0))</f>
        <v>0.33457681646237136</v>
      </c>
      <c r="W71" s="168">
        <f t="shared" ca="1" si="62"/>
        <v>0.38806748752898401</v>
      </c>
      <c r="X71" s="386">
        <f ca="1">E71*(S71-T71)</f>
        <v>1.716666666666667</v>
      </c>
      <c r="Y71" s="429">
        <f ca="1">INDEX(INDIRECT("CAM_WTPCore_"&amp;$B71&amp;"_UnitValues"),MATCH("COMBINED-HH",WTPCore_Group,0),MATCH("MEAN",LMH,0))</f>
        <v>28.26566546881222</v>
      </c>
      <c r="Z71" s="429">
        <f ca="1">Y71*($S71-$T71)*(AllProps_CAM/HHProps_CAM)</f>
        <v>0.25044117647058828</v>
      </c>
      <c r="AA71" s="89">
        <f ca="1">INDEX(INDIRECT("CAM_WTPCore2_"&amp;$B71&amp;"_UnitValues"),1,MATCH("MEAN",LMH,0))</f>
        <v>43.79865138952065</v>
      </c>
      <c r="AB71" s="429">
        <f ca="1">AA71*($S71-$T71)*(AllProps_CAM/HHProps_CAM)</f>
        <v>0.3880674875289839</v>
      </c>
      <c r="AC71" s="168">
        <f t="shared" ca="1" si="65"/>
        <v>0.49511008142217727</v>
      </c>
      <c r="AD71" s="243" t="str">
        <f>Q71</f>
        <v>Property affected</v>
      </c>
      <c r="AE71" s="391">
        <f ca="1">(AC71*HHProps_CAM)/((S71-T71)*AllProps_CAM)</f>
        <v>55.879852222939718</v>
      </c>
    </row>
    <row r="72" spans="1:31" x14ac:dyDescent="0.35">
      <c r="A72" s="7" t="s">
        <v>1010</v>
      </c>
      <c r="B72" s="7" t="s">
        <v>144</v>
      </c>
      <c r="C72" s="7" t="str">
        <f>B72</f>
        <v>TempBan</v>
      </c>
      <c r="D72" s="377" t="s">
        <v>127</v>
      </c>
      <c r="E72" s="124">
        <f ca="1">INDEX(INDIRECT("ExtWTP_"&amp;$C72&amp;"_UnitValues"),MATCH(A$68, INDIRECT("ExtWTP_Comps_"&amp;C72),0),MATCH("HH",ExtWTP_Group,0))</f>
        <v>107</v>
      </c>
      <c r="F72" s="383">
        <f t="shared" ca="1" si="59"/>
        <v>2.5000000000000001E-2</v>
      </c>
      <c r="G72" s="383">
        <f t="shared" ca="1" si="59"/>
        <v>1.5384615384615385E-2</v>
      </c>
      <c r="H72" s="16">
        <f ca="1">INDEX(INDIRECT("SSW_WTPCore2_"&amp;$B72&amp;"_LevelValues"),1,MATCH("S1 MEAN",WTPCore2_LevelValues,0))</f>
        <v>0.4084226191643695</v>
      </c>
      <c r="I72" s="16">
        <f ca="1">INDEX(INDIRECT("SSW_WTPCore2_"&amp;$B72&amp;"_LevelValues"),1,MATCH("S2 MEAN",WTPCore2_LevelValues,0))</f>
        <v>0.28250000903457151</v>
      </c>
      <c r="J72" s="16">
        <f ca="1">SUM(H72:I72)</f>
        <v>0.69092262819894101</v>
      </c>
      <c r="K72" s="213">
        <f ca="1">E72*(F72-G72)</f>
        <v>1.028846153846154</v>
      </c>
      <c r="L72" s="605">
        <f t="shared" ref="L72:L73" ca="1" si="66">INDEX(INDIRECT("SSW_WTPCore_DCE_"&amp;$C72&amp;"_UnitValues"),MATCH("COMBINED-HH",WTPCore_Group,0),MATCH("MEAN",LMH,0))</f>
        <v>245983.27199999994</v>
      </c>
      <c r="M72" s="429">
        <f ca="1">L72*(F72-G72)/HHProps_SSW*100</f>
        <v>0.43846153846153846</v>
      </c>
      <c r="N72" s="245">
        <f t="shared" ref="N72:N73" ca="1" si="67">INDEX(INDIRECT("SSW_WTPCore2_"&amp;$C72&amp;"_UnitValues"),1,MATCH("MEAN",LMH,0))</f>
        <v>387617.59897926223</v>
      </c>
      <c r="O72" s="429">
        <f ca="1">N72*(F72-G72)/HHProps_SSW*100</f>
        <v>0.69092262819894101</v>
      </c>
      <c r="P72" s="16">
        <f t="shared" ca="1" si="61"/>
        <v>9.5225075687615346E-2</v>
      </c>
      <c r="Q72" s="477" t="s">
        <v>145</v>
      </c>
      <c r="R72" s="391">
        <f ca="1">P72*HHProps_SSW/((F72-G72)*100)</f>
        <v>53422.646319848165</v>
      </c>
      <c r="S72" s="12">
        <f t="shared" ca="1" si="60"/>
        <v>0.05</v>
      </c>
      <c r="T72" s="12">
        <f t="shared" ca="1" si="60"/>
        <v>3.3333333333333333E-2</v>
      </c>
      <c r="U72" s="168">
        <f ca="1">INDEX(INDIRECT("CAM_WTPCore2_"&amp;$B72&amp;"_LevelValues"),1,MATCH("S1 MEAN",WTPCore2_LevelValues,0))</f>
        <v>0.15591350717379643</v>
      </c>
      <c r="V72" s="168">
        <f ca="1">INDEX(INDIRECT("CAM_WTPCore2_"&amp;$B72&amp;"_LevelValues"),1,MATCH("S2 MEAN",WTPCore2_LevelValues,0))</f>
        <v>5.0130987785217407E-2</v>
      </c>
      <c r="W72" s="168">
        <f t="shared" ca="1" si="62"/>
        <v>0.20604449495901384</v>
      </c>
      <c r="X72" s="386">
        <f ca="1">E72*(S72-T72)</f>
        <v>1.7833333333333337</v>
      </c>
      <c r="Y72" s="605">
        <f ca="1">INDEX(INDIRECT("CAM_WTPCore_"&amp;$C72&amp;"_UnitValues"),MATCH("COMBINED-HH",WTPCore_Group,0),MATCH("MEAN",LMH,0))</f>
        <v>469608.19199999986</v>
      </c>
      <c r="Z72" s="429">
        <f ca="1">Y72*(S72-T72)/HHProps_CAM*100</f>
        <v>5.76</v>
      </c>
      <c r="AA72" s="245">
        <f ca="1">INDEX(INDIRECT("CAM_WTPCore2_"&amp;$C72&amp;"_UnitValues"),1,MATCH("MEAN",LMH,0))</f>
        <v>16798.64283841243</v>
      </c>
      <c r="AB72" s="429">
        <f ca="1">AA72*(S72-T72)/HHProps_CAM*100</f>
        <v>0.20604449495901386</v>
      </c>
      <c r="AC72" s="168">
        <f t="shared" ca="1" si="65"/>
        <v>0.51433765739973747</v>
      </c>
      <c r="AD72" s="243" t="str">
        <f>Q72</f>
        <v>1% change in risk</v>
      </c>
      <c r="AE72" s="391">
        <f ca="1">(AC72*HHProps_CAM)/((S72-T72)*100)</f>
        <v>41933.537737674669</v>
      </c>
    </row>
    <row r="73" spans="1:31" x14ac:dyDescent="0.35">
      <c r="A73" s="7" t="s">
        <v>929</v>
      </c>
      <c r="B73" s="7" t="s">
        <v>140</v>
      </c>
      <c r="C73" s="7" t="str">
        <f>B73</f>
        <v>LowPressure</v>
      </c>
      <c r="D73" s="377" t="s">
        <v>127</v>
      </c>
      <c r="E73" s="124">
        <f ca="1">INDEX(INDIRECT("ExtWTP_"&amp;$C73&amp;"_UnitValues"),MATCH(A$68, INDIRECT("ExtWTP_Comps_"&amp;C73),0),MATCH("HH",ExtWTP_Group,0))</f>
        <v>299</v>
      </c>
      <c r="F73" s="383">
        <f t="shared" ca="1" si="59"/>
        <v>0.1</v>
      </c>
      <c r="G73" s="383">
        <f t="shared" ca="1" si="59"/>
        <v>6.6666666666666666E-2</v>
      </c>
      <c r="H73" s="16">
        <f ca="1">INDEX(INDIRECT("SSW_WTPCore2_"&amp;$B73&amp;"_LevelValues"),1,MATCH("S1 MEAN",WTPCore2_LevelValues,0))</f>
        <v>0.78010561855806027</v>
      </c>
      <c r="I73" s="16">
        <f ca="1">INDEX(INDIRECT("SSW_WTPCore2_"&amp;$B73&amp;"_LevelValues"),1,MATCH("S2 MEAN",WTPCore2_LevelValues,0))</f>
        <v>0.37050953266002729</v>
      </c>
      <c r="J73" s="16">
        <f ca="1">SUM(H73:I73)</f>
        <v>1.1506151512180876</v>
      </c>
      <c r="K73" s="213">
        <f ca="1">E73*(F73-G73)</f>
        <v>9.9666666666666686</v>
      </c>
      <c r="L73" s="429">
        <f t="shared" ca="1" si="66"/>
        <v>41.08733075345431</v>
      </c>
      <c r="M73" s="429">
        <f ca="1">L73*(F73-G73)*(AllProps_SSW/HHProps_SSW)</f>
        <v>1.4457142857142862</v>
      </c>
      <c r="N73" s="89">
        <f t="shared" ca="1" si="67"/>
        <v>32.700586661683175</v>
      </c>
      <c r="O73" s="429">
        <f ca="1">N73*($F73-$G73)*(AllProps_SSW/HHProps_SSW)</f>
        <v>1.1506151512180876</v>
      </c>
      <c r="P73" s="16">
        <f t="shared" ca="1" si="61"/>
        <v>0.9224669637327374</v>
      </c>
      <c r="Q73" s="377" t="s">
        <v>127</v>
      </c>
      <c r="R73" s="391">
        <f ca="1">P73*HHProps_SSW/((F73-G73)*AllProps_SSW)</f>
        <v>26.216594539145451</v>
      </c>
      <c r="S73" s="12">
        <f t="shared" ca="1" si="60"/>
        <v>9.0909090909090912E-2</v>
      </c>
      <c r="T73" s="12">
        <f t="shared" ca="1" si="60"/>
        <v>6.6666666666666666E-2</v>
      </c>
      <c r="U73" s="168">
        <f ca="1">INDEX(INDIRECT("CAM_WTPCore2_"&amp;$B73&amp;"_LevelValues"),1,MATCH("S1 MEAN",WTPCore2_LevelValues,0))</f>
        <v>2.1416418362159599</v>
      </c>
      <c r="V73" s="168">
        <f ca="1">INDEX(INDIRECT("CAM_WTPCore2_"&amp;$B73&amp;"_LevelValues"),1,MATCH("S2 MEAN",WTPCore2_LevelValues,0))</f>
        <v>0.84070533256091329</v>
      </c>
      <c r="W73" s="168">
        <f t="shared" ca="1" si="62"/>
        <v>2.9823471687768732</v>
      </c>
      <c r="X73" s="386">
        <f ca="1">E73*(S73-T73)</f>
        <v>7.2484848484848499</v>
      </c>
      <c r="Y73" s="429">
        <f ca="1">INDEX(INDIRECT("CAM_WTPCore_"&amp;$B73&amp;"_UnitValues"),MATCH("COMBINED-HH",WTPCore_Group,0),MATCH("MEAN",LMH,0))</f>
        <v>18.582387891224172</v>
      </c>
      <c r="Z73" s="429">
        <f ca="1">Y73*($S73-$T73)*(AllProps_CAM/HHProps_CAM)</f>
        <v>0.47896671634376553</v>
      </c>
      <c r="AA73" s="89">
        <f ca="1">INDEX(INDIRECT("CAM_WTPCore2_"&amp;$B73&amp;"_UnitValues"),1,MATCH("MEAN",LMH,0))</f>
        <v>115.70560129846363</v>
      </c>
      <c r="AB73" s="429">
        <f ca="1">AA73*($S73-$T73)*(AllProps_CAM/HHProps_CAM)</f>
        <v>2.9823471687768732</v>
      </c>
      <c r="AC73" s="168">
        <f t="shared" ca="1" si="65"/>
        <v>2.0905618971965541</v>
      </c>
      <c r="AD73" s="243" t="str">
        <f>Q73</f>
        <v>Property affected</v>
      </c>
      <c r="AE73" s="391">
        <f ca="1">(AC73*HHProps_CAM)/((S73-T73)*AllProps_SSW)</f>
        <v>20.578436902556199</v>
      </c>
    </row>
    <row r="74" spans="1:31" x14ac:dyDescent="0.35">
      <c r="D74" s="377"/>
      <c r="E74" s="124"/>
      <c r="F74" s="16"/>
      <c r="G74" s="16"/>
      <c r="H74" s="16"/>
      <c r="I74" s="16"/>
      <c r="J74" s="330">
        <f ca="1">SUM(J69:J73)</f>
        <v>7.2459693379256205</v>
      </c>
      <c r="K74" s="331">
        <f ca="1">SUM(K69:K73)</f>
        <v>63.693131868131871</v>
      </c>
      <c r="L74" s="331"/>
      <c r="M74" s="331">
        <f ca="1">SUM(M69:M73)</f>
        <v>4.5155260135848216</v>
      </c>
      <c r="N74" s="331"/>
      <c r="O74" s="331">
        <f ca="1">SUM(O69:O73)</f>
        <v>7.274736855650854</v>
      </c>
      <c r="P74" s="330">
        <f ca="1">SUM(P69:P73)</f>
        <v>5.8951314346178378</v>
      </c>
      <c r="R74" s="466"/>
      <c r="S74" s="10"/>
      <c r="T74" s="10"/>
      <c r="U74" s="10"/>
      <c r="V74" s="10"/>
      <c r="W74" s="44">
        <f ca="1">SUM(W69:W73)</f>
        <v>8.202903732035157</v>
      </c>
      <c r="X74" s="389">
        <f ca="1">SUM(X69:X73)</f>
        <v>31.00483405483406</v>
      </c>
      <c r="Y74" s="389"/>
      <c r="Z74" s="389">
        <f ca="1">SUM(Z69:Z73)</f>
        <v>9.6815303417939464</v>
      </c>
      <c r="AA74" s="389"/>
      <c r="AB74" s="389">
        <f ca="1">SUM(AB69:AB73)</f>
        <v>8.202903732035157</v>
      </c>
      <c r="AC74" s="44">
        <f ca="1">SUM(AC69:AC73)</f>
        <v>8.9422170369145508</v>
      </c>
      <c r="AE74" s="391"/>
    </row>
    <row r="75" spans="1:31" x14ac:dyDescent="0.35">
      <c r="A75" s="50"/>
      <c r="B75" s="50"/>
      <c r="C75" s="50"/>
      <c r="D75" s="379"/>
      <c r="E75" s="14"/>
      <c r="F75" s="384"/>
      <c r="G75" s="384"/>
      <c r="H75" s="384"/>
      <c r="I75" s="384"/>
      <c r="J75" s="384"/>
      <c r="K75" s="25"/>
      <c r="L75" s="25"/>
      <c r="M75" s="39" t="s">
        <v>361</v>
      </c>
      <c r="N75" s="546">
        <f ca="1">AVERAGE(M74,O74)</f>
        <v>5.8951314346178378</v>
      </c>
      <c r="O75" s="39"/>
      <c r="P75" s="11"/>
      <c r="Q75" s="50"/>
      <c r="R75" s="467"/>
      <c r="S75" s="13"/>
      <c r="T75" s="13"/>
      <c r="U75" s="13"/>
      <c r="V75" s="13"/>
      <c r="W75" s="13"/>
      <c r="X75" s="25"/>
      <c r="Y75" s="25"/>
      <c r="Z75" s="390" t="s">
        <v>361</v>
      </c>
      <c r="AA75" s="546">
        <f ca="1">AVERAGE(Z74,AB74)</f>
        <v>8.9422170369145526</v>
      </c>
      <c r="AB75" s="390"/>
      <c r="AC75" s="11"/>
      <c r="AD75" s="50"/>
      <c r="AE75" s="392"/>
    </row>
    <row r="76" spans="1:31" x14ac:dyDescent="0.35">
      <c r="A76" s="51" t="s">
        <v>101</v>
      </c>
      <c r="B76" s="51"/>
      <c r="D76" s="378"/>
      <c r="E76" s="218"/>
      <c r="F76" s="218"/>
      <c r="G76" s="218"/>
      <c r="H76" s="330"/>
      <c r="I76" s="330"/>
      <c r="J76" s="330"/>
      <c r="K76" s="389"/>
      <c r="L76" s="389"/>
      <c r="M76" s="389"/>
      <c r="N76" s="389"/>
      <c r="O76" s="389"/>
      <c r="P76" s="45"/>
      <c r="Q76" s="193"/>
      <c r="R76" s="468"/>
      <c r="S76" s="45"/>
      <c r="T76" s="45"/>
      <c r="U76" s="44"/>
      <c r="V76" s="44"/>
      <c r="W76" s="44"/>
      <c r="X76" s="389"/>
      <c r="Y76" s="389"/>
      <c r="Z76" s="389"/>
      <c r="AA76" s="389"/>
      <c r="AB76" s="389"/>
      <c r="AC76" s="45"/>
      <c r="AE76" s="393"/>
    </row>
    <row r="77" spans="1:31" x14ac:dyDescent="0.35">
      <c r="A77" s="7" t="s">
        <v>129</v>
      </c>
      <c r="B77" s="7" t="s">
        <v>130</v>
      </c>
      <c r="C77" s="7" t="str">
        <f>B77</f>
        <v>Discolour</v>
      </c>
      <c r="D77" s="377" t="s">
        <v>127</v>
      </c>
      <c r="E77" s="124">
        <f ca="1">INDEX(INDIRECT("ExtWTP_"&amp;$C77&amp;"_UnitValues"),MATCH(A$76, INDIRECT("ExtWTP_Comps_"&amp;C77),0),MATCH("HH",ExtWTP_Group,0))</f>
        <v>109</v>
      </c>
      <c r="F77" s="383">
        <f t="shared" ref="F77:G81" ca="1" si="68">INDEX(INDIRECT("SSW_WTPCore2_"&amp;$B77&amp;"_Levels"),1,MATCH(F$4,WTPCore2_AttLevels,0))</f>
        <v>6.6666666666666666E-2</v>
      </c>
      <c r="G77" s="383">
        <f t="shared" ca="1" si="68"/>
        <v>0.04</v>
      </c>
      <c r="H77" s="16">
        <f ca="1">INDEX(INDIRECT("SSW_WTPCore2_"&amp;$B77&amp;"_LevelValues"),1,MATCH("S1 MEAN",WTPCore2_LevelValues,0))</f>
        <v>3.3679929677046498</v>
      </c>
      <c r="I77" s="16">
        <f ca="1">INDEX(INDIRECT("SSW_WTPCore2_"&amp;$B77&amp;"_LevelValues"),1,MATCH("S2 MEAN",WTPCore2_LevelValues,0))</f>
        <v>0.60669022375558512</v>
      </c>
      <c r="J77" s="16">
        <f ca="1">SUM(H77:I77)</f>
        <v>3.974683191460235</v>
      </c>
      <c r="K77" s="213">
        <f ca="1">E77*(F77-G77)</f>
        <v>2.9066666666666663</v>
      </c>
      <c r="L77" s="429">
        <f ca="1">INDEX(INDIRECT("SSW_WTPCore_DCE_"&amp;$C77&amp;"_UnitValues"),MATCH("COMBINED-HH",WTPCore_Group,0),MATCH("MEAN",LMH,0))</f>
        <v>28.111247840776404</v>
      </c>
      <c r="M77" s="429">
        <f ca="1">L77*(F77-G77)*(AllProps_CAM/HHProps_CAM)</f>
        <v>0.7970335870923948</v>
      </c>
      <c r="N77" s="89">
        <f ca="1">INDEX(INDIRECT("SSW_WTPCore2_"&amp;$C77&amp;"_UnitValues"),1,MATCH("MEAN",LMH,0))</f>
        <v>141.20106972505607</v>
      </c>
      <c r="O77" s="429">
        <f ca="1">N77*($F77-$G77)*(AllProps_CAM/HHProps_CAM)</f>
        <v>4.0034507091854694</v>
      </c>
      <c r="P77" s="16">
        <f ca="1">K77*N$83/K$82</f>
        <v>1.4686747326148815</v>
      </c>
      <c r="Q77" s="377" t="s">
        <v>127</v>
      </c>
      <c r="R77" s="391">
        <f ca="1">P77*HHProps_SSW/((F77-G77)*AllProps_SSW)</f>
        <v>52.17483591370069</v>
      </c>
      <c r="S77" s="12">
        <f t="shared" ref="S77:T81" ca="1" si="69">INDEX(INDIRECT("CAM_WTPCore2_"&amp;$B77&amp;"_Levels"),1,MATCH(S$4,WTPCore2_AttLevels,0))</f>
        <v>2.2222222222222223E-2</v>
      </c>
      <c r="T77" s="12">
        <f t="shared" ca="1" si="69"/>
        <v>1.5384615384615385E-2</v>
      </c>
      <c r="U77" s="168">
        <f ca="1">INDEX(INDIRECT("CAM_WTPCore2_"&amp;$B77&amp;"_LevelValues"),1,MATCH("S1 MEAN",WTPCore2_LevelValues,0))</f>
        <v>3.1155463151224057</v>
      </c>
      <c r="V77" s="168">
        <f ca="1">INDEX(INDIRECT("CAM_WTPCore2_"&amp;$B77&amp;"_LevelValues"),1,MATCH("S2 MEAN",WTPCore2_LevelValues,0))</f>
        <v>1.3419840000849801</v>
      </c>
      <c r="W77" s="168">
        <f ca="1">SUM(U77:V77)</f>
        <v>4.4575303152073857</v>
      </c>
      <c r="X77" s="386">
        <f ca="1">E77*(S77-T77)</f>
        <v>0.74529914529914532</v>
      </c>
      <c r="Y77" s="429">
        <f ca="1">INDEX(INDIRECT("CAM_WTPCore_"&amp;$C77&amp;"_UnitValues"),MATCH("COMBINED-HH",WTPCore_Group,0),MATCH("MEAN",LMH,0))</f>
        <v>308.90334405201918</v>
      </c>
      <c r="Z77" s="429">
        <f ca="1">Y77*($S77-$T77)*(AllProps_CAM/HHProps_CAM)</f>
        <v>2.2457142857142856</v>
      </c>
      <c r="AA77" s="89">
        <f ca="1">INDEX(INDIRECT("CAM_WTPCore2_"&amp;$C77&amp;"_UnitValues"),1,MATCH("MEAN",LMH,0))</f>
        <v>613.1439022942551</v>
      </c>
      <c r="AB77" s="429">
        <f ca="1">AA77*($S77-$T77)*(AllProps_CAM/HHProps_CAM)</f>
        <v>4.4575303152073857</v>
      </c>
      <c r="AC77" s="168">
        <f ca="1">X77*AA$83/X$82</f>
        <v>0.98941423443552423</v>
      </c>
      <c r="AD77" s="243" t="str">
        <f>Q77</f>
        <v>Property affected</v>
      </c>
      <c r="AE77" s="391">
        <f ca="1">(AC77*HHProps_CAM)/((S77-T77)*AllProps_CAM)</f>
        <v>136.09628242293982</v>
      </c>
    </row>
    <row r="78" spans="1:31" x14ac:dyDescent="0.35">
      <c r="A78" s="7" t="s">
        <v>131</v>
      </c>
      <c r="B78" s="7" t="s">
        <v>132</v>
      </c>
      <c r="C78" s="7" t="str">
        <f>B78</f>
        <v>TasteSmell</v>
      </c>
      <c r="D78" s="377" t="s">
        <v>127</v>
      </c>
      <c r="E78" s="124">
        <f ca="1">INDEX(INDIRECT("ExtWTP_"&amp;$C78&amp;"_UnitValues"),MATCH(A$76, INDIRECT("ExtWTP_Comps_"&amp;C78),0),MATCH("HH",ExtWTP_Group,0))</f>
        <v>196</v>
      </c>
      <c r="F78" s="383">
        <f t="shared" ca="1" si="68"/>
        <v>1.6666666666666666E-2</v>
      </c>
      <c r="G78" s="383">
        <f t="shared" ca="1" si="68"/>
        <v>1.1111111111111112E-2</v>
      </c>
      <c r="H78" s="16">
        <f ca="1">INDEX(INDIRECT("SSW_WTPCore2_"&amp;$B78&amp;"_LevelValues"),1,MATCH("S1 MEAN",WTPCore2_LevelValues,0))</f>
        <v>0.30818609087835352</v>
      </c>
      <c r="I78" s="16">
        <f ca="1">INDEX(INDIRECT("SSW_WTPCore2_"&amp;$B78&amp;"_LevelValues"),1,MATCH("S2 MEAN",WTPCore2_LevelValues,0))</f>
        <v>0.18578205633963885</v>
      </c>
      <c r="J78" s="16">
        <f ca="1">SUM(H78:I78)</f>
        <v>0.49396814721799237</v>
      </c>
      <c r="K78" s="213">
        <f ca="1">E78*(F78-G78)</f>
        <v>1.0888888888888888</v>
      </c>
      <c r="L78" s="429">
        <f ca="1">INDEX(INDIRECT("SSW_WTPCore_DCE_"&amp;$B78&amp;"_UnitValues"),MATCH("COMBINED-HH",WTPCore_Group,0),MATCH("MEAN",LMH,0))</f>
        <v>173.83878023943072</v>
      </c>
      <c r="M78" s="429">
        <f ca="1">L78*($F78-$G78)*(AllProps_SSW/HHProps_SSW)</f>
        <v>1.0194594594594593</v>
      </c>
      <c r="N78" s="89">
        <f ca="1">INDEX(INDIRECT("SSW_WTPCore2_"&amp;$B78&amp;"_UnitValues"),1,MATCH("MEAN",LMH,0))</f>
        <v>84.231716516748989</v>
      </c>
      <c r="O78" s="429">
        <f ca="1">N78*($F78-$G78)*(AllProps_SSW/HHProps_SSW)</f>
        <v>0.49396814721799237</v>
      </c>
      <c r="P78" s="16">
        <f t="shared" ref="P78:P81" ca="1" si="70">K78*N$83/K$82</f>
        <v>0.55019160472575834</v>
      </c>
      <c r="Q78" s="377" t="s">
        <v>127</v>
      </c>
      <c r="R78" s="391">
        <f ca="1">P78*HHProps_SSW/((F78-G78)*AllProps_SSW)</f>
        <v>93.818971000782923</v>
      </c>
      <c r="S78" s="12">
        <f t="shared" ca="1" si="69"/>
        <v>1.4285714285714285E-2</v>
      </c>
      <c r="T78" s="12">
        <f t="shared" ca="1" si="69"/>
        <v>0.01</v>
      </c>
      <c r="U78" s="168">
        <f ca="1">INDEX(INDIRECT("CAM_WTPCore2_"&amp;$B78&amp;"_LevelValues"),1,MATCH("S1 MEAN",WTPCore2_LevelValues,0))</f>
        <v>4.7204807663126298E-2</v>
      </c>
      <c r="V78" s="168">
        <f ca="1">INDEX(INDIRECT("CAM_WTPCore2_"&amp;$B78&amp;"_LevelValues"),1,MATCH("S2 MEAN",WTPCore2_LevelValues,0))</f>
        <v>0.1217094578997745</v>
      </c>
      <c r="W78" s="168">
        <f t="shared" ref="W78:W81" ca="1" si="71">SUM(U78:V78)</f>
        <v>0.16891426556290079</v>
      </c>
      <c r="X78" s="386">
        <f ca="1">E78*(S78-T78)</f>
        <v>0.83999999999999986</v>
      </c>
      <c r="Y78" s="429">
        <f t="shared" ref="Y78" ca="1" si="72">INDEX(INDIRECT("CAM_WTPCore_"&amp;$C78&amp;"_UnitValues"),MATCH("COMBINED-HH",WTPCore_Group,0),MATCH("MEAN",LMH,0))</f>
        <v>207.69569571588755</v>
      </c>
      <c r="Z78" s="429">
        <f ca="1">Y78*(S78-T78)*(AllProps_CAM/HHProps_CAM)</f>
        <v>0.94640816326530586</v>
      </c>
      <c r="AA78" s="89">
        <f t="shared" ref="AA78" ca="1" si="73">INDEX(INDIRECT("CAM_WTPCore2_"&amp;$C78&amp;"_UnitValues"),1,MATCH("MEAN",LMH,0))</f>
        <v>37.069382180075451</v>
      </c>
      <c r="AB78" s="429">
        <f ca="1">AA78*($S78-$T78)*(AllProps_CAM/HHProps_CAM)</f>
        <v>0.16891426556290079</v>
      </c>
      <c r="AC78" s="168">
        <f t="shared" ref="AC78:AC81" ca="1" si="74">X78*AA$83/X$82</f>
        <v>1.1151333825725149</v>
      </c>
      <c r="AD78" s="243" t="str">
        <f>Q78</f>
        <v>Property affected</v>
      </c>
      <c r="AE78" s="391">
        <f ca="1">(AC78*HHProps_CAM)/((S78-T78)*AllProps_CAM)</f>
        <v>244.72359041189179</v>
      </c>
    </row>
    <row r="79" spans="1:31" x14ac:dyDescent="0.35">
      <c r="A79" s="7" t="s">
        <v>890</v>
      </c>
      <c r="B79" s="7" t="s">
        <v>138</v>
      </c>
      <c r="C79" s="7" t="s">
        <v>1011</v>
      </c>
      <c r="D79" s="377" t="s">
        <v>127</v>
      </c>
      <c r="E79" s="124">
        <f ca="1">INDEX(INDIRECT("ExtWTP_"&amp;$C79&amp;"_UnitValues"),MATCH(A$76, INDIRECT("ExtWTP_Comps_"&amp;C79),0),MATCH("HH",ExtWTP_Group,0))</f>
        <v>234</v>
      </c>
      <c r="F79" s="383">
        <f t="shared" ca="1" si="68"/>
        <v>1.4285714285714285E-2</v>
      </c>
      <c r="G79" s="383">
        <f t="shared" ca="1" si="68"/>
        <v>9.5238095238095247E-3</v>
      </c>
      <c r="H79" s="16">
        <f ca="1">INDEX(INDIRECT("SSW_WTPCore2_"&amp;$B79&amp;"_LevelValues"),1,MATCH("S1 MEAN",WTPCore2_LevelValues,0))</f>
        <v>0.39718669024665654</v>
      </c>
      <c r="I79" s="16">
        <f ca="1">INDEX(INDIRECT("SSW_WTPCore2_"&amp;$B79&amp;"_LevelValues"),1,MATCH("S2 MEAN",WTPCore2_LevelValues,0))</f>
        <v>0.53859352958370721</v>
      </c>
      <c r="J79" s="16">
        <f ca="1">SUM(H79:I79)</f>
        <v>0.93578021983036375</v>
      </c>
      <c r="K79" s="213">
        <f ca="1">E79*(F79-G79)</f>
        <v>1.1142857142857139</v>
      </c>
      <c r="L79" s="429">
        <f ca="1">INDEX(INDIRECT("SSW_WTPCore_DCE_"&amp;$B79&amp;"_UnitValues"),MATCH("COMBINED-HH",WTPCore_Group,0),MATCH("MEAN",LMH,0))</f>
        <v>162.10819588181059</v>
      </c>
      <c r="M79" s="429">
        <f ca="1">L79*($F79-$G79)*(AllProps_SSW/HHProps_SSW)</f>
        <v>0.8148571428571425</v>
      </c>
      <c r="N79" s="89">
        <f ca="1">INDEX(INDIRECT("SSW_WTPCore2_"&amp;$B79&amp;"_UnitValues"),1,MATCH("MEAN",LMH,0))</f>
        <v>186.16470937063306</v>
      </c>
      <c r="O79" s="429">
        <f ca="1">N79*($F79-$G79)*(AllProps_SSW/HHProps_SSW)</f>
        <v>0.93578021983036375</v>
      </c>
      <c r="P79" s="16">
        <f t="shared" ca="1" si="70"/>
        <v>0.56302406197883714</v>
      </c>
      <c r="Q79" s="377" t="s">
        <v>127</v>
      </c>
      <c r="R79" s="391">
        <f ca="1">P79*HHProps_SSW/((F79-G79)*AllProps_SSW)</f>
        <v>112.00836333766939</v>
      </c>
      <c r="S79" s="12">
        <f t="shared" ca="1" si="69"/>
        <v>2.5000000000000001E-2</v>
      </c>
      <c r="T79" s="12">
        <f t="shared" ca="1" si="69"/>
        <v>1.6666666666666666E-2</v>
      </c>
      <c r="U79" s="168">
        <f ca="1">INDEX(INDIRECT("CAM_WTPCore2_"&amp;$B79&amp;"_LevelValues"),1,MATCH("S1 MEAN",WTPCore2_LevelValues,0))</f>
        <v>5.3490671066612649E-2</v>
      </c>
      <c r="V79" s="168">
        <f ca="1">INDEX(INDIRECT("CAM_WTPCore2_"&amp;$B79&amp;"_LevelValues"),1,MATCH("S2 MEAN",WTPCore2_LevelValues,0))</f>
        <v>0.33457681646237136</v>
      </c>
      <c r="W79" s="168">
        <f t="shared" ca="1" si="71"/>
        <v>0.38806748752898401</v>
      </c>
      <c r="X79" s="386">
        <f ca="1">E79*(S79-T79)</f>
        <v>1.9500000000000004</v>
      </c>
      <c r="Y79" s="429">
        <f ca="1">INDEX(INDIRECT("CAM_WTPCore_"&amp;$B79&amp;"_UnitValues"),MATCH("COMBINED-HH",WTPCore_Group,0),MATCH("MEAN",LMH,0))</f>
        <v>28.26566546881222</v>
      </c>
      <c r="Z79" s="429">
        <f ca="1">Y79*($S79-$T79)*(AllProps_CAM/HHProps_CAM)</f>
        <v>0.25044117647058828</v>
      </c>
      <c r="AA79" s="89">
        <f ca="1">INDEX(INDIRECT("CAM_WTPCore2_"&amp;$B79&amp;"_UnitValues"),1,MATCH("MEAN",LMH,0))</f>
        <v>43.79865138952065</v>
      </c>
      <c r="AB79" s="429">
        <f ca="1">AA79*($S79-$T79)*(AllProps_CAM/HHProps_CAM)</f>
        <v>0.3880674875289839</v>
      </c>
      <c r="AC79" s="168">
        <f t="shared" ca="1" si="74"/>
        <v>2.5887024952576252</v>
      </c>
      <c r="AD79" s="243" t="str">
        <f>Q79</f>
        <v>Property affected</v>
      </c>
      <c r="AE79" s="391">
        <f ca="1">(AC79*HHProps_CAM)/((S79-T79)*AllProps_CAM)</f>
        <v>292.17000079787078</v>
      </c>
    </row>
    <row r="80" spans="1:31" x14ac:dyDescent="0.35">
      <c r="A80" s="7" t="s">
        <v>1010</v>
      </c>
      <c r="B80" s="7" t="s">
        <v>144</v>
      </c>
      <c r="C80" s="7" t="str">
        <f>B80</f>
        <v>TempBan</v>
      </c>
      <c r="D80" s="377" t="s">
        <v>127</v>
      </c>
      <c r="E80" s="124">
        <f ca="1">INDEX(INDIRECT("ExtWTP_"&amp;$C80&amp;"_UnitValues"),MATCH(A$76, INDIRECT("ExtWTP_Comps_"&amp;C80),0),MATCH("HH",ExtWTP_Group,0))</f>
        <v>5</v>
      </c>
      <c r="F80" s="383">
        <f t="shared" ca="1" si="68"/>
        <v>2.5000000000000001E-2</v>
      </c>
      <c r="G80" s="383">
        <f t="shared" ca="1" si="68"/>
        <v>1.5384615384615385E-2</v>
      </c>
      <c r="H80" s="16">
        <f ca="1">INDEX(INDIRECT("SSW_WTPCore2_"&amp;$B80&amp;"_LevelValues"),1,MATCH("S1 MEAN",WTPCore2_LevelValues,0))</f>
        <v>0.4084226191643695</v>
      </c>
      <c r="I80" s="16">
        <f ca="1">INDEX(INDIRECT("SSW_WTPCore2_"&amp;$B80&amp;"_LevelValues"),1,MATCH("S2 MEAN",WTPCore2_LevelValues,0))</f>
        <v>0.28250000903457151</v>
      </c>
      <c r="J80" s="16">
        <f ca="1">SUM(H80:I80)</f>
        <v>0.69092262819894101</v>
      </c>
      <c r="K80" s="213">
        <f ca="1">E80*(F80-G80)</f>
        <v>4.807692307692308E-2</v>
      </c>
      <c r="L80" s="605">
        <f t="shared" ref="L80:L81" ca="1" si="75">INDEX(INDIRECT("SSW_WTPCore_DCE_"&amp;$C80&amp;"_UnitValues"),MATCH("COMBINED-HH",WTPCore_Group,0),MATCH("MEAN",LMH,0))</f>
        <v>245983.27199999994</v>
      </c>
      <c r="M80" s="429">
        <f ca="1">L80*(F80-G80)/HHProps_SSW*100</f>
        <v>0.43846153846153846</v>
      </c>
      <c r="N80" s="245">
        <f t="shared" ref="N80:N81" ca="1" si="76">INDEX(INDIRECT("SSW_WTPCore2_"&amp;$C80&amp;"_UnitValues"),1,MATCH("MEAN",LMH,0))</f>
        <v>387617.59897926223</v>
      </c>
      <c r="O80" s="429">
        <f ca="1">N80*(F80-G80)/HHProps_SSW*100</f>
        <v>0.69092262819894101</v>
      </c>
      <c r="P80" s="16">
        <f t="shared" ca="1" si="70"/>
        <v>2.4292211747114534E-2</v>
      </c>
      <c r="Q80" s="477" t="s">
        <v>145</v>
      </c>
      <c r="R80" s="391">
        <f ca="1">P80*HHProps_SSW/((F80-G80)*100)</f>
        <v>13628.282541357352</v>
      </c>
      <c r="S80" s="12">
        <f t="shared" ca="1" si="69"/>
        <v>0.05</v>
      </c>
      <c r="T80" s="12">
        <f t="shared" ca="1" si="69"/>
        <v>3.3333333333333333E-2</v>
      </c>
      <c r="U80" s="168">
        <f ca="1">INDEX(INDIRECT("CAM_WTPCore2_"&amp;$B80&amp;"_LevelValues"),1,MATCH("S1 MEAN",WTPCore2_LevelValues,0))</f>
        <v>0.15591350717379643</v>
      </c>
      <c r="V80" s="168">
        <f ca="1">INDEX(INDIRECT("CAM_WTPCore2_"&amp;$B80&amp;"_LevelValues"),1,MATCH("S2 MEAN",WTPCore2_LevelValues,0))</f>
        <v>5.0130987785217407E-2</v>
      </c>
      <c r="W80" s="168">
        <f t="shared" ca="1" si="71"/>
        <v>0.20604449495901384</v>
      </c>
      <c r="X80" s="386">
        <f ca="1">E80*(S80-T80)</f>
        <v>8.3333333333333343E-2</v>
      </c>
      <c r="Y80" s="605">
        <f ca="1">INDEX(INDIRECT("CAM_WTPCore_"&amp;$C80&amp;"_UnitValues"),MATCH("COMBINED-HH",WTPCore_Group,0),MATCH("MEAN",LMH,0))</f>
        <v>469608.19199999986</v>
      </c>
      <c r="Z80" s="429">
        <f ca="1">Y80*(S80-T80)/HHProps_CAM*100</f>
        <v>5.76</v>
      </c>
      <c r="AA80" s="245">
        <f ca="1">INDEX(INDIRECT("CAM_WTPCore2_"&amp;$C80&amp;"_UnitValues"),1,MATCH("MEAN",LMH,0))</f>
        <v>16798.64283841243</v>
      </c>
      <c r="AB80" s="429">
        <f ca="1">AA80*(S80-T80)/HHProps_CAM*100</f>
        <v>0.20604449495901386</v>
      </c>
      <c r="AC80" s="168">
        <f t="shared" ca="1" si="74"/>
        <v>0.11062831176314637</v>
      </c>
      <c r="AD80" s="243" t="str">
        <f>Q80</f>
        <v>1% change in risk</v>
      </c>
      <c r="AE80" s="391">
        <f ca="1">(AC80*HHProps_CAM)/((S80-T80)*100)</f>
        <v>9019.4377553999111</v>
      </c>
    </row>
    <row r="81" spans="1:31" x14ac:dyDescent="0.35">
      <c r="A81" s="7" t="s">
        <v>40</v>
      </c>
      <c r="B81" s="7" t="s">
        <v>40</v>
      </c>
      <c r="C81" s="7" t="s">
        <v>40</v>
      </c>
      <c r="D81" s="377" t="s">
        <v>728</v>
      </c>
      <c r="E81" s="124">
        <f ca="1">INDEX(INDIRECT("ExtWTP_"&amp;$C81&amp;"_UnitValues"),MATCH(A$76, INDIRECT("ExtWTP_Comps_"&amp;C81),0),MATCH("HH",ExtWTP_Group,0))</f>
        <v>122335</v>
      </c>
      <c r="F81" s="442">
        <f t="shared" ca="1" si="68"/>
        <v>70.5</v>
      </c>
      <c r="G81" s="442">
        <f t="shared" ca="1" si="68"/>
        <v>35.25</v>
      </c>
      <c r="H81" s="16">
        <f ca="1">INDEX(INDIRECT("SSW_WTPCore2_"&amp;$B81&amp;"_LevelValues"),1,MATCH("S1 MEAN",WTPCore2_LevelValues,0))</f>
        <v>1.2301339708448666</v>
      </c>
      <c r="I81" s="16">
        <f ca="1">INDEX(INDIRECT("SSW_WTPCore2_"&amp;$B81&amp;"_LevelValues"),1,MATCH("S2 MEAN",WTPCore2_LevelValues,0))</f>
        <v>0.44133293088857806</v>
      </c>
      <c r="J81" s="16">
        <f ca="1">SUM(H81:I81)</f>
        <v>1.6714669017334447</v>
      </c>
      <c r="K81" s="213">
        <f ca="1">E81*(F81-G81)/AllProps_SSW</f>
        <v>7.573093471484392</v>
      </c>
      <c r="L81" s="429">
        <f t="shared" ca="1" si="75"/>
        <v>30606.35460992908</v>
      </c>
      <c r="M81" s="429">
        <f ca="1">L81*(F81-G81)/HHProps_SSW</f>
        <v>2</v>
      </c>
      <c r="N81" s="89">
        <f t="shared" ca="1" si="76"/>
        <v>25578.754356606645</v>
      </c>
      <c r="O81" s="429">
        <f ca="1">N81*(F81-G81)/HHProps_SSW</f>
        <v>1.6714669017334447</v>
      </c>
      <c r="P81" s="16">
        <f t="shared" ca="1" si="70"/>
        <v>3.8265175559517819</v>
      </c>
      <c r="Q81" s="377" t="s">
        <v>728</v>
      </c>
      <c r="R81" s="391">
        <f ca="1">P81*HHProps_SSW/((F81-G81))</f>
        <v>58557.87661928968</v>
      </c>
      <c r="S81" s="443">
        <f t="shared" ca="1" si="69"/>
        <v>13.5</v>
      </c>
      <c r="T81" s="443">
        <f t="shared" ca="1" si="69"/>
        <v>6.75</v>
      </c>
      <c r="U81" s="168">
        <f ca="1">INDEX(INDIRECT("CAM_WTPCore2_"&amp;$B81&amp;"_LevelValues"),1,MATCH("S1 MEAN",WTPCore2_LevelValues,0))</f>
        <v>3.1349723048319831</v>
      </c>
      <c r="V81" s="168">
        <f ca="1">INDEX(INDIRECT("CAM_WTPCore2_"&amp;$B81&amp;"_LevelValues"),1,MATCH("S2 MEAN",WTPCore2_LevelValues,0))</f>
        <v>5.1405797633106154E-3</v>
      </c>
      <c r="W81" s="168">
        <f t="shared" ca="1" si="71"/>
        <v>3.1401128845952937</v>
      </c>
      <c r="X81" s="386">
        <f ca="1">E81*(S81-T81)/AllProps_CAM</f>
        <v>5.7156391461439426</v>
      </c>
      <c r="Y81" s="429">
        <f ca="1">INDEX(INDIRECT("CAM_WTPCore_"&amp;$C81&amp;"_UnitValues"),MATCH("COMBINED-HH",WTPCore_Group,0),MATCH("MEAN",LMH,0))</f>
        <v>145343.41333333333</v>
      </c>
      <c r="Z81" s="429">
        <f ca="1">Y81*(S81-T81)/HHProps_CAM</f>
        <v>7.2200000000000006</v>
      </c>
      <c r="AA81" s="89">
        <f ca="1">INDEX(INDIRECT("CAM_WTPCore2_"&amp;$C81&amp;"_UnitValues"),1,MATCH("MEAN",LMH,0))</f>
        <v>63212.565775492993</v>
      </c>
      <c r="AB81" s="429">
        <f ca="1">AA81*(S81-T81)/HHProps_CAM</f>
        <v>3.1401128845952937</v>
      </c>
      <c r="AC81" s="168">
        <f t="shared" ca="1" si="74"/>
        <v>7.5877381126230681</v>
      </c>
      <c r="AD81" s="243" t="s">
        <v>728</v>
      </c>
      <c r="AE81" s="391">
        <f ca="1">AC81*HHProps_CAM/((S81-T81))</f>
        <v>152746.22669917744</v>
      </c>
    </row>
    <row r="82" spans="1:31" x14ac:dyDescent="0.35">
      <c r="D82" s="377"/>
      <c r="E82" s="124"/>
      <c r="F82" s="16"/>
      <c r="G82" s="16"/>
      <c r="H82" s="16"/>
      <c r="I82" s="16"/>
      <c r="J82" s="330">
        <f ca="1">SUM(J77:J81)</f>
        <v>7.7668210884409774</v>
      </c>
      <c r="K82" s="331">
        <f ca="1">SUM(K77:K81)</f>
        <v>12.731011664402583</v>
      </c>
      <c r="L82" s="331"/>
      <c r="M82" s="331">
        <f ca="1">SUM(M77:M81)</f>
        <v>5.069811727870535</v>
      </c>
      <c r="N82" s="331"/>
      <c r="O82" s="331">
        <f ca="1">SUM(O77:O81)</f>
        <v>7.7955886061662119</v>
      </c>
      <c r="P82" s="330">
        <f ca="1">SUM(P77:P81)</f>
        <v>6.432700167018373</v>
      </c>
      <c r="R82" s="466"/>
      <c r="S82" s="10"/>
      <c r="T82" s="10"/>
      <c r="U82" s="10"/>
      <c r="V82" s="10"/>
      <c r="W82" s="44">
        <f ca="1">SUM(W77:W81)</f>
        <v>8.3606694478535779</v>
      </c>
      <c r="X82" s="389">
        <f ca="1">SUM(X77:X81)</f>
        <v>9.3342716247764219</v>
      </c>
      <c r="Y82" s="389"/>
      <c r="Z82" s="389">
        <f ca="1">SUM(Z77:Z81)</f>
        <v>16.422563625450181</v>
      </c>
      <c r="AA82" s="389"/>
      <c r="AB82" s="222">
        <f ca="1">SUM(AB77:AB81)</f>
        <v>8.3606694478535779</v>
      </c>
      <c r="AC82" s="44">
        <f ca="1">SUM(AC77:AC81)</f>
        <v>12.391616536651878</v>
      </c>
      <c r="AE82" s="391"/>
    </row>
    <row r="83" spans="1:31" x14ac:dyDescent="0.35">
      <c r="A83" s="50"/>
      <c r="B83" s="50"/>
      <c r="C83" s="50"/>
      <c r="D83" s="379"/>
      <c r="E83" s="14"/>
      <c r="F83" s="384"/>
      <c r="G83" s="384"/>
      <c r="H83" s="384"/>
      <c r="I83" s="384"/>
      <c r="J83" s="384"/>
      <c r="K83" s="25"/>
      <c r="L83" s="25"/>
      <c r="M83" s="39" t="s">
        <v>361</v>
      </c>
      <c r="N83" s="546">
        <f ca="1">AVERAGE(M82,O82)</f>
        <v>6.432700167018373</v>
      </c>
      <c r="O83" s="39"/>
      <c r="P83" s="11"/>
      <c r="Q83" s="50"/>
      <c r="R83" s="467"/>
      <c r="S83" s="13"/>
      <c r="T83" s="13"/>
      <c r="U83" s="13"/>
      <c r="V83" s="13"/>
      <c r="W83" s="13"/>
      <c r="X83" s="25"/>
      <c r="Y83" s="25"/>
      <c r="Z83" s="390" t="s">
        <v>361</v>
      </c>
      <c r="AA83" s="546">
        <f ca="1">AVERAGE(Z82,AB82)</f>
        <v>12.391616536651879</v>
      </c>
      <c r="AB83" s="390"/>
      <c r="AC83" s="11"/>
      <c r="AD83" s="50"/>
      <c r="AE83" s="392"/>
    </row>
    <row r="84" spans="1:31" x14ac:dyDescent="0.35">
      <c r="A84" s="51" t="s">
        <v>102</v>
      </c>
      <c r="B84" s="51"/>
      <c r="D84" s="378"/>
      <c r="E84" s="218"/>
      <c r="F84" s="218"/>
      <c r="G84" s="218"/>
      <c r="H84" s="330"/>
      <c r="I84" s="330"/>
      <c r="J84" s="330"/>
      <c r="K84" s="389"/>
      <c r="L84" s="389"/>
      <c r="M84" s="389"/>
      <c r="N84" s="389"/>
      <c r="O84" s="389"/>
      <c r="P84" s="45"/>
      <c r="Q84" s="193"/>
      <c r="R84" s="468"/>
      <c r="S84" s="45"/>
      <c r="T84" s="45"/>
      <c r="U84" s="44"/>
      <c r="V84" s="44"/>
      <c r="W84" s="44"/>
      <c r="X84" s="389"/>
      <c r="Y84" s="389"/>
      <c r="Z84" s="389"/>
      <c r="AA84" s="389"/>
      <c r="AB84" s="389"/>
      <c r="AC84" s="45"/>
      <c r="AE84" s="393"/>
    </row>
    <row r="85" spans="1:31" x14ac:dyDescent="0.35">
      <c r="A85" s="7" t="s">
        <v>876</v>
      </c>
      <c r="B85" s="7" t="s">
        <v>138</v>
      </c>
      <c r="C85" s="7" t="s">
        <v>1007</v>
      </c>
      <c r="D85" s="377" t="s">
        <v>127</v>
      </c>
      <c r="E85" s="124">
        <f ca="1">INDEX(INDIRECT("ExtWTP_"&amp;$C85&amp;"_UnitValues"),4,1)</f>
        <v>1000</v>
      </c>
      <c r="F85" s="383">
        <f t="shared" ref="F85:G88" ca="1" si="77">INDEX(INDIRECT("SSW_WTPCore2_"&amp;$B85&amp;"_Levels"),1,MATCH(F$4,WTPCore2_AttLevels,0))</f>
        <v>1.4285714285714285E-2</v>
      </c>
      <c r="G85" s="383">
        <f t="shared" ca="1" si="77"/>
        <v>9.5238095238095247E-3</v>
      </c>
      <c r="H85" s="16">
        <f ca="1">INDEX(INDIRECT("SSW_WTPCore2_"&amp;$B85&amp;"_LevelValues"),1,MATCH("S1 MEAN",WTPCore2_LevelValues,0))</f>
        <v>0.39718669024665654</v>
      </c>
      <c r="I85" s="16">
        <f ca="1">INDEX(INDIRECT("SSW_WTPCore2_"&amp;$B85&amp;"_LevelValues"),1,MATCH("S2 MEAN",WTPCore2_LevelValues,0))</f>
        <v>0.53859352958370721</v>
      </c>
      <c r="J85" s="16">
        <f ca="1">SUM(H85:I85)</f>
        <v>0.93578021983036375</v>
      </c>
      <c r="K85" s="213">
        <f ca="1">E85*(F85-G85)</f>
        <v>4.761904761904761</v>
      </c>
      <c r="L85" s="429">
        <f ca="1">INDEX(INDIRECT("SSW_WTPCore_DCE_"&amp;$B85&amp;"_UnitValues"),MATCH("COMBINED-HH",WTPCore_Group,0),MATCH("MEAN",LMH,0))</f>
        <v>162.10819588181059</v>
      </c>
      <c r="M85" s="429">
        <f ca="1">L85*($F85-$G85)*(AllProps_SSW/HHProps_SSW)</f>
        <v>0.8148571428571425</v>
      </c>
      <c r="N85" s="89">
        <f ca="1">INDEX(INDIRECT("SSW_WTPCore2_"&amp;$B85&amp;"_UnitValues"),1,MATCH("MEAN",LMH,0))</f>
        <v>186.16470937063306</v>
      </c>
      <c r="O85" s="429">
        <f ca="1">N85*($F85-$G85)*(AllProps_SSW/HHProps_SSW)</f>
        <v>0.93578021983036375</v>
      </c>
      <c r="P85" s="16">
        <f ca="1">K85*N$90/K$89</f>
        <v>3.9454847621554983</v>
      </c>
      <c r="Q85" s="377" t="s">
        <v>127</v>
      </c>
      <c r="R85" s="391">
        <f ca="1">P85*HHProps_SSW/((F85-G85)*AllProps_SSW)</f>
        <v>784.91723644905653</v>
      </c>
      <c r="S85" s="12">
        <f t="shared" ref="S85:T88" ca="1" si="78">INDEX(INDIRECT("CAM_WTPCore2_"&amp;$B85&amp;"_Levels"),1,MATCH(S$4,WTPCore2_AttLevels,0))</f>
        <v>2.5000000000000001E-2</v>
      </c>
      <c r="T85" s="12">
        <f t="shared" ca="1" si="78"/>
        <v>1.6666666666666666E-2</v>
      </c>
      <c r="U85" s="168">
        <f ca="1">INDEX(INDIRECT("CAM_WTPCore2_"&amp;$B85&amp;"_LevelValues"),1,MATCH("S1 MEAN",WTPCore2_LevelValues,0))</f>
        <v>5.3490671066612649E-2</v>
      </c>
      <c r="V85" s="168">
        <f ca="1">INDEX(INDIRECT("CAM_WTPCore2_"&amp;$B85&amp;"_LevelValues"),1,MATCH("S2 MEAN",WTPCore2_LevelValues,0))</f>
        <v>0.33457681646237136</v>
      </c>
      <c r="W85" s="168">
        <f ca="1">SUM(U85:V85)</f>
        <v>0.38806748752898401</v>
      </c>
      <c r="X85" s="386">
        <f ca="1">E85*(S85-T85)</f>
        <v>8.3333333333333357</v>
      </c>
      <c r="Y85" s="429">
        <f ca="1">INDEX(INDIRECT("CAM_WTPCore_"&amp;$B85&amp;"_UnitValues"),MATCH("COMBINED-HH",WTPCore_Group,0),MATCH("MEAN",LMH,0))</f>
        <v>28.26566546881222</v>
      </c>
      <c r="Z85" s="429">
        <f ca="1">Y85*($S85-$T85)*(AllProps_CAM/HHProps_CAM)</f>
        <v>0.25044117647058828</v>
      </c>
      <c r="AA85" s="89">
        <f ca="1">INDEX(INDIRECT("CAM_WTPCore2_"&amp;$B85&amp;"_UnitValues"),1,MATCH("MEAN",LMH,0))</f>
        <v>43.79865138952065</v>
      </c>
      <c r="AB85" s="429">
        <f ca="1">AA85*($S85-$T85)*(AllProps_CAM/HHProps_CAM)</f>
        <v>0.3880674875289839</v>
      </c>
      <c r="AC85" s="168">
        <f ca="1">X85*AA$90/X$89</f>
        <v>7.6497795615811901</v>
      </c>
      <c r="AD85" s="243" t="str">
        <f>Q85</f>
        <v>Property affected</v>
      </c>
      <c r="AE85" s="391">
        <f ca="1">(AC85*HHProps_CAM)/((S85-T85)*AllProps_CAM)</f>
        <v>863.38082676753606</v>
      </c>
    </row>
    <row r="86" spans="1:31" x14ac:dyDescent="0.35">
      <c r="A86" s="7" t="s">
        <v>1010</v>
      </c>
      <c r="B86" s="7" t="s">
        <v>144</v>
      </c>
      <c r="C86" s="7" t="str">
        <f>B86</f>
        <v>TempBan</v>
      </c>
      <c r="D86" s="377" t="s">
        <v>127</v>
      </c>
      <c r="E86" s="124">
        <f ca="1">INDEX(INDIRECT("ExtWTP_"&amp;$B86&amp;"_UnitValues"),12,1)</f>
        <v>58</v>
      </c>
      <c r="F86" s="383">
        <f t="shared" ca="1" si="77"/>
        <v>2.5000000000000001E-2</v>
      </c>
      <c r="G86" s="383">
        <f t="shared" ca="1" si="77"/>
        <v>1.5384615384615385E-2</v>
      </c>
      <c r="H86" s="16">
        <f ca="1">INDEX(INDIRECT("SSW_WTPCore2_"&amp;$B86&amp;"_LevelValues"),1,MATCH("S1 MEAN",WTPCore2_LevelValues,0))</f>
        <v>0.4084226191643695</v>
      </c>
      <c r="I86" s="16">
        <f ca="1">INDEX(INDIRECT("SSW_WTPCore2_"&amp;$B86&amp;"_LevelValues"),1,MATCH("S2 MEAN",WTPCore2_LevelValues,0))</f>
        <v>0.28250000903457151</v>
      </c>
      <c r="J86" s="16">
        <f ca="1">SUM(H86:I86)</f>
        <v>0.69092262819894101</v>
      </c>
      <c r="K86" s="213">
        <f ca="1">E86*(F86-G86)</f>
        <v>0.55769230769230771</v>
      </c>
      <c r="L86" s="605">
        <f t="shared" ref="L86:L88" ca="1" si="79">INDEX(INDIRECT("SSW_WTPCore_DCE_"&amp;$C86&amp;"_UnitValues"),MATCH("COMBINED-HH",WTPCore_Group,0),MATCH("MEAN",LMH,0))</f>
        <v>245983.27199999994</v>
      </c>
      <c r="M86" s="429">
        <f ca="1">L86*(F86-G86)/HHProps_SSW*100</f>
        <v>0.43846153846153846</v>
      </c>
      <c r="N86" s="245">
        <f t="shared" ref="N86:N88" ca="1" si="80">INDEX(INDIRECT("SSW_WTPCore2_"&amp;$C86&amp;"_UnitValues"),1,MATCH("MEAN",LMH,0))</f>
        <v>387617.59897926223</v>
      </c>
      <c r="O86" s="429">
        <f ca="1">N86*(F86-G86)/HHProps_SSW*100</f>
        <v>0.69092262819894101</v>
      </c>
      <c r="P86" s="16">
        <f t="shared" ref="P86:P88" ca="1" si="81">K86*N$90/K$89</f>
        <v>0.46207696541398058</v>
      </c>
      <c r="Q86" s="477" t="s">
        <v>145</v>
      </c>
      <c r="R86" s="391">
        <f ca="1">P86*HHProps_SSW/((F86-G86)*100)</f>
        <v>259231.86847170227</v>
      </c>
      <c r="S86" s="12">
        <f t="shared" ca="1" si="78"/>
        <v>0.05</v>
      </c>
      <c r="T86" s="12">
        <f t="shared" ca="1" si="78"/>
        <v>3.3333333333333333E-2</v>
      </c>
      <c r="U86" s="168">
        <f ca="1">INDEX(INDIRECT("CAM_WTPCore2_"&amp;$B86&amp;"_LevelValues"),1,MATCH("S1 MEAN",WTPCore2_LevelValues,0))</f>
        <v>0.15591350717379643</v>
      </c>
      <c r="V86" s="168">
        <f ca="1">INDEX(INDIRECT("CAM_WTPCore2_"&amp;$B86&amp;"_LevelValues"),1,MATCH("S2 MEAN",WTPCore2_LevelValues,0))</f>
        <v>5.0130987785217407E-2</v>
      </c>
      <c r="W86" s="168">
        <f t="shared" ref="W86:W88" ca="1" si="82">SUM(U86:V86)</f>
        <v>0.20604449495901384</v>
      </c>
      <c r="X86" s="386">
        <f ca="1">E86*(S86-T86)</f>
        <v>0.9666666666666669</v>
      </c>
      <c r="Y86" s="605">
        <f ca="1">INDEX(INDIRECT("CAM_WTPCore_"&amp;$C86&amp;"_UnitValues"),MATCH("COMBINED-HH",WTPCore_Group,0),MATCH("MEAN",LMH,0))</f>
        <v>469608.19199999986</v>
      </c>
      <c r="Z86" s="429">
        <f ca="1">Y86*(S86-T86)/HHProps_CAM*100</f>
        <v>5.76</v>
      </c>
      <c r="AA86" s="245">
        <f ca="1">INDEX(INDIRECT("CAM_WTPCore2_"&amp;$C86&amp;"_UnitValues"),1,MATCH("MEAN",LMH,0))</f>
        <v>16798.64283841243</v>
      </c>
      <c r="AB86" s="429">
        <f ca="1">AA86*(S86-T86)/HHProps_CAM*100</f>
        <v>0.20604449495901386</v>
      </c>
      <c r="AC86" s="168">
        <f t="shared" ref="AC86:AC88" ca="1" si="83">X86*AA$90/X$89</f>
        <v>0.88737442914341802</v>
      </c>
      <c r="AD86" s="243" t="str">
        <f>Q86</f>
        <v>1% change in risk</v>
      </c>
      <c r="AE86" s="391">
        <f ca="1">(AC86*HHProps_CAM)/((S86-T86)*100)</f>
        <v>72346.927308519545</v>
      </c>
    </row>
    <row r="87" spans="1:31" x14ac:dyDescent="0.35">
      <c r="A87" s="7" t="s">
        <v>949</v>
      </c>
      <c r="B87" s="7" t="s">
        <v>136</v>
      </c>
      <c r="C87" s="7" t="str">
        <f>B87</f>
        <v>Hardness</v>
      </c>
      <c r="D87" s="377" t="s">
        <v>127</v>
      </c>
      <c r="E87" s="124">
        <f ca="1">INDEX(INDIRECT("ExtWTP_"&amp;$B87&amp;"_UnitValues"),4,1)</f>
        <v>2</v>
      </c>
      <c r="F87" s="444">
        <f t="shared" ca="1" si="77"/>
        <v>0</v>
      </c>
      <c r="G87" s="444">
        <f t="shared" ca="1" si="77"/>
        <v>4000</v>
      </c>
      <c r="H87" s="16">
        <f ca="1">INDEX(INDIRECT("SSW_WTPCore2_"&amp;$B87&amp;"_LevelValues"),1,MATCH("S1 MEAN",WTPCore2_LevelValues,0))</f>
        <v>5.2894480160712298</v>
      </c>
      <c r="I87" s="16">
        <f ca="1">INDEX(INDIRECT("SSW_WTPCore2_"&amp;$B87&amp;"_LevelValues"),1,MATCH("S2 MEAN",WTPCore2_LevelValues,0))</f>
        <v>0.60625599239311434</v>
      </c>
      <c r="J87" s="16">
        <f ca="1">SUM(H87:I87)</f>
        <v>5.8957040084643442</v>
      </c>
      <c r="K87" s="213">
        <f ca="1">-E87*(F87-G87)/HHProps_SSW</f>
        <v>1.4830276751502029E-2</v>
      </c>
      <c r="L87" s="429">
        <f t="shared" ca="1" si="79"/>
        <v>6.1861063528998557</v>
      </c>
      <c r="M87" s="429">
        <f ca="1">-L87*(F87-G87)/HHProps_SSW</f>
        <v>4.5870834613864868E-2</v>
      </c>
      <c r="N87" s="89">
        <f t="shared" ca="1" si="80"/>
        <v>795.09022080349519</v>
      </c>
      <c r="O87" s="429">
        <f ca="1">-N87*(F87-G87)/HHProps_SSW</f>
        <v>5.8957040084643442</v>
      </c>
      <c r="P87" s="16">
        <f t="shared" ca="1" si="81"/>
        <v>1.2287652497736045E-2</v>
      </c>
      <c r="Q87" s="377" t="s">
        <v>127</v>
      </c>
      <c r="R87" s="391">
        <f ca="1">-P87*HHProps_SSW/((F87-G87))</f>
        <v>1.6571036001053097</v>
      </c>
      <c r="S87" s="460">
        <f t="shared" ca="1" si="78"/>
        <v>0</v>
      </c>
      <c r="T87" s="460">
        <f t="shared" ca="1" si="78"/>
        <v>1350</v>
      </c>
      <c r="U87" s="168">
        <f ca="1">INDEX(INDIRECT("CAM_WTPCore2_"&amp;$B87&amp;"_LevelValues"),1,MATCH("S1 MEAN",WTPCore2_LevelValues,0))</f>
        <v>2.6407734226292283</v>
      </c>
      <c r="V87" s="168">
        <f ca="1">INDEX(INDIRECT("CAM_WTPCore2_"&amp;$B87&amp;"_LevelValues"),1,MATCH("S2 MEAN",WTPCore2_LevelValues,0))</f>
        <v>0.50756688037153719</v>
      </c>
      <c r="W87" s="168">
        <f t="shared" ca="1" si="82"/>
        <v>3.1483403030007655</v>
      </c>
      <c r="X87" s="386">
        <f ca="1">-E87*(S87-T87)/HHProps_CAM</f>
        <v>1.9870181480990859E-2</v>
      </c>
      <c r="Y87" s="429">
        <f t="shared" ref="Y87" ca="1" si="84">INDEX(INDIRECT("CAM_WTPCore_"&amp;$C87&amp;"_UnitValues"),MATCH("COMBINED-HH",WTPCore_Group,0),MATCH("MEAN",LMH,0))</f>
        <v>5.6902010050251253</v>
      </c>
      <c r="Z87" s="429">
        <f ca="1">-Y87*(S87-T87)/HHProps_CAM</f>
        <v>5.653266331658291E-2</v>
      </c>
      <c r="AA87" s="89">
        <f t="shared" ref="AA87" ca="1" si="85">INDEX(INDIRECT("CAM_WTPCore2_"&amp;$C87&amp;"_UnitValues"),1,MATCH("MEAN",LMH,0))</f>
        <v>316.89094596470369</v>
      </c>
      <c r="AB87" s="429">
        <f ca="1">-AA87*(R87-T87)/HHProps_CAM</f>
        <v>3.1444757651856103</v>
      </c>
      <c r="AC87" s="168">
        <f t="shared" ca="1" si="83"/>
        <v>1.8240300981383146E-2</v>
      </c>
      <c r="AD87" s="243" t="str">
        <f>Q87</f>
        <v>Property affected</v>
      </c>
      <c r="AE87" s="471">
        <f ca="1">-(AC87*HHProps_CAM)/((S87-T87))</f>
        <v>1.8359470947794849</v>
      </c>
    </row>
    <row r="88" spans="1:31" x14ac:dyDescent="0.35">
      <c r="A88" s="7" t="s">
        <v>40</v>
      </c>
      <c r="B88" s="7" t="s">
        <v>40</v>
      </c>
      <c r="C88" s="7" t="s">
        <v>40</v>
      </c>
      <c r="D88" s="377" t="s">
        <v>728</v>
      </c>
      <c r="E88" s="124">
        <f ca="1">INDEX(INDIRECT("ExtWTP_"&amp;$B88&amp;"_UnitValues"),3,1)</f>
        <v>35614</v>
      </c>
      <c r="F88" s="444">
        <f t="shared" ca="1" si="77"/>
        <v>70.5</v>
      </c>
      <c r="G88" s="444">
        <f t="shared" ca="1" si="77"/>
        <v>35.25</v>
      </c>
      <c r="H88" s="16">
        <f ca="1">INDEX(INDIRECT("SSW_WTPCore2_"&amp;$B88&amp;"_LevelValues"),1,MATCH("S1 MEAN",WTPCore2_LevelValues,0))</f>
        <v>1.2301339708448666</v>
      </c>
      <c r="I88" s="16">
        <f ca="1">INDEX(INDIRECT("SSW_WTPCore2_"&amp;$B88&amp;"_LevelValues"),1,MATCH("S2 MEAN",WTPCore2_LevelValues,0))</f>
        <v>0.44133293088857806</v>
      </c>
      <c r="J88" s="16">
        <f ca="1">SUM(H88:I88)</f>
        <v>1.6714669017334447</v>
      </c>
      <c r="K88" s="213">
        <f ca="1">E88*(F88-G88)/AllProps_SSW</f>
        <v>2.2046687447864075</v>
      </c>
      <c r="L88" s="429">
        <f t="shared" ca="1" si="79"/>
        <v>30606.35460992908</v>
      </c>
      <c r="M88" s="429">
        <f ca="1">L88*(F88-G88)/HHProps_SSW</f>
        <v>2</v>
      </c>
      <c r="N88" s="89">
        <f t="shared" ca="1" si="80"/>
        <v>25578.754356606645</v>
      </c>
      <c r="O88" s="429">
        <f ca="1">N88*(F88-G88)/HHProps_SSW</f>
        <v>1.6714669017334447</v>
      </c>
      <c r="P88" s="16">
        <f t="shared" ca="1" si="81"/>
        <v>1.8266822570126049</v>
      </c>
      <c r="Q88" s="377" t="s">
        <v>728</v>
      </c>
      <c r="R88" s="391">
        <f ca="1">P88*HHProps_SSW/((F88-G88))</f>
        <v>27954.042458896696</v>
      </c>
      <c r="S88" s="443">
        <f t="shared" ca="1" si="78"/>
        <v>13.5</v>
      </c>
      <c r="T88" s="443">
        <f t="shared" ca="1" si="78"/>
        <v>6.75</v>
      </c>
      <c r="U88" s="168">
        <f ca="1">INDEX(INDIRECT("CAM_WTPCore2_"&amp;$B88&amp;"_LevelValues"),1,MATCH("S1 MEAN",WTPCore2_LevelValues,0))</f>
        <v>3.1349723048319831</v>
      </c>
      <c r="V88" s="168">
        <f ca="1">INDEX(INDIRECT("CAM_WTPCore2_"&amp;$B88&amp;"_LevelValues"),1,MATCH("S2 MEAN",WTPCore2_LevelValues,0))</f>
        <v>5.1405797633106154E-3</v>
      </c>
      <c r="W88" s="168">
        <f t="shared" ca="1" si="82"/>
        <v>3.1401128845952937</v>
      </c>
      <c r="X88" s="386">
        <f ca="1">E88*(S88-T88)/AllProps_CAM</f>
        <v>1.6639291498816395</v>
      </c>
      <c r="Y88" s="429">
        <f ca="1">INDEX(INDIRECT("CAM_WTPCore_"&amp;$C88&amp;"_UnitValues"),MATCH("COMBINED-HH",WTPCore_Group,0),MATCH("MEAN",LMH,0))</f>
        <v>145343.41333333333</v>
      </c>
      <c r="Z88" s="429">
        <f ca="1">Y88*(S88-T88)/HHProps_CAM</f>
        <v>7.2200000000000006</v>
      </c>
      <c r="AA88" s="89">
        <f ca="1">INDEX(INDIRECT("CAM_WTPCore2_"&amp;$C88&amp;"_UnitValues"),1,MATCH("MEAN",LMH,0))</f>
        <v>63212.565775492993</v>
      </c>
      <c r="AB88" s="429">
        <f ca="1">AA88*(S88-T88)/HHProps_CAM</f>
        <v>3.1401128845952937</v>
      </c>
      <c r="AC88" s="168">
        <f t="shared" ca="1" si="83"/>
        <v>1.527442944322047</v>
      </c>
      <c r="AD88" s="243" t="s">
        <v>728</v>
      </c>
      <c r="AE88" s="391">
        <f ca="1">AC88*HHProps_CAM/((S88-T88))</f>
        <v>30748.444764499021</v>
      </c>
    </row>
    <row r="89" spans="1:31" x14ac:dyDescent="0.35">
      <c r="D89" s="377"/>
      <c r="E89" s="124"/>
      <c r="F89" s="16"/>
      <c r="G89" s="16"/>
      <c r="H89" s="16"/>
      <c r="I89" s="16"/>
      <c r="J89" s="330">
        <f ca="1">SUM(J85:J88)</f>
        <v>9.1938737582270935</v>
      </c>
      <c r="K89" s="331">
        <f ca="1">SUM(K85:K88)</f>
        <v>7.5390960911349776</v>
      </c>
      <c r="L89" s="331"/>
      <c r="M89" s="331">
        <f ca="1">SUM(M84:M88)</f>
        <v>3.2991895159325457</v>
      </c>
      <c r="N89" s="331"/>
      <c r="O89" s="331">
        <f ca="1">SUM(O84:O88)</f>
        <v>9.1938737582270935</v>
      </c>
      <c r="P89" s="330">
        <f ca="1">SUM(P85:P88)</f>
        <v>6.2465316370798201</v>
      </c>
      <c r="R89" s="466"/>
      <c r="S89" s="10"/>
      <c r="T89" s="10"/>
      <c r="U89" s="10"/>
      <c r="V89" s="10"/>
      <c r="W89" s="44">
        <f ca="1">SUM(W85:W88)</f>
        <v>6.8825651700840567</v>
      </c>
      <c r="X89" s="389">
        <f ca="1">SUM(X85:X88)</f>
        <v>10.983799331362633</v>
      </c>
      <c r="Y89" s="389"/>
      <c r="Z89" s="389">
        <f ca="1">SUM(Z85:Z88)</f>
        <v>13.286973839787171</v>
      </c>
      <c r="AA89" s="389"/>
      <c r="AB89" s="222">
        <f ca="1">SUM(AB85:AB88)</f>
        <v>6.8787006322689024</v>
      </c>
      <c r="AC89" s="44">
        <f ca="1">SUM(AC85:AC88)</f>
        <v>10.082837236028038</v>
      </c>
      <c r="AE89" s="391"/>
    </row>
    <row r="90" spans="1:31" x14ac:dyDescent="0.35">
      <c r="A90" s="50"/>
      <c r="B90" s="50"/>
      <c r="C90" s="50"/>
      <c r="D90" s="379"/>
      <c r="E90" s="14"/>
      <c r="F90" s="384"/>
      <c r="G90" s="384"/>
      <c r="H90" s="384"/>
      <c r="I90" s="384"/>
      <c r="J90" s="384"/>
      <c r="K90" s="25"/>
      <c r="L90" s="25"/>
      <c r="M90" s="39" t="s">
        <v>361</v>
      </c>
      <c r="N90" s="546">
        <f ca="1">AVERAGE(M89,O89)</f>
        <v>6.2465316370798192</v>
      </c>
      <c r="O90" s="39"/>
      <c r="P90" s="11"/>
      <c r="Q90" s="50"/>
      <c r="R90" s="467"/>
      <c r="S90" s="13"/>
      <c r="T90" s="13"/>
      <c r="U90" s="13"/>
      <c r="V90" s="13"/>
      <c r="W90" s="13"/>
      <c r="X90" s="25"/>
      <c r="Y90" s="25"/>
      <c r="Z90" s="390" t="s">
        <v>361</v>
      </c>
      <c r="AA90" s="546">
        <f ca="1">AVERAGE(Z89,AB89)</f>
        <v>10.082837236028038</v>
      </c>
      <c r="AB90" s="390"/>
      <c r="AC90" s="11"/>
      <c r="AD90" s="50"/>
      <c r="AE90" s="392"/>
    </row>
    <row r="91" spans="1:31" x14ac:dyDescent="0.35">
      <c r="A91" s="51" t="s">
        <v>103</v>
      </c>
      <c r="D91" s="377"/>
      <c r="E91" s="124"/>
      <c r="F91" s="16"/>
      <c r="G91" s="16"/>
      <c r="H91" s="16"/>
      <c r="I91" s="16"/>
      <c r="J91" s="16"/>
      <c r="K91" s="169"/>
      <c r="L91" s="169"/>
      <c r="M91" s="169"/>
      <c r="N91" s="169"/>
      <c r="O91" s="169"/>
      <c r="P91"/>
      <c r="R91" s="466"/>
      <c r="S91" s="10"/>
      <c r="T91" s="10"/>
      <c r="U91" s="10"/>
      <c r="V91" s="10"/>
      <c r="W91" s="10"/>
      <c r="X91" s="169"/>
      <c r="Y91" s="169"/>
      <c r="Z91" s="169"/>
      <c r="AA91" s="169"/>
      <c r="AB91" s="169"/>
      <c r="AC91"/>
      <c r="AE91" s="391"/>
    </row>
    <row r="92" spans="1:31" x14ac:dyDescent="0.35">
      <c r="A92" s="7" t="s">
        <v>129</v>
      </c>
      <c r="B92" s="7" t="s">
        <v>130</v>
      </c>
      <c r="C92" s="7" t="str">
        <f>B92</f>
        <v>Discolour</v>
      </c>
      <c r="D92" s="377" t="s">
        <v>127</v>
      </c>
      <c r="E92" s="124">
        <f ca="1">INDEX(INDIRECT("ExtWTP_"&amp;$B92&amp;"_UnitValues"),12,1)</f>
        <v>1326</v>
      </c>
      <c r="F92" s="383">
        <f t="shared" ref="F92:G97" ca="1" si="86">INDEX(INDIRECT("SSW_WTPCore2_"&amp;$B92&amp;"_Levels"),1,MATCH(F$4,WTPCore2_AttLevels,0))</f>
        <v>6.6666666666666666E-2</v>
      </c>
      <c r="G92" s="383">
        <f t="shared" ca="1" si="86"/>
        <v>0.04</v>
      </c>
      <c r="H92" s="16">
        <f t="shared" ref="H92:H97" ca="1" si="87">INDEX(INDIRECT("SSW_WTPCore2_"&amp;$B92&amp;"_LevelValues"),1,MATCH("S1 MEAN",WTPCore2_LevelValues,0))</f>
        <v>3.3679929677046498</v>
      </c>
      <c r="I92" s="16">
        <f t="shared" ref="I92:I97" ca="1" si="88">INDEX(INDIRECT("SSW_WTPCore2_"&amp;$B92&amp;"_LevelValues"),1,MATCH("S2 MEAN",WTPCore2_LevelValues,0))</f>
        <v>0.60669022375558512</v>
      </c>
      <c r="J92" s="16">
        <f t="shared" ref="J92:J97" ca="1" si="89">SUM(H92:I92)</f>
        <v>3.974683191460235</v>
      </c>
      <c r="K92" s="213">
        <f ca="1">E92*(F92-G92)</f>
        <v>35.36</v>
      </c>
      <c r="L92" s="429">
        <f ca="1">INDEX(INDIRECT("SSW_WTPCore_DCE_"&amp;$C92&amp;"_UnitValues"),MATCH("COMBINED-HH",WTPCore_Group,0),MATCH("MEAN",LMH,0))</f>
        <v>28.111247840776404</v>
      </c>
      <c r="M92" s="429">
        <f ca="1">L92*(F92-G92)*(AllProps_CAM/HHProps_CAM)</f>
        <v>0.7970335870923948</v>
      </c>
      <c r="N92" s="89">
        <f ca="1">INDEX(INDIRECT("SSW_WTPCore2_"&amp;$C92&amp;"_UnitValues"),1,MATCH("MEAN",LMH,0))</f>
        <v>141.20106972505607</v>
      </c>
      <c r="O92" s="429">
        <f ca="1">N92*($F92-$G92)*(AllProps_CAM/HHProps_CAM)</f>
        <v>4.0034507091854694</v>
      </c>
      <c r="P92" s="16">
        <f ca="1">K92*N$99/K$98</f>
        <v>5.0314243029820673</v>
      </c>
      <c r="Q92" s="377" t="s">
        <v>127</v>
      </c>
      <c r="R92" s="391">
        <f ca="1">P92*HHProps_SSW/((F92-G92)*AllProps_SSW)</f>
        <v>178.74191717924251</v>
      </c>
      <c r="S92" s="12">
        <f t="shared" ref="S92:T97" ca="1" si="90">INDEX(INDIRECT("CAM_WTPCore2_"&amp;$B92&amp;"_Levels"),1,MATCH(S$4,WTPCore2_AttLevels,0))</f>
        <v>2.2222222222222223E-2</v>
      </c>
      <c r="T92" s="12">
        <f t="shared" ca="1" si="90"/>
        <v>1.5384615384615385E-2</v>
      </c>
      <c r="U92" s="168">
        <f t="shared" ref="U92:U97" ca="1" si="91">INDEX(INDIRECT("CAM_WTPCore2_"&amp;$B92&amp;"_LevelValues"),1,MATCH("S1 MEAN",WTPCore2_LevelValues,0))</f>
        <v>3.1155463151224057</v>
      </c>
      <c r="V92" s="168">
        <f t="shared" ref="V92:V97" ca="1" si="92">INDEX(INDIRECT("CAM_WTPCore2_"&amp;$B92&amp;"_LevelValues"),1,MATCH("S2 MEAN",WTPCore2_LevelValues,0))</f>
        <v>1.3419840000849801</v>
      </c>
      <c r="W92" s="168">
        <f ca="1">SUM(U92:V92)</f>
        <v>4.4575303152073857</v>
      </c>
      <c r="X92" s="386">
        <f ca="1">E92*(S92-T92)</f>
        <v>9.0666666666666664</v>
      </c>
      <c r="Y92" s="429">
        <f ca="1">INDEX(INDIRECT("CAM_WTPCore_"&amp;$C92&amp;"_UnitValues"),MATCH("COMBINED-HH",WTPCore_Group,0),MATCH("MEAN",LMH,0))</f>
        <v>308.90334405201918</v>
      </c>
      <c r="Z92" s="429">
        <f ca="1">Y92*($S92-$T92)*(AllProps_CAM/HHProps_CAM)</f>
        <v>2.2457142857142856</v>
      </c>
      <c r="AA92" s="89">
        <f ca="1">INDEX(INDIRECT("CAM_WTPCore2_"&amp;$C92&amp;"_UnitValues"),1,MATCH("MEAN",LMH,0))</f>
        <v>613.1439022942551</v>
      </c>
      <c r="AB92" s="429">
        <f ca="1">AA92*($S92-$T92)*(AllProps_CAM/HHProps_CAM)</f>
        <v>4.4575303152073857</v>
      </c>
      <c r="AC92" s="168">
        <f ca="1">X92*AA$99/X$98</f>
        <v>3.2110330317895355</v>
      </c>
      <c r="AD92" s="243" t="str">
        <f>Q92</f>
        <v>Property affected</v>
      </c>
      <c r="AE92" s="391">
        <f ca="1">(AC92*HHProps_CAM)/((S92-T92)*AllProps_CAM)</f>
        <v>441.6852347117665</v>
      </c>
    </row>
    <row r="93" spans="1:31" x14ac:dyDescent="0.35">
      <c r="A93" s="7" t="s">
        <v>131</v>
      </c>
      <c r="B93" s="7" t="s">
        <v>132</v>
      </c>
      <c r="C93" s="7" t="str">
        <f>B93</f>
        <v>TasteSmell</v>
      </c>
      <c r="D93" s="377" t="s">
        <v>127</v>
      </c>
      <c r="E93" s="124">
        <f ca="1">INDEX(INDIRECT("ExtWTP_"&amp;$B93&amp;"_UnitValues"),8,1)</f>
        <v>1233</v>
      </c>
      <c r="F93" s="383">
        <f t="shared" ca="1" si="86"/>
        <v>1.6666666666666666E-2</v>
      </c>
      <c r="G93" s="383">
        <f t="shared" ca="1" si="86"/>
        <v>1.1111111111111112E-2</v>
      </c>
      <c r="H93" s="16">
        <f t="shared" ca="1" si="87"/>
        <v>0.30818609087835352</v>
      </c>
      <c r="I93" s="16">
        <f t="shared" ca="1" si="88"/>
        <v>0.18578205633963885</v>
      </c>
      <c r="J93" s="16">
        <f t="shared" ca="1" si="89"/>
        <v>0.49396814721799237</v>
      </c>
      <c r="K93" s="213">
        <f ca="1">E93*(F93-G93)</f>
        <v>6.8499999999999988</v>
      </c>
      <c r="L93" s="429">
        <f ca="1">INDEX(INDIRECT("SSW_WTPCore_DCE_"&amp;$B93&amp;"_UnitValues"),MATCH("COMBINED-HH",WTPCore_Group,0),MATCH("MEAN",LMH,0))</f>
        <v>173.83878023943072</v>
      </c>
      <c r="M93" s="429">
        <f ca="1">L93*($F93-$G93)*(AllProps_SSW/HHProps_SSW)</f>
        <v>1.0194594594594593</v>
      </c>
      <c r="N93" s="89">
        <f ca="1">INDEX(INDIRECT("SSW_WTPCore2_"&amp;$B93&amp;"_UnitValues"),1,MATCH("MEAN",LMH,0))</f>
        <v>84.231716516748989</v>
      </c>
      <c r="O93" s="429">
        <f ca="1">N93*($F93-$G93)*(AllProps_SSW/HHProps_SSW)</f>
        <v>0.49396814721799237</v>
      </c>
      <c r="P93" s="16">
        <f t="shared" ref="P93:P97" ca="1" si="93">K93*N$99/K$98</f>
        <v>0.97469616729149189</v>
      </c>
      <c r="Q93" s="377" t="s">
        <v>127</v>
      </c>
      <c r="R93" s="391">
        <f ca="1">P93*HHProps_SSW/((F93-G93)*AllProps_SSW)</f>
        <v>166.20571936802867</v>
      </c>
      <c r="S93" s="12">
        <f t="shared" ca="1" si="90"/>
        <v>1.4285714285714285E-2</v>
      </c>
      <c r="T93" s="12">
        <f t="shared" ca="1" si="90"/>
        <v>0.01</v>
      </c>
      <c r="U93" s="168">
        <f t="shared" ca="1" si="91"/>
        <v>4.7204807663126298E-2</v>
      </c>
      <c r="V93" s="168">
        <f t="shared" ca="1" si="92"/>
        <v>0.1217094578997745</v>
      </c>
      <c r="W93" s="168">
        <f t="shared" ref="W93:W97" ca="1" si="94">SUM(U93:V93)</f>
        <v>0.16891426556290079</v>
      </c>
      <c r="X93" s="386">
        <f ca="1">E93*(S93-T93)</f>
        <v>5.2842857142857138</v>
      </c>
      <c r="Y93" s="429">
        <f t="shared" ref="Y93" ca="1" si="95">INDEX(INDIRECT("CAM_WTPCore_"&amp;$C93&amp;"_UnitValues"),MATCH("COMBINED-HH",WTPCore_Group,0),MATCH("MEAN",LMH,0))</f>
        <v>207.69569571588755</v>
      </c>
      <c r="Z93" s="429">
        <f ca="1">Y93*(S93-T93)*(AllProps_CAM/HHProps_CAM)</f>
        <v>0.94640816326530586</v>
      </c>
      <c r="AA93" s="89">
        <f t="shared" ref="AA93" ca="1" si="96">INDEX(INDIRECT("CAM_WTPCore2_"&amp;$C93&amp;"_UnitValues"),1,MATCH("MEAN",LMH,0))</f>
        <v>37.069382180075451</v>
      </c>
      <c r="AB93" s="429">
        <f ca="1">AA93*($S93-$T93)*(AllProps_CAM/HHProps_CAM)</f>
        <v>0.16891426556290079</v>
      </c>
      <c r="AC93" s="168">
        <f t="shared" ref="AC93:AC97" ca="1" si="97">X93*AA$99/X$98</f>
        <v>1.8714723505130497</v>
      </c>
      <c r="AD93" s="243" t="str">
        <f>Q93</f>
        <v>Property affected</v>
      </c>
      <c r="AE93" s="391">
        <f ca="1">(AC93*HHProps_CAM)/((S93-T93)*AllProps_CAM)</f>
        <v>410.70731101026252</v>
      </c>
    </row>
    <row r="94" spans="1:31" x14ac:dyDescent="0.35">
      <c r="A94" s="7" t="s">
        <v>876</v>
      </c>
      <c r="B94" s="7" t="s">
        <v>138</v>
      </c>
      <c r="C94" s="7" t="s">
        <v>1007</v>
      </c>
      <c r="D94" s="377" t="s">
        <v>127</v>
      </c>
      <c r="E94" s="124">
        <f ca="1">INDEX(INDIRECT("ExtWTP_"&amp;$C94&amp;"_UnitValues"),5,1)</f>
        <v>1396</v>
      </c>
      <c r="F94" s="383">
        <f t="shared" ca="1" si="86"/>
        <v>1.4285714285714285E-2</v>
      </c>
      <c r="G94" s="383">
        <f t="shared" ca="1" si="86"/>
        <v>9.5238095238095247E-3</v>
      </c>
      <c r="H94" s="16">
        <f t="shared" ca="1" si="87"/>
        <v>0.39718669024665654</v>
      </c>
      <c r="I94" s="16">
        <f t="shared" ca="1" si="88"/>
        <v>0.53859352958370721</v>
      </c>
      <c r="J94" s="16">
        <f t="shared" ca="1" si="89"/>
        <v>0.93578021983036375</v>
      </c>
      <c r="K94" s="213">
        <f ca="1">E94*(F94-G94)</f>
        <v>6.6476190476190462</v>
      </c>
      <c r="L94" s="429">
        <f ca="1">INDEX(INDIRECT("SSW_WTPCore_DCE_"&amp;$B94&amp;"_UnitValues"),MATCH("COMBINED-HH",WTPCore_Group,0),MATCH("MEAN",LMH,0))</f>
        <v>162.10819588181059</v>
      </c>
      <c r="M94" s="429">
        <f ca="1">L94*($F94-$G94)*(AllProps_SSW/HHProps_SSW)</f>
        <v>0.8148571428571425</v>
      </c>
      <c r="N94" s="89">
        <f ca="1">INDEX(INDIRECT("SSW_WTPCore2_"&amp;$B94&amp;"_UnitValues"),1,MATCH("MEAN",LMH,0))</f>
        <v>186.16470937063306</v>
      </c>
      <c r="O94" s="429">
        <f ca="1">N94*($F94-$G94)*(AllProps_SSW/HHProps_SSW)</f>
        <v>0.93578021983036375</v>
      </c>
      <c r="P94" s="16">
        <f t="shared" ca="1" si="93"/>
        <v>0.94589909596032173</v>
      </c>
      <c r="Q94" s="377" t="s">
        <v>127</v>
      </c>
      <c r="R94" s="391">
        <f ca="1">P94*HHProps_SSW/((F94-G94)*AllProps_SSW)</f>
        <v>188.17776499413463</v>
      </c>
      <c r="S94" s="12">
        <f t="shared" ca="1" si="90"/>
        <v>2.5000000000000001E-2</v>
      </c>
      <c r="T94" s="12">
        <f t="shared" ca="1" si="90"/>
        <v>1.6666666666666666E-2</v>
      </c>
      <c r="U94" s="168">
        <f t="shared" ca="1" si="91"/>
        <v>5.3490671066612649E-2</v>
      </c>
      <c r="V94" s="168">
        <f t="shared" ca="1" si="92"/>
        <v>0.33457681646237136</v>
      </c>
      <c r="W94" s="168">
        <f t="shared" ca="1" si="94"/>
        <v>0.38806748752898401</v>
      </c>
      <c r="X94" s="386">
        <f ca="1">E94*(S94-T94)</f>
        <v>11.633333333333336</v>
      </c>
      <c r="Y94" s="429">
        <f ca="1">INDEX(INDIRECT("CAM_WTPCore_"&amp;$B94&amp;"_UnitValues"),MATCH("COMBINED-HH",WTPCore_Group,0),MATCH("MEAN",LMH,0))</f>
        <v>28.26566546881222</v>
      </c>
      <c r="Z94" s="429">
        <f ca="1">Y94*($S94-$T94)*(AllProps_CAM/HHProps_CAM)</f>
        <v>0.25044117647058828</v>
      </c>
      <c r="AA94" s="89">
        <f ca="1">INDEX(INDIRECT("CAM_WTPCore2_"&amp;$B94&amp;"_UnitValues"),1,MATCH("MEAN",LMH,0))</f>
        <v>43.79865138952065</v>
      </c>
      <c r="AB94" s="429">
        <f ca="1">AA94*($S94-$T94)*(AllProps_CAM/HHProps_CAM)</f>
        <v>0.3880674875289839</v>
      </c>
      <c r="AC94" s="168">
        <f t="shared" ca="1" si="97"/>
        <v>4.1200387062299564</v>
      </c>
      <c r="AD94" s="243" t="str">
        <f>Q94</f>
        <v>Property affected</v>
      </c>
      <c r="AE94" s="391">
        <f ca="1">(AC94*HHProps_CAM)/((S94-T94)*AllProps_CAM)</f>
        <v>465.0019514763394</v>
      </c>
    </row>
    <row r="95" spans="1:31" x14ac:dyDescent="0.35">
      <c r="A95" s="7" t="s">
        <v>1010</v>
      </c>
      <c r="B95" s="7" t="s">
        <v>144</v>
      </c>
      <c r="C95" s="7" t="str">
        <f>B95</f>
        <v>TempBan</v>
      </c>
      <c r="D95" s="377" t="s">
        <v>127</v>
      </c>
      <c r="E95" s="124">
        <f ca="1">INDEX(INDIRECT("ExtWTP_"&amp;$B95&amp;"_UnitValues"),13,1)</f>
        <v>35</v>
      </c>
      <c r="F95" s="383">
        <f t="shared" ca="1" si="86"/>
        <v>2.5000000000000001E-2</v>
      </c>
      <c r="G95" s="383">
        <f t="shared" ca="1" si="86"/>
        <v>1.5384615384615385E-2</v>
      </c>
      <c r="H95" s="16">
        <f t="shared" ca="1" si="87"/>
        <v>0.4084226191643695</v>
      </c>
      <c r="I95" s="16">
        <f t="shared" ca="1" si="88"/>
        <v>0.28250000903457151</v>
      </c>
      <c r="J95" s="16">
        <f t="shared" ca="1" si="89"/>
        <v>0.69092262819894101</v>
      </c>
      <c r="K95" s="213">
        <f ca="1">E95*(F95-G95)</f>
        <v>0.33653846153846156</v>
      </c>
      <c r="L95" s="605">
        <f t="shared" ref="L95:L97" ca="1" si="98">INDEX(INDIRECT("SSW_WTPCore_DCE_"&amp;$C95&amp;"_UnitValues"),MATCH("COMBINED-HH",WTPCore_Group,0),MATCH("MEAN",LMH,0))</f>
        <v>245983.27199999994</v>
      </c>
      <c r="M95" s="429">
        <f ca="1">L95*(F95-G95)/HHProps_SSW*100</f>
        <v>0.43846153846153846</v>
      </c>
      <c r="N95" s="245">
        <f t="shared" ref="N95:N97" ca="1" si="99">INDEX(INDIRECT("SSW_WTPCore2_"&amp;$C95&amp;"_UnitValues"),1,MATCH("MEAN",LMH,0))</f>
        <v>387617.59897926223</v>
      </c>
      <c r="O95" s="429">
        <f ca="1">N95*(F95-G95)/HHProps_SSW*100</f>
        <v>0.69092262819894101</v>
      </c>
      <c r="P95" s="16">
        <f t="shared" ca="1" si="93"/>
        <v>4.7886532643461863E-2</v>
      </c>
      <c r="Q95" s="477" t="s">
        <v>145</v>
      </c>
      <c r="R95" s="391">
        <f ca="1">P95*HHProps_SSW/((F95-G95)*100)</f>
        <v>26865.03820997478</v>
      </c>
      <c r="S95" s="12">
        <f t="shared" ca="1" si="90"/>
        <v>0.05</v>
      </c>
      <c r="T95" s="12">
        <f t="shared" ca="1" si="90"/>
        <v>3.3333333333333333E-2</v>
      </c>
      <c r="U95" s="168">
        <f t="shared" ca="1" si="91"/>
        <v>0.15591350717379643</v>
      </c>
      <c r="V95" s="168">
        <f t="shared" ca="1" si="92"/>
        <v>5.0130987785217407E-2</v>
      </c>
      <c r="W95" s="168">
        <f t="shared" ca="1" si="94"/>
        <v>0.20604449495901384</v>
      </c>
      <c r="X95" s="386">
        <f ca="1">E95*(S95-T95)</f>
        <v>0.58333333333333348</v>
      </c>
      <c r="Y95" s="605">
        <f ca="1">INDEX(INDIRECT("CAM_WTPCore_"&amp;$C95&amp;"_UnitValues"),MATCH("COMBINED-HH",WTPCore_Group,0),MATCH("MEAN",LMH,0))</f>
        <v>469608.19199999986</v>
      </c>
      <c r="Z95" s="429">
        <f ca="1">Y95*(S95-T95)/HHProps_CAM*100</f>
        <v>5.76</v>
      </c>
      <c r="AA95" s="245">
        <f ca="1">INDEX(INDIRECT("CAM_WTPCore2_"&amp;$C95&amp;"_UnitValues"),1,MATCH("MEAN",LMH,0))</f>
        <v>16798.64283841243</v>
      </c>
      <c r="AB95" s="429">
        <f ca="1">AA95*(S95-T95)/HHProps_CAM*100</f>
        <v>0.20604449495901386</v>
      </c>
      <c r="AC95" s="168">
        <f t="shared" ca="1" si="97"/>
        <v>0.20659219873645912</v>
      </c>
      <c r="AD95" s="243" t="str">
        <f>Q95</f>
        <v>1% change in risk</v>
      </c>
      <c r="AE95" s="391">
        <f ca="1">(AC95*HHProps_CAM)/((S95-T95)*100)</f>
        <v>16843.29668922452</v>
      </c>
    </row>
    <row r="96" spans="1:31" x14ac:dyDescent="0.35">
      <c r="A96" s="7" t="s">
        <v>949</v>
      </c>
      <c r="B96" s="7" t="s">
        <v>136</v>
      </c>
      <c r="C96" s="7" t="str">
        <f>B96</f>
        <v>Hardness</v>
      </c>
      <c r="D96" s="377" t="s">
        <v>127</v>
      </c>
      <c r="E96" s="124">
        <f ca="1">INDEX(INDIRECT("ExtWTP_"&amp;$B96&amp;"_UnitValues"),5,1)</f>
        <v>41</v>
      </c>
      <c r="F96" s="444">
        <f t="shared" ca="1" si="86"/>
        <v>0</v>
      </c>
      <c r="G96" s="444">
        <f t="shared" ca="1" si="86"/>
        <v>4000</v>
      </c>
      <c r="H96" s="16">
        <f t="shared" ca="1" si="87"/>
        <v>5.2894480160712298</v>
      </c>
      <c r="I96" s="16">
        <f t="shared" ca="1" si="88"/>
        <v>0.60625599239311434</v>
      </c>
      <c r="J96" s="16">
        <f t="shared" ca="1" si="89"/>
        <v>5.8957040084643442</v>
      </c>
      <c r="K96" s="213">
        <f ca="1">-E96*(F96-G96)/HHProps_SSW</f>
        <v>0.30402067340579159</v>
      </c>
      <c r="L96" s="429">
        <f t="shared" ca="1" si="98"/>
        <v>6.1861063528998557</v>
      </c>
      <c r="M96" s="429">
        <f ca="1">-L96*(F96-G96)/HHProps_SSW</f>
        <v>4.5870834613864868E-2</v>
      </c>
      <c r="N96" s="89">
        <f t="shared" ca="1" si="99"/>
        <v>795.09022080349519</v>
      </c>
      <c r="O96" s="429">
        <f ca="1">-N96*(F96-G96)/HHProps_SSW</f>
        <v>5.8957040084643442</v>
      </c>
      <c r="P96" s="16">
        <f t="shared" ca="1" si="93"/>
        <v>4.3259530678248698E-2</v>
      </c>
      <c r="Q96" s="377" t="s">
        <v>127</v>
      </c>
      <c r="R96" s="391">
        <f ca="1">-P96*HHProps_SSW/((F96-G96))</f>
        <v>5.8339478626206107</v>
      </c>
      <c r="S96" s="460">
        <f t="shared" ca="1" si="90"/>
        <v>0</v>
      </c>
      <c r="T96" s="460">
        <f t="shared" ca="1" si="90"/>
        <v>1350</v>
      </c>
      <c r="U96" s="168">
        <f t="shared" ca="1" si="91"/>
        <v>2.6407734226292283</v>
      </c>
      <c r="V96" s="168">
        <f t="shared" ca="1" si="92"/>
        <v>0.50756688037153719</v>
      </c>
      <c r="W96" s="168">
        <f t="shared" ca="1" si="94"/>
        <v>3.1483403030007655</v>
      </c>
      <c r="X96" s="386">
        <f ca="1">-E96*(S96-T96)/HHProps_CAM</f>
        <v>0.4073387203603126</v>
      </c>
      <c r="Y96" s="429">
        <f t="shared" ref="Y96" ca="1" si="100">INDEX(INDIRECT("CAM_WTPCore_"&amp;$C96&amp;"_UnitValues"),MATCH("COMBINED-HH",WTPCore_Group,0),MATCH("MEAN",LMH,0))</f>
        <v>5.6902010050251253</v>
      </c>
      <c r="Z96" s="429">
        <f ca="1">-Y96*(S96-T96)/HHProps_CAM</f>
        <v>5.653266331658291E-2</v>
      </c>
      <c r="AA96" s="89">
        <f t="shared" ref="AA96" ca="1" si="101">INDEX(INDIRECT("CAM_WTPCore2_"&amp;$C96&amp;"_UnitValues"),1,MATCH("MEAN",LMH,0))</f>
        <v>316.89094596470369</v>
      </c>
      <c r="AB96" s="429">
        <f ca="1">-AA96*(R96-T96)/HHProps_CAM</f>
        <v>3.1347349302737331</v>
      </c>
      <c r="AC96" s="168">
        <f t="shared" ca="1" si="97"/>
        <v>0.14426228891954165</v>
      </c>
      <c r="AD96" s="243" t="str">
        <f>Q96</f>
        <v>Property affected</v>
      </c>
      <c r="AE96" s="391">
        <f ca="1">-(AC96*HHProps_CAM)/((S96-T96))</f>
        <v>14.520480254048266</v>
      </c>
    </row>
    <row r="97" spans="1:31" x14ac:dyDescent="0.35">
      <c r="A97" s="7" t="s">
        <v>40</v>
      </c>
      <c r="B97" s="7" t="s">
        <v>40</v>
      </c>
      <c r="C97" s="7" t="s">
        <v>40</v>
      </c>
      <c r="D97" s="377" t="s">
        <v>728</v>
      </c>
      <c r="E97" s="124">
        <f ca="1">INDEX(INDIRECT("ExtWTP_"&amp;$B97&amp;"_UnitValues"),4,1)</f>
        <v>267960</v>
      </c>
      <c r="F97" s="444">
        <f t="shared" ca="1" si="86"/>
        <v>70.5</v>
      </c>
      <c r="G97" s="444">
        <f t="shared" ca="1" si="86"/>
        <v>35.25</v>
      </c>
      <c r="H97" s="16">
        <f t="shared" ca="1" si="87"/>
        <v>1.2301339708448666</v>
      </c>
      <c r="I97" s="16">
        <f t="shared" ca="1" si="88"/>
        <v>0.44133293088857806</v>
      </c>
      <c r="J97" s="16">
        <f t="shared" ca="1" si="89"/>
        <v>1.6714669017334447</v>
      </c>
      <c r="K97" s="213">
        <f ca="1">E97*(F97-G97)/AllProps_SSW</f>
        <v>16.587943978574877</v>
      </c>
      <c r="L97" s="429">
        <f t="shared" ca="1" si="98"/>
        <v>30606.35460992908</v>
      </c>
      <c r="M97" s="429">
        <f ca="1">L97*(F97-G97)/HHProps_SSW</f>
        <v>2</v>
      </c>
      <c r="N97" s="89">
        <f t="shared" ca="1" si="99"/>
        <v>25578.754356606645</v>
      </c>
      <c r="O97" s="429">
        <f ca="1">N97*(F97-G97)/HHProps_SSW</f>
        <v>1.6714669017334447</v>
      </c>
      <c r="P97" s="16">
        <f t="shared" ca="1" si="93"/>
        <v>2.3603219590018862</v>
      </c>
      <c r="Q97" s="377" t="s">
        <v>728</v>
      </c>
      <c r="R97" s="391">
        <f ca="1">P97*HHProps_SSW/((F97-G97))</f>
        <v>36120.425435407109</v>
      </c>
      <c r="S97" s="443">
        <f t="shared" ca="1" si="90"/>
        <v>13.5</v>
      </c>
      <c r="T97" s="443">
        <f t="shared" ca="1" si="90"/>
        <v>6.75</v>
      </c>
      <c r="U97" s="168">
        <f t="shared" ca="1" si="91"/>
        <v>3.1349723048319831</v>
      </c>
      <c r="V97" s="168">
        <f t="shared" ca="1" si="92"/>
        <v>5.1405797633106154E-3</v>
      </c>
      <c r="W97" s="168">
        <f t="shared" ca="1" si="94"/>
        <v>3.1401128845952937</v>
      </c>
      <c r="X97" s="386">
        <f ca="1">E97*(S97-T97)/AllProps_CAM</f>
        <v>12.519415258108726</v>
      </c>
      <c r="Y97" s="429">
        <f ca="1">INDEX(INDIRECT("CAM_WTPCore_"&amp;$C97&amp;"_UnitValues"),MATCH("COMBINED-HH",WTPCore_Group,0),MATCH("MEAN",LMH,0))</f>
        <v>145343.41333333333</v>
      </c>
      <c r="Z97" s="429">
        <f ca="1">Y97*(S97-T97)/HHProps_CAM</f>
        <v>7.2200000000000006</v>
      </c>
      <c r="AA97" s="89">
        <f ca="1">INDEX(INDIRECT("CAM_WTPCore2_"&amp;$C97&amp;"_UnitValues"),1,MATCH("MEAN",LMH,0))</f>
        <v>63212.565775492993</v>
      </c>
      <c r="AB97" s="429">
        <f ca="1">AA97*(S97-T97)/HHProps_CAM</f>
        <v>3.1401128845952937</v>
      </c>
      <c r="AC97" s="168">
        <f t="shared" ca="1" si="97"/>
        <v>4.4338517572584957</v>
      </c>
      <c r="AD97" s="243" t="s">
        <v>728</v>
      </c>
      <c r="AE97" s="391">
        <f ca="1">AC97*HHProps_CAM/((S97-T97))</f>
        <v>89256.391774785021</v>
      </c>
    </row>
    <row r="98" spans="1:31" ht="15" thickBot="1" x14ac:dyDescent="0.4">
      <c r="D98" s="477"/>
      <c r="E98" s="16"/>
      <c r="F98" s="16"/>
      <c r="G98" s="16"/>
      <c r="H98" s="16"/>
      <c r="I98" s="16"/>
      <c r="J98" s="330">
        <f ca="1">SUM(J92:J97)</f>
        <v>13.662525096905322</v>
      </c>
      <c r="K98" s="331">
        <f ca="1">SUM(K92:K97)</f>
        <v>66.086122161138178</v>
      </c>
      <c r="L98" s="331"/>
      <c r="M98" s="331">
        <f ca="1">SUM(M92:M97)</f>
        <v>5.1156825624844</v>
      </c>
      <c r="N98" s="331"/>
      <c r="O98" s="331">
        <f ca="1">SUM(O92:O97)</f>
        <v>13.691292614630555</v>
      </c>
      <c r="P98" s="330">
        <f ca="1">SUM(P92:P97)</f>
        <v>9.4034875885574785</v>
      </c>
      <c r="Q98"/>
      <c r="R98" s="667"/>
      <c r="S98" s="10"/>
      <c r="T98" s="10"/>
      <c r="U98" s="10"/>
      <c r="V98" s="10"/>
      <c r="W98" s="44">
        <f ca="1">SUM(W92:W97)</f>
        <v>11.509009750854343</v>
      </c>
      <c r="X98" s="389">
        <f ca="1">SUM(X92:X97)</f>
        <v>39.494373026088084</v>
      </c>
      <c r="Y98" s="389"/>
      <c r="Z98" s="389">
        <f ca="1">SUM(Z92:Z97)</f>
        <v>16.479096288766762</v>
      </c>
      <c r="AA98" s="389"/>
      <c r="AB98" s="222">
        <f ca="1">SUM(AB92:AB97)</f>
        <v>11.49540437812731</v>
      </c>
      <c r="AC98" s="44">
        <f ca="1">SUM(AC92:AC97)</f>
        <v>13.987250333447037</v>
      </c>
      <c r="AE98" s="667"/>
    </row>
    <row r="99" spans="1:31" x14ac:dyDescent="0.35">
      <c r="A99" s="50"/>
      <c r="B99" s="50"/>
      <c r="C99" s="50"/>
      <c r="D99" s="380"/>
      <c r="E99" s="371"/>
      <c r="F99" s="352"/>
      <c r="G99" s="352"/>
      <c r="H99" s="352"/>
      <c r="I99" s="352"/>
      <c r="J99" s="352"/>
      <c r="K99" s="50"/>
      <c r="L99" s="50"/>
      <c r="M99" s="39" t="s">
        <v>361</v>
      </c>
      <c r="N99" s="546">
        <f ca="1">AVERAGE(M98,O98)</f>
        <v>9.4034875885574785</v>
      </c>
      <c r="O99" s="39"/>
      <c r="P99" s="50"/>
      <c r="Q99" s="50"/>
      <c r="R99" s="50"/>
      <c r="S99" s="352"/>
      <c r="T99" s="352"/>
      <c r="U99" s="352"/>
      <c r="V99" s="352"/>
      <c r="W99" s="352"/>
      <c r="X99" s="352"/>
      <c r="Y99" s="352"/>
      <c r="Z99" s="390" t="s">
        <v>361</v>
      </c>
      <c r="AA99" s="546">
        <f ca="1">AVERAGE(Z98,AB98)</f>
        <v>13.987250333447037</v>
      </c>
      <c r="AB99" s="390"/>
      <c r="AC99" s="50"/>
      <c r="AD99" s="50"/>
      <c r="AE99" s="50"/>
    </row>
    <row r="100" spans="1:31" x14ac:dyDescent="0.35"/>
    <row r="101" spans="1:31" x14ac:dyDescent="0.35"/>
    <row r="102" spans="1:31" x14ac:dyDescent="0.35"/>
    <row r="103" spans="1:31" x14ac:dyDescent="0.35"/>
    <row r="104" spans="1:31" x14ac:dyDescent="0.35"/>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theme="6"/>
  </sheetPr>
  <dimension ref="A1:AH102"/>
  <sheetViews>
    <sheetView zoomScale="70" zoomScaleNormal="70" workbookViewId="0">
      <pane xSplit="1" ySplit="4" topLeftCell="I62" activePane="bottomRight" state="frozen"/>
      <selection pane="topRight" activeCell="B1" sqref="B1"/>
      <selection pane="bottomLeft" activeCell="A5" sqref="A5"/>
      <selection pane="bottomRight"/>
    </sheetView>
  </sheetViews>
  <sheetFormatPr defaultColWidth="0" defaultRowHeight="14.5" zeroHeight="1" x14ac:dyDescent="0.35"/>
  <cols>
    <col min="1" max="1" width="48.1796875" style="7" bestFit="1" customWidth="1"/>
    <col min="2" max="3" width="18.26953125" style="7" customWidth="1"/>
    <col min="4" max="4" width="18.26953125" style="31" customWidth="1"/>
    <col min="5" max="5" width="13.26953125" style="31" customWidth="1"/>
    <col min="6" max="10" width="13.26953125" style="43" customWidth="1"/>
    <col min="11" max="16" width="13.26953125" style="7" customWidth="1"/>
    <col min="17" max="17" width="19" style="7" customWidth="1"/>
    <col min="18" max="18" width="15.26953125" style="7" customWidth="1"/>
    <col min="19" max="24" width="13" style="43" customWidth="1"/>
    <col min="25" max="25" width="16.453125" style="43" customWidth="1"/>
    <col min="26" max="28" width="13" style="43" customWidth="1"/>
    <col min="29" max="29" width="13" style="7" customWidth="1"/>
    <col min="30" max="30" width="19" style="7" customWidth="1"/>
    <col min="31" max="31" width="14.453125" style="7" customWidth="1"/>
    <col min="32" max="32" width="9.1796875" style="7" customWidth="1"/>
    <col min="33" max="34" width="0" style="7" hidden="1" customWidth="1"/>
    <col min="35" max="16384" width="9.1796875" style="7" hidden="1"/>
  </cols>
  <sheetData>
    <row r="1" spans="1:31" ht="28.5" x14ac:dyDescent="0.65">
      <c r="A1" s="76" t="s">
        <v>1012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row>
    <row r="2" spans="1:31" ht="19.5" x14ac:dyDescent="0.45">
      <c r="A2" s="311"/>
      <c r="B2" s="311"/>
      <c r="C2" s="311"/>
      <c r="D2" s="47"/>
      <c r="E2" s="47"/>
      <c r="F2" s="126" t="s">
        <v>1013</v>
      </c>
      <c r="G2" s="126"/>
      <c r="H2" s="126"/>
      <c r="I2" s="126"/>
      <c r="J2" s="126"/>
      <c r="K2" s="126"/>
      <c r="L2" s="126"/>
      <c r="M2" s="126"/>
      <c r="N2" s="126"/>
      <c r="O2" s="126"/>
      <c r="P2" s="126"/>
      <c r="Q2" s="126"/>
      <c r="R2" s="126"/>
      <c r="S2" s="430" t="s">
        <v>1014</v>
      </c>
      <c r="T2" s="48"/>
      <c r="U2" s="48"/>
      <c r="V2" s="48"/>
      <c r="W2" s="48"/>
      <c r="X2" s="48"/>
      <c r="Y2" s="48"/>
      <c r="Z2" s="48"/>
      <c r="AA2" s="48"/>
      <c r="AB2" s="48"/>
      <c r="AC2" s="49"/>
      <c r="AD2" s="49"/>
      <c r="AE2" s="49"/>
    </row>
    <row r="3" spans="1:31" ht="15" thickBot="1" x14ac:dyDescent="0.4">
      <c r="A3" s="50"/>
      <c r="B3" s="50"/>
      <c r="C3" s="50"/>
      <c r="D3" s="376" t="s">
        <v>1000</v>
      </c>
      <c r="E3" s="376"/>
      <c r="F3" s="376" t="s">
        <v>1003</v>
      </c>
      <c r="G3" s="376"/>
      <c r="H3" s="376" t="s">
        <v>1015</v>
      </c>
      <c r="I3" s="376"/>
      <c r="J3" s="376"/>
      <c r="K3" s="376" t="s">
        <v>1002</v>
      </c>
      <c r="L3" s="376"/>
      <c r="M3" s="376"/>
      <c r="N3" s="376"/>
      <c r="O3" s="376"/>
      <c r="P3" s="376"/>
      <c r="Q3" s="376"/>
      <c r="R3" s="376"/>
      <c r="S3" s="376" t="s">
        <v>1016</v>
      </c>
      <c r="T3" s="376"/>
      <c r="U3" s="376" t="s">
        <v>678</v>
      </c>
      <c r="V3" s="376"/>
      <c r="W3" s="376"/>
      <c r="X3" s="376" t="s">
        <v>1002</v>
      </c>
      <c r="Y3" s="376"/>
      <c r="Z3" s="376"/>
      <c r="AA3" s="376"/>
      <c r="AB3" s="376"/>
      <c r="AC3" s="376"/>
      <c r="AD3" s="376"/>
      <c r="AE3" s="376"/>
    </row>
    <row r="4" spans="1:31" ht="72.5" x14ac:dyDescent="0.35">
      <c r="A4" s="52" t="s">
        <v>89</v>
      </c>
      <c r="B4" s="54" t="s">
        <v>1004</v>
      </c>
      <c r="C4" s="54" t="s">
        <v>1005</v>
      </c>
      <c r="D4" s="319" t="s">
        <v>124</v>
      </c>
      <c r="E4" s="381" t="s">
        <v>1006</v>
      </c>
      <c r="F4" s="205" t="s">
        <v>350</v>
      </c>
      <c r="G4" s="205" t="s">
        <v>352</v>
      </c>
      <c r="H4" s="382" t="s">
        <v>353</v>
      </c>
      <c r="I4" s="382" t="s">
        <v>354</v>
      </c>
      <c r="J4" s="382" t="s">
        <v>355</v>
      </c>
      <c r="K4" s="88" t="s">
        <v>674</v>
      </c>
      <c r="L4" s="598" t="s">
        <v>356</v>
      </c>
      <c r="M4" s="598" t="s">
        <v>357</v>
      </c>
      <c r="N4" s="598" t="s">
        <v>358</v>
      </c>
      <c r="O4" s="598" t="s">
        <v>359</v>
      </c>
      <c r="P4" s="88" t="s">
        <v>346</v>
      </c>
      <c r="Q4" s="189" t="s">
        <v>124</v>
      </c>
      <c r="R4" s="268" t="s">
        <v>681</v>
      </c>
      <c r="S4" s="205" t="s">
        <v>350</v>
      </c>
      <c r="T4" s="205" t="s">
        <v>352</v>
      </c>
      <c r="U4" s="382" t="s">
        <v>353</v>
      </c>
      <c r="V4" s="382" t="s">
        <v>354</v>
      </c>
      <c r="W4" s="382" t="s">
        <v>355</v>
      </c>
      <c r="X4" s="88" t="s">
        <v>674</v>
      </c>
      <c r="Y4" s="598" t="s">
        <v>356</v>
      </c>
      <c r="Z4" s="598" t="s">
        <v>357</v>
      </c>
      <c r="AA4" s="598" t="s">
        <v>358</v>
      </c>
      <c r="AB4" s="598" t="s">
        <v>359</v>
      </c>
      <c r="AC4" s="88" t="s">
        <v>346</v>
      </c>
      <c r="AD4" s="189" t="s">
        <v>124</v>
      </c>
      <c r="AE4" s="268" t="s">
        <v>681</v>
      </c>
    </row>
    <row r="5" spans="1:31" x14ac:dyDescent="0.35">
      <c r="A5" s="7" t="s">
        <v>131</v>
      </c>
      <c r="B5" s="7" t="s">
        <v>132</v>
      </c>
      <c r="C5" s="7" t="str">
        <f>B5</f>
        <v>TasteSmell</v>
      </c>
      <c r="D5" s="377" t="s">
        <v>127</v>
      </c>
      <c r="E5" s="124">
        <f ca="1">INDEX(INDIRECT("ExtWTP_"&amp;$C5&amp;"_UnitValues"),MATCH(A$4, INDIRECT("ExtWTP_Comps_"&amp;C5),0),MATCH("NHH",ExtWTP_Group,0))</f>
        <v>106972</v>
      </c>
      <c r="F5" s="383">
        <f ca="1">INDEX(INDIRECT("SSW_WTPCore2_"&amp;$B5&amp;"_Levels"),2,MATCH(F$4,WTPCore2_AttLevels,0))</f>
        <v>1.6666666666666666E-2</v>
      </c>
      <c r="G5" s="383">
        <f ca="1">INDEX(INDIRECT("SSW_WTPCore2_"&amp;$B5&amp;"_Levels"),2,MATCH(G$4,WTPCore2_AttLevels,0))</f>
        <v>1.1111111111111112E-2</v>
      </c>
      <c r="H5" s="431">
        <f ca="1">INDEX(INDIRECT("SSW_WTPCore2_"&amp;$B5&amp;"_LevelValues"),2,MATCH("S1 MEAN",WTPCore2_LevelValues,0))</f>
        <v>3.6865032727528453E-3</v>
      </c>
      <c r="I5" s="431">
        <f ca="1">INDEX(INDIRECT("SSW_WTPCore2_"&amp;$B5&amp;"_LevelValues"),2,MATCH("S2 MEAN",WTPCore2_LevelValues,0))</f>
        <v>5.1592292451456759E-6</v>
      </c>
      <c r="J5" s="431">
        <f ca="1">SUM(H5:I5)</f>
        <v>3.691662501997991E-3</v>
      </c>
      <c r="K5" s="213">
        <f ca="1">E5*(F5-G5)</f>
        <v>594.28888888888878</v>
      </c>
      <c r="L5" s="429">
        <f ca="1">INDEX(INDIRECT("SSW_WTPCore_DCE_"&amp;$B5&amp;"_UnitValues"),MATCH("COMBINED-NHH",WTPCore_Group,0),MATCH("MEAN",LMH,0))</f>
        <v>59.451088669301917</v>
      </c>
      <c r="M5" s="429">
        <f ca="1">L5*($F5-$G5)*(AllProps_SSW/NHHProps_SSW)</f>
        <v>6.2715708812260536</v>
      </c>
      <c r="N5" s="89">
        <f ca="1">INDEX(INDIRECT("SSW_WTPCore2_"&amp;$B5&amp;"_UnitValues"),2,MATCH("MEAN",LMH,0))</f>
        <v>154.81769077846621</v>
      </c>
      <c r="O5" s="429">
        <f ca="1">N5*($F5-$G5)*(AllProps_SSW/NHHProps_SSW)</f>
        <v>16.331914908839114</v>
      </c>
      <c r="P5" s="16">
        <f ca="1">K5*N$8/K$7</f>
        <v>22.63767276647549</v>
      </c>
      <c r="Q5" s="377" t="s">
        <v>127</v>
      </c>
      <c r="R5" s="391">
        <f ca="1">P5*NHHProps_SSW/((F5-G5)*AllProps_SSW)</f>
        <v>214.59285343248379</v>
      </c>
      <c r="S5" s="383">
        <f ca="1">INDEX(INDIRECT("CAM_WTPCore2_"&amp;$B5&amp;"_Levels"),2,MATCH(S$4,WTPCore2_AttLevels,0))</f>
        <v>1.4285714285714285E-2</v>
      </c>
      <c r="T5" s="383">
        <f ca="1">INDEX(INDIRECT("CAM_WTPCore2_"&amp;$B5&amp;"_Levels"),2,MATCH(T$4,WTPCore2_AttLevels,0))</f>
        <v>0.01</v>
      </c>
      <c r="U5" s="431">
        <f ca="1">INDEX(INDIRECT("CAM_WTPCore2_"&amp;$B5&amp;"_LevelValues"),2,MATCH("S1 MEAN",WTPCore2_LevelValues,0))</f>
        <v>4.257264223936371E-2</v>
      </c>
      <c r="V5" s="431">
        <f ca="1">INDEX(INDIRECT("CAM_WTPCore2_"&amp;$B5&amp;"_LevelValues"),2,MATCH("S2 MEAN",WTPCore2_LevelValues,0))</f>
        <v>1.0971349631991048E-2</v>
      </c>
      <c r="W5" s="431">
        <f ca="1">SUM(U5:V5)</f>
        <v>5.3543991871354758E-2</v>
      </c>
      <c r="X5" s="213">
        <f ca="1">E5*(S5-T5)</f>
        <v>458.45142857142849</v>
      </c>
      <c r="Y5" s="429">
        <f ca="1">INDEX(INDIRECT("CAM_WTPCore_"&amp;$B5&amp;"_UnitValues"),MATCH("COMBINED-NHH",WTPCore_Group,0),MATCH("MEAN",LMH,0))</f>
        <v>152.24552514639311</v>
      </c>
      <c r="Z5" s="429">
        <f ca="1">Y5*($S5-$T5)*(AllProps_CAM/NHHProps_CAM)</f>
        <v>10.97142857142857</v>
      </c>
      <c r="AA5" s="89">
        <f ca="1">INDEX(INDIRECT("CAM_WTPCore2_"&amp;$B5&amp;"_UnitValues"),2,MATCH("MEAN",LMH,0))</f>
        <v>3804.1888084146854</v>
      </c>
      <c r="AB5" s="429">
        <f ca="1">AA5*($S5-$T5)*(AllProps_CAM/NHHProps_CAM)</f>
        <v>274.14523838133641</v>
      </c>
      <c r="AC5" s="16">
        <f ca="1">X5*AA$8/X$7</f>
        <v>142.25736704502512</v>
      </c>
      <c r="AD5" s="243" t="str">
        <f>Q5</f>
        <v>Property affected</v>
      </c>
      <c r="AE5" s="668">
        <f ca="1">(AC5*NHHProps_CAM)/((S5-T5)*AllProps_CAM)</f>
        <v>1974.0407924738458</v>
      </c>
    </row>
    <row r="6" spans="1:31" x14ac:dyDescent="0.35">
      <c r="A6" s="7" t="s">
        <v>876</v>
      </c>
      <c r="B6" s="7" t="s">
        <v>138</v>
      </c>
      <c r="C6" s="7" t="s">
        <v>1007</v>
      </c>
      <c r="D6" s="377" t="s">
        <v>127</v>
      </c>
      <c r="E6" s="124">
        <f ca="1">INDEX(INDIRECT("ExtWTP_"&amp;$C6&amp;"_UnitValues"),MATCH(A$4, INDIRECT("ExtWTP_Comps_"&amp;C6),0),MATCH("NHH",ExtWTP_Group,0))</f>
        <v>2455</v>
      </c>
      <c r="F6" s="383">
        <f ca="1">INDEX(INDIRECT("SSW_WTPCore2_"&amp;$B6&amp;"_Levels"),2,MATCH(F$4,WTPCore2_AttLevels,0))</f>
        <v>1.2500000000000001E-2</v>
      </c>
      <c r="G6" s="383">
        <f ca="1">INDEX(INDIRECT("SSW_WTPCore2_"&amp;$B6&amp;"_Levels"),2,MATCH(G$4,WTPCore2_AttLevels,0))</f>
        <v>8.3333333333333332E-3</v>
      </c>
      <c r="H6" s="431">
        <f ca="1">INDEX(INDIRECT("SSW_WTPCore2_"&amp;$B6&amp;"_LevelValues"),2,MATCH("S1 MEAN",WTPCore2_LevelValues,0))</f>
        <v>2.3562800507588295E-4</v>
      </c>
      <c r="I6" s="431">
        <f ca="1">INDEX(INDIRECT("SSW_WTPCore2_"&amp;$B6&amp;"_LevelValues"),2,MATCH("S2 MEAN",WTPCore2_LevelValues,0))</f>
        <v>4.1117889914467278E-4</v>
      </c>
      <c r="J6" s="431">
        <f ca="1">SUM(H6:I6)</f>
        <v>6.4680690422055573E-4</v>
      </c>
      <c r="K6" s="213">
        <f ca="1">E6*(F6-G6)</f>
        <v>10.229166666666668</v>
      </c>
      <c r="L6" s="429">
        <f ca="1">INDEX(INDIRECT("SSW_WTPCore_DCE_"&amp;$B6&amp;"_UnitValues"),MATCH("COMBINED-NHH",WTPCore_Group,0),MATCH("MEAN",LMH,0))</f>
        <v>260.23872775996313</v>
      </c>
      <c r="M6" s="429">
        <f ca="1">L6*($F6-$G6)*(AllProps_SSW/NHHProps_SSW)</f>
        <v>20.589685534591201</v>
      </c>
      <c r="N6" s="89">
        <f ca="1">INDEX(INDIRECT("SSW_WTPCore2_"&amp;$B6&amp;"_UnitValues"),2,MATCH("MEAN",LMH,0))</f>
        <v>36.166957745748803</v>
      </c>
      <c r="O6" s="429">
        <f ca="1">N6*($F6-$G6)*(AllProps_SSW/NHHProps_SSW)</f>
        <v>2.8614737442717386</v>
      </c>
      <c r="P6" s="16">
        <f ca="1">K6*N$8/K$7</f>
        <v>0.38964976798856715</v>
      </c>
      <c r="Q6" s="377" t="s">
        <v>127</v>
      </c>
      <c r="R6" s="391">
        <f ca="1">P6*NHHProps_SSW/((F6-G6)*AllProps_SSW)</f>
        <v>4.9248911413897805</v>
      </c>
      <c r="S6" s="383">
        <f ca="1">INDEX(INDIRECT("CAM_WTPCore2_"&amp;$B6&amp;"_Levels"),2,MATCH(S$4,WTPCore2_AttLevels,0))</f>
        <v>2.5000000000000001E-2</v>
      </c>
      <c r="T6" s="383">
        <f ca="1">INDEX(INDIRECT("CAM_WTPCore2_"&amp;$B6&amp;"_Levels"),2,MATCH(T$4,WTPCore2_AttLevels,0))</f>
        <v>1.6666666666666666E-2</v>
      </c>
      <c r="U6" s="431">
        <f ca="1">INDEX(INDIRECT("CAM_WTPCore2_"&amp;$B6&amp;"_LevelValues"),2,MATCH("S1 MEAN",WTPCore2_LevelValues,0))</f>
        <v>2.654718763279678E-4</v>
      </c>
      <c r="V6" s="431">
        <f ca="1">INDEX(INDIRECT("CAM_WTPCore2_"&amp;$B6&amp;"_LevelValues"),2,MATCH("S2 MEAN",WTPCore2_LevelValues,0))</f>
        <v>1.3401602008677625E-5</v>
      </c>
      <c r="W6" s="431">
        <f ca="1">SUM(U6:V6)</f>
        <v>2.7887347833664542E-4</v>
      </c>
      <c r="X6" s="213">
        <f ca="1">E6*(S6-T6)</f>
        <v>20.458333333333336</v>
      </c>
      <c r="Y6" s="429">
        <f ca="1">INDEX(INDIRECT("CAM_WTPCore_"&amp;$B6&amp;"_UnitValues"),MATCH("COMBINED-NHH",WTPCore_Group,0),MATCH("MEAN",LMH,0))</f>
        <v>76.122762573196539</v>
      </c>
      <c r="Z6" s="429">
        <f ca="1">Y6*($S6-$T6)*(AllProps_CAM/NHHProps_CAM)</f>
        <v>10.666666666666668</v>
      </c>
      <c r="AA6" s="89">
        <f ca="1">INDEX(INDIRECT("CAM_WTPCore2_"&amp;$B6&amp;"_UnitValues"),2,MATCH("MEAN",LMH,0))</f>
        <v>10.189737398103325</v>
      </c>
      <c r="AB6" s="429">
        <f ca="1">AA6*($S6-$T6)*(AllProps_CAM/NHHProps_CAM)</f>
        <v>1.4278322090836246</v>
      </c>
      <c r="AC6" s="16">
        <f ca="1">X6*AA$8/X$7</f>
        <v>6.3482158692325434</v>
      </c>
      <c r="AD6" s="243" t="str">
        <f>Q6</f>
        <v>Property affected</v>
      </c>
      <c r="AE6" s="668">
        <f ca="1">(AC6*NHHProps_CAM)/((S6-T6)*AllProps_CAM)</f>
        <v>45.304099629092569</v>
      </c>
    </row>
    <row r="7" spans="1:31" x14ac:dyDescent="0.35">
      <c r="D7" s="377"/>
      <c r="E7" s="124"/>
      <c r="F7" s="16"/>
      <c r="G7" s="16"/>
      <c r="H7" s="16"/>
      <c r="I7" s="16"/>
      <c r="J7" s="330">
        <f ca="1">(SUM(J5:J6))*AvgNHHBill_SSW</f>
        <v>19.193388653110851</v>
      </c>
      <c r="K7" s="331">
        <f ca="1">SUM(K5:K6)</f>
        <v>604.51805555555541</v>
      </c>
      <c r="L7" s="331"/>
      <c r="M7" s="331">
        <f ca="1">SUM(M5:M6)</f>
        <v>26.861256415817255</v>
      </c>
      <c r="N7" s="331"/>
      <c r="O7" s="331">
        <f ca="1">SUM(O5:O6)</f>
        <v>19.193388653110851</v>
      </c>
      <c r="P7" s="330">
        <f ca="1">SUM(P5:P6)</f>
        <v>23.027322534464055</v>
      </c>
      <c r="Q7" s="201"/>
      <c r="R7" s="466"/>
      <c r="S7" s="16"/>
      <c r="T7" s="16"/>
      <c r="U7" s="16"/>
      <c r="V7" s="16"/>
      <c r="W7" s="610">
        <f ca="1">(SUM(W5:W6))*AvgNHHBill_CAM</f>
        <v>275.57307059042</v>
      </c>
      <c r="X7" s="331">
        <f ca="1">SUM(X5:X6)</f>
        <v>478.90976190476181</v>
      </c>
      <c r="Y7" s="331"/>
      <c r="Z7" s="331">
        <f ca="1">SUM(Z5:Z6)</f>
        <v>21.638095238095239</v>
      </c>
      <c r="AA7" s="331"/>
      <c r="AB7" s="331">
        <f ca="1">SUM(AB5:AB6)</f>
        <v>275.57307059042006</v>
      </c>
      <c r="AC7" s="330">
        <f ca="1">SUM(AC5:AC6)</f>
        <v>148.60558291425767</v>
      </c>
      <c r="AE7" s="668"/>
    </row>
    <row r="8" spans="1:31" x14ac:dyDescent="0.35">
      <c r="A8" s="50"/>
      <c r="B8" s="50"/>
      <c r="C8" s="50"/>
      <c r="D8" s="379"/>
      <c r="E8" s="14"/>
      <c r="F8" s="384"/>
      <c r="G8" s="384"/>
      <c r="H8" s="384"/>
      <c r="I8" s="384"/>
      <c r="J8" s="384"/>
      <c r="K8" s="39"/>
      <c r="L8" s="39"/>
      <c r="M8" s="39" t="s">
        <v>361</v>
      </c>
      <c r="N8" s="546">
        <f ca="1">AVERAGE(M7,O7)</f>
        <v>23.027322534464055</v>
      </c>
      <c r="O8" s="39"/>
      <c r="P8" s="39"/>
      <c r="Q8" s="87"/>
      <c r="R8" s="467"/>
      <c r="S8" s="384"/>
      <c r="T8" s="384"/>
      <c r="U8" s="384"/>
      <c r="V8" s="384"/>
      <c r="W8" s="384"/>
      <c r="X8" s="39"/>
      <c r="Y8" s="39"/>
      <c r="Z8" s="39" t="s">
        <v>361</v>
      </c>
      <c r="AA8" s="546">
        <f ca="1">AVERAGE(Z7,AB7)</f>
        <v>148.60558291425764</v>
      </c>
      <c r="AB8" s="39"/>
      <c r="AC8" s="39"/>
      <c r="AD8" s="87"/>
      <c r="AE8" s="669"/>
    </row>
    <row r="9" spans="1:31" x14ac:dyDescent="0.35">
      <c r="A9" s="51" t="s">
        <v>90</v>
      </c>
      <c r="B9" s="51"/>
      <c r="C9" s="51"/>
      <c r="D9" s="378"/>
      <c r="E9" s="218"/>
      <c r="F9" s="218"/>
      <c r="G9" s="218"/>
      <c r="H9" s="330"/>
      <c r="I9" s="330"/>
      <c r="J9" s="330"/>
      <c r="K9" s="45"/>
      <c r="L9" s="45"/>
      <c r="M9" s="45"/>
      <c r="N9" s="45"/>
      <c r="O9" s="45"/>
      <c r="P9" s="45"/>
      <c r="Q9" s="193"/>
      <c r="R9" s="468"/>
      <c r="S9" s="218"/>
      <c r="T9" s="218"/>
      <c r="U9" s="330"/>
      <c r="V9" s="330"/>
      <c r="W9" s="330"/>
      <c r="X9" s="45"/>
      <c r="Y9" s="45"/>
      <c r="Z9" s="45"/>
      <c r="AA9" s="45"/>
      <c r="AB9" s="45"/>
      <c r="AC9" s="45"/>
      <c r="AE9" s="670"/>
    </row>
    <row r="10" spans="1:31" x14ac:dyDescent="0.35">
      <c r="A10" s="7" t="s">
        <v>876</v>
      </c>
      <c r="B10" s="7" t="s">
        <v>138</v>
      </c>
      <c r="C10" s="7" t="s">
        <v>1007</v>
      </c>
      <c r="D10" s="377" t="s">
        <v>127</v>
      </c>
      <c r="E10" s="124">
        <f ca="1">INDEX(INDIRECT("ExtWTP_"&amp;$C10&amp;"_UnitValues"),MATCH(A$9, INDIRECT("ExtWTP_Comps_"&amp;C10),0),MATCH("NHH",ExtWTP_Group,0))</f>
        <v>2990</v>
      </c>
      <c r="F10" s="383">
        <f ca="1">INDEX(INDIRECT("SSW_WTPCore2_"&amp;$B10&amp;"_Levels"),2,MATCH(F$4,WTPCore2_AttLevels,0))</f>
        <v>1.2500000000000001E-2</v>
      </c>
      <c r="G10" s="383">
        <f ca="1">INDEX(INDIRECT("SSW_WTPCore2_"&amp;$B10&amp;"_Levels"),2,MATCH(G$4,WTPCore2_AttLevels,0))</f>
        <v>8.3333333333333332E-3</v>
      </c>
      <c r="H10" s="431">
        <f ca="1">INDEX(INDIRECT("SSW_WTPCore2_"&amp;$B10&amp;"_LevelValues"),2,MATCH("S1 MEAN",WTPCore2_LevelValues,0))</f>
        <v>2.3562800507588295E-4</v>
      </c>
      <c r="I10" s="431">
        <f ca="1">INDEX(INDIRECT("SSW_WTPCore2_"&amp;$B10&amp;"_LevelValues"),2,MATCH("S2 MEAN",WTPCore2_LevelValues,0))</f>
        <v>4.1117889914467278E-4</v>
      </c>
      <c r="J10" s="431">
        <f ca="1">SUM(H10:I10)</f>
        <v>6.4680690422055573E-4</v>
      </c>
      <c r="K10" s="213">
        <f ca="1">E10*(F10-G10)</f>
        <v>12.458333333333336</v>
      </c>
      <c r="L10" s="429">
        <f ca="1">INDEX(INDIRECT("SSW_WTPCore_DCE_"&amp;$B10&amp;"_UnitValues"),MATCH("COMBINED-NHH",WTPCore_Group,0),MATCH("MEAN",LMH,0))</f>
        <v>260.23872775996313</v>
      </c>
      <c r="M10" s="429">
        <f ca="1">L10*($F10-$G10)*(AllProps_SSW/NHHProps_SSW)</f>
        <v>20.589685534591201</v>
      </c>
      <c r="N10" s="89">
        <f ca="1">INDEX(INDIRECT("SSW_WTPCore2_"&amp;$B10&amp;"_UnitValues"),2,MATCH("MEAN",LMH,0))</f>
        <v>36.166957745748803</v>
      </c>
      <c r="O10" s="429">
        <f ca="1">N10*($F10-$G10)*(AllProps_SSW/NHHProps_SSW)</f>
        <v>2.8614737442717386</v>
      </c>
      <c r="P10" s="16">
        <f ca="1">K10*N$13/K$12</f>
        <v>17.052810315564152</v>
      </c>
      <c r="Q10" s="377" t="s">
        <v>127</v>
      </c>
      <c r="R10" s="391">
        <f ca="1">P10*NHHProps_SSW/((F10-G10)*AllProps_SSW)</f>
        <v>215.53518405119735</v>
      </c>
      <c r="S10" s="383">
        <f ca="1">INDEX(INDIRECT("CAM_WTPCore2_"&amp;$B10&amp;"_Levels"),2,MATCH(S$4,WTPCore2_AttLevels,0))</f>
        <v>2.5000000000000001E-2</v>
      </c>
      <c r="T10" s="383">
        <f ca="1">INDEX(INDIRECT("CAM_WTPCore2_"&amp;$B10&amp;"_Levels"),2,MATCH(T$4,WTPCore2_AttLevels,0))</f>
        <v>1.6666666666666666E-2</v>
      </c>
      <c r="U10" s="431">
        <f ca="1">INDEX(INDIRECT("CAM_WTPCore2_"&amp;$B10&amp;"_LevelValues"),2,MATCH("S1 MEAN",WTPCore2_LevelValues,0))</f>
        <v>2.654718763279678E-4</v>
      </c>
      <c r="V10" s="431">
        <f ca="1">INDEX(INDIRECT("CAM_WTPCore2_"&amp;$B10&amp;"_LevelValues"),2,MATCH("S2 MEAN",WTPCore2_LevelValues,0))</f>
        <v>1.3401602008677625E-5</v>
      </c>
      <c r="W10" s="431">
        <f ca="1">SUM(U10:V10)</f>
        <v>2.7887347833664542E-4</v>
      </c>
      <c r="X10" s="213">
        <f ca="1">E10*(S10-T10)</f>
        <v>24.916666666666671</v>
      </c>
      <c r="Y10" s="429">
        <f ca="1">INDEX(INDIRECT("CAM_WTPCore_"&amp;$B10&amp;"_UnitValues"),MATCH("COMBINED-NHH",WTPCore_Group,0),MATCH("MEAN",LMH,0))</f>
        <v>76.122762573196539</v>
      </c>
      <c r="Z10" s="429">
        <f ca="1">Y10*($S10-$T10)*(AllProps_CAM/NHHProps_CAM)</f>
        <v>10.666666666666668</v>
      </c>
      <c r="AA10" s="89">
        <f ca="1">INDEX(INDIRECT("CAM_WTPCore2_"&amp;$B10&amp;"_UnitValues"),2,MATCH("MEAN",LMH,0))</f>
        <v>10.189737398103325</v>
      </c>
      <c r="AB10" s="429">
        <f ca="1">AA10*($S10-$T10)*(AllProps_CAM/NHHProps_CAM)</f>
        <v>1.4278322090836246</v>
      </c>
      <c r="AC10" s="16">
        <f ca="1">X10*AA$13/X$12</f>
        <v>48.608087374254936</v>
      </c>
      <c r="AD10" s="243" t="str">
        <f>Q10</f>
        <v>Property affected</v>
      </c>
      <c r="AE10" s="668">
        <f ca="1">(AC10*NHHProps_CAM)/((S10-T10)*AllProps_CAM)</f>
        <v>346.89205259321261</v>
      </c>
    </row>
    <row r="11" spans="1:31" x14ac:dyDescent="0.35">
      <c r="A11" s="7" t="s">
        <v>893</v>
      </c>
      <c r="B11" s="7" t="s">
        <v>144</v>
      </c>
      <c r="C11" s="7" t="str">
        <f>B11</f>
        <v>TempBan</v>
      </c>
      <c r="D11" s="377" t="s">
        <v>127</v>
      </c>
      <c r="E11" s="124">
        <f ca="1">INDEX(INDIRECT("ExtWTP_"&amp;$C11&amp;"_UnitValues"),MATCH(A$9, INDIRECT("ExtWTP_Comps_"&amp;C11),0),MATCH("NHH",ExtWTP_Group,0))</f>
        <v>49.5</v>
      </c>
      <c r="F11" s="383">
        <f ca="1">INDEX(INDIRECT("SSW_WTPCore2_"&amp;$B11&amp;"_Levels"),2,MATCH(F$4,WTPCore2_AttLevels,0))</f>
        <v>2.5000000000000001E-2</v>
      </c>
      <c r="G11" s="383">
        <f ca="1">INDEX(INDIRECT("SSW_WTPCore2_"&amp;$B11&amp;"_Levels"),2,MATCH(G$4,WTPCore2_AttLevels,0))</f>
        <v>1.6666666666666666E-2</v>
      </c>
      <c r="H11" s="431">
        <f ca="1">INDEX(INDIRECT("SSW_WTPCore2_"&amp;$B11&amp;"_LevelValues"),2,MATCH("S1 MEAN",WTPCore2_LevelValues,0))</f>
        <v>1.0363458862342743E-3</v>
      </c>
      <c r="I11" s="431">
        <f ca="1">INDEX(INDIRECT("SSW_WTPCore2_"&amp;$B11&amp;"_LevelValues"),2,MATCH("S2 MEAN",WTPCore2_LevelValues,0))</f>
        <v>6.2724159084084235E-4</v>
      </c>
      <c r="J11" s="431">
        <f ca="1">SUM(H11:I11)</f>
        <v>1.6635874770751166E-3</v>
      </c>
      <c r="K11" s="213">
        <f ca="1">E11*(F11-G11)</f>
        <v>0.41250000000000009</v>
      </c>
      <c r="L11" s="605">
        <f ca="1">INDEX(INDIRECT("SSW_WTPCore_DCE_"&amp;$C11&amp;"_UnitValues"),MATCH("COMBINED-NHH",WTPCore_Group,0),MATCH("MEAN",LMH,0))</f>
        <v>159200.29439999998</v>
      </c>
      <c r="M11" s="429">
        <f ca="1">L11*(F11-G11)/NHHProps_SSW*100</f>
        <v>4.4240000000000004</v>
      </c>
      <c r="N11" s="245">
        <f ca="1">INDEX(INDIRECT("SSW_WTPCore2_"&amp;$B11&amp;"_UnitValues"),2,MATCH("MEAN",LMH,0))</f>
        <v>264843.61611051176</v>
      </c>
      <c r="O11" s="429">
        <f ca="1">N11*(F11-G11)/NHHProps_SSW*100</f>
        <v>7.3597109985803169</v>
      </c>
      <c r="P11" s="16">
        <f ca="1">K11*N$13/K$12</f>
        <v>0.56462482315747531</v>
      </c>
      <c r="Q11" s="477" t="s">
        <v>145</v>
      </c>
      <c r="R11" s="391">
        <f ca="1">P11*NHHProps_SSW/((F11-G11)*100)</f>
        <v>20318.36303621564</v>
      </c>
      <c r="S11" s="383">
        <f ca="1">INDEX(INDIRECT("CAM_WTPCore2_"&amp;$B11&amp;"_Levels"),2,MATCH(S$4,WTPCore2_AttLevels,0))</f>
        <v>0.02</v>
      </c>
      <c r="T11" s="383">
        <f ca="1">INDEX(INDIRECT("CAM_WTPCore2_"&amp;$B11&amp;"_Levels"),2,MATCH(T$4,WTPCore2_AttLevels,0))</f>
        <v>1.3333333333333334E-2</v>
      </c>
      <c r="U11" s="431">
        <f ca="1">INDEX(INDIRECT("CAM_WTPCore2_"&amp;$B11&amp;"_LevelValues"),2,MATCH("S1 MEAN",WTPCore2_LevelValues,0))</f>
        <v>1.3694025744847137E-3</v>
      </c>
      <c r="V11" s="431">
        <f ca="1">INDEX(INDIRECT("CAM_WTPCore2_"&amp;$B11&amp;"_LevelValues"),2,MATCH("S2 MEAN",WTPCore2_LevelValues,0))</f>
        <v>1.1073984405910726E-3</v>
      </c>
      <c r="W11" s="431">
        <f ca="1">SUM(U11:V11)</f>
        <v>2.4768010150757864E-3</v>
      </c>
      <c r="X11" s="213">
        <f ca="1">E11*(S11-T11)</f>
        <v>0.32999999999999996</v>
      </c>
      <c r="Y11" s="429">
        <f ca="1">INDEX(INDIRECT("CAM_WTPCore_"&amp;$B11&amp;"_UnitValues"),MATCH("COMBINED-NHH",WTPCore_Group,0),MATCH("MEAN",LMH,0))</f>
        <v>950206.4639999998</v>
      </c>
      <c r="Z11" s="429">
        <f ca="1">Y11*(S11-T11)/NHHProps_CAM*100</f>
        <v>73.727999999999966</v>
      </c>
      <c r="AA11" s="89">
        <f ca="1">INDEX(INDIRECT("CAM_WTPCore2_"&amp;$B11&amp;"_UnitValues"),2,MATCH("MEAN",LMH,0))</f>
        <v>163435.57878935931</v>
      </c>
      <c r="AB11" s="429">
        <f ca="1">AA11*(S11-T11)/NHHProps_CAM*100</f>
        <v>12.681221197188025</v>
      </c>
      <c r="AC11" s="16">
        <f ca="1">X11*AA$13/X$12</f>
        <v>0.64377266221421225</v>
      </c>
      <c r="AD11" s="243" t="str">
        <f>Q11</f>
        <v>1% change in risk</v>
      </c>
      <c r="AE11" s="668">
        <f ca="1">(AC11*NHHProps_CAM)/((S11-T11)*100)</f>
        <v>8296.9420706167675</v>
      </c>
    </row>
    <row r="12" spans="1:31" x14ac:dyDescent="0.35">
      <c r="D12" s="377"/>
      <c r="E12" s="124"/>
      <c r="F12" s="16"/>
      <c r="G12" s="16"/>
      <c r="H12" s="16"/>
      <c r="I12" s="16"/>
      <c r="J12" s="330">
        <f ca="1">SUM(J10:J11)*AvgNHHBill_SSW</f>
        <v>10.221184742852055</v>
      </c>
      <c r="K12" s="331">
        <f ca="1">SUM(K10:K11)</f>
        <v>12.870833333333335</v>
      </c>
      <c r="L12" s="331"/>
      <c r="M12" s="331">
        <f ca="1">SUM(M10:M11)</f>
        <v>25.0136855345912</v>
      </c>
      <c r="N12" s="331"/>
      <c r="O12" s="331">
        <f ca="1">SUM(O10:O11)</f>
        <v>10.221184742852056</v>
      </c>
      <c r="P12" s="330">
        <f ca="1">SUM(P10:P11)</f>
        <v>17.617435138721628</v>
      </c>
      <c r="Q12" s="201"/>
      <c r="R12" s="466"/>
      <c r="S12" s="16"/>
      <c r="T12" s="16"/>
      <c r="U12" s="16"/>
      <c r="V12" s="16"/>
      <c r="W12" s="330">
        <f ca="1">SUM(W10:W11)*AvgNHHBill_CAM</f>
        <v>14.10905340627165</v>
      </c>
      <c r="X12" s="331">
        <f ca="1">SUM(X10:X11)</f>
        <v>25.24666666666667</v>
      </c>
      <c r="Y12" s="331"/>
      <c r="Z12" s="331">
        <f ca="1">SUM(Z10:Z11)</f>
        <v>84.394666666666637</v>
      </c>
      <c r="AA12" s="331"/>
      <c r="AB12" s="223">
        <f ca="1">SUM(AB10:AB11)</f>
        <v>14.109053406271649</v>
      </c>
      <c r="AC12" s="330">
        <f ca="1">SUM(AC10:AC11)</f>
        <v>49.251860036469147</v>
      </c>
      <c r="AE12" s="668"/>
    </row>
    <row r="13" spans="1:31" x14ac:dyDescent="0.35">
      <c r="A13" s="50"/>
      <c r="B13" s="50"/>
      <c r="C13" s="50"/>
      <c r="D13" s="379"/>
      <c r="E13" s="14"/>
      <c r="F13" s="384"/>
      <c r="G13" s="384"/>
      <c r="H13" s="384"/>
      <c r="I13" s="384"/>
      <c r="J13" s="384"/>
      <c r="K13" s="39"/>
      <c r="L13" s="39"/>
      <c r="M13" s="39" t="s">
        <v>361</v>
      </c>
      <c r="N13" s="546">
        <f ca="1">AVERAGE(M12,O12)</f>
        <v>17.617435138721628</v>
      </c>
      <c r="O13" s="39"/>
      <c r="P13" s="39"/>
      <c r="Q13" s="87"/>
      <c r="R13" s="467"/>
      <c r="S13" s="384"/>
      <c r="T13" s="384"/>
      <c r="U13" s="384"/>
      <c r="V13" s="384"/>
      <c r="W13" s="384"/>
      <c r="X13" s="39"/>
      <c r="Y13" s="39"/>
      <c r="Z13" s="39" t="s">
        <v>361</v>
      </c>
      <c r="AA13" s="546">
        <f ca="1">AVERAGE(Z12,AB12)</f>
        <v>49.251860036469139</v>
      </c>
      <c r="AB13" s="39"/>
      <c r="AC13" s="39"/>
      <c r="AD13" s="87"/>
      <c r="AE13" s="669"/>
    </row>
    <row r="14" spans="1:31" s="53" customFormat="1" x14ac:dyDescent="0.35">
      <c r="A14" s="51" t="s">
        <v>91</v>
      </c>
      <c r="B14" s="51"/>
      <c r="C14" s="7"/>
      <c r="D14" s="378"/>
      <c r="E14" s="218"/>
      <c r="F14" s="218"/>
      <c r="G14" s="218"/>
      <c r="H14" s="330"/>
      <c r="I14" s="330"/>
      <c r="J14" s="330"/>
      <c r="K14" s="45"/>
      <c r="L14" s="45"/>
      <c r="M14" s="45"/>
      <c r="N14" s="45"/>
      <c r="O14" s="45"/>
      <c r="P14" s="45"/>
      <c r="Q14" s="193"/>
      <c r="R14" s="468"/>
      <c r="S14" s="218"/>
      <c r="T14" s="218"/>
      <c r="U14" s="330"/>
      <c r="V14" s="330"/>
      <c r="W14" s="330"/>
      <c r="X14" s="45"/>
      <c r="Y14" s="45"/>
      <c r="Z14" s="45"/>
      <c r="AA14" s="45"/>
      <c r="AB14" s="45"/>
      <c r="AC14" s="45"/>
      <c r="AE14" s="670"/>
    </row>
    <row r="15" spans="1:31" x14ac:dyDescent="0.35">
      <c r="A15" s="7" t="s">
        <v>129</v>
      </c>
      <c r="B15" s="7" t="s">
        <v>130</v>
      </c>
      <c r="C15" s="7" t="str">
        <f>B15</f>
        <v>Discolour</v>
      </c>
      <c r="D15" s="377" t="s">
        <v>127</v>
      </c>
      <c r="E15" s="124">
        <f ca="1">INDEX(INDIRECT("ExtWTP_"&amp;$C15&amp;"_UnitValues"),MATCH(A$14, INDIRECT("ExtWTP_Comps_"&amp;C15),0),MATCH("NHH",ExtWTP_Group,0))</f>
        <v>14290</v>
      </c>
      <c r="F15" s="383">
        <f t="shared" ref="F15:G17" ca="1" si="0">INDEX(INDIRECT("SSW_WTPCore2_"&amp;$B15&amp;"_Levels"),2,MATCH(F$4,WTPCore2_AttLevels,0))</f>
        <v>6.6666666666666666E-2</v>
      </c>
      <c r="G15" s="383">
        <f t="shared" ca="1" si="0"/>
        <v>0.04</v>
      </c>
      <c r="H15" s="431">
        <f ca="1">INDEX(INDIRECT("SSW_WTPCore2_"&amp;$B15&amp;"_LevelValues"),2,MATCH("S1 MEAN",WTPCore2_LevelValues,0))</f>
        <v>1.9376915692789636E-2</v>
      </c>
      <c r="I15" s="431">
        <f ca="1">INDEX(INDIRECT("SSW_WTPCore2_"&amp;$B15&amp;"_LevelValues"),2,MATCH("S2 MEAN",WTPCore2_LevelValues,0))</f>
        <v>4.9841954334050795E-4</v>
      </c>
      <c r="J15" s="431">
        <f ca="1">SUM(H15:I15)</f>
        <v>1.9875335236130144E-2</v>
      </c>
      <c r="K15" s="213">
        <f ca="1">E15*(F15-G15)</f>
        <v>381.06666666666666</v>
      </c>
      <c r="L15" s="429">
        <f ca="1">INDEX(INDIRECT("SSW_WTPCore_DCE_"&amp;$C15&amp;"_UnitValues"),MATCH("COMBINED-NHH",WTPCore_Group,0),MATCH("MEAN",LMH,0))</f>
        <v>37.156930418313699</v>
      </c>
      <c r="M15" s="429">
        <f ca="1">L15*(F15-G15)*(AllProps_SSW/NHHProps_SSW)</f>
        <v>18.814712643678163</v>
      </c>
      <c r="N15" s="89">
        <f ca="1">INDEX(INDIRECT("SSW_WTPCore2_"&amp;$C15&amp;"_UnitValues"),2,MATCH("MEAN",LMH,0))</f>
        <v>173.64881354494736</v>
      </c>
      <c r="O15" s="429">
        <f ca="1">N15*($F15-$G15)*(AllProps_SSW/NHHProps_SSW)</f>
        <v>87.928483084639765</v>
      </c>
      <c r="P15" s="16">
        <f ca="1">K15*N$19/K$18</f>
        <v>42.722518077228351</v>
      </c>
      <c r="Q15" s="377" t="s">
        <v>127</v>
      </c>
      <c r="R15" s="391">
        <f ca="1">P15*NHHProps_SSW/((F15-G15)*AllProps_SSW)</f>
        <v>84.372143309034797</v>
      </c>
      <c r="S15" s="383">
        <f t="shared" ref="S15:T17" ca="1" si="1">INDEX(INDIRECT("CAM_WTPCore2_"&amp;$B15&amp;"_Levels"),2,MATCH(S$4,WTPCore2_AttLevels,0))</f>
        <v>2.2222222222222223E-2</v>
      </c>
      <c r="T15" s="383">
        <f t="shared" ca="1" si="1"/>
        <v>1.5384615384615385E-2</v>
      </c>
      <c r="U15" s="431">
        <f ca="1">INDEX(INDIRECT("CAM_WTPCore2_"&amp;$B15&amp;"_LevelValues"),2,MATCH("S1 MEAN",WTPCore2_LevelValues,0))</f>
        <v>5.6414013673365619E-2</v>
      </c>
      <c r="V15" s="431">
        <f ca="1">INDEX(INDIRECT("CAM_WTPCore2_"&amp;$B15&amp;"_LevelValues"),2,MATCH("S2 MEAN",WTPCore2_LevelValues,0))</f>
        <v>1.4754621463399648E-4</v>
      </c>
      <c r="W15" s="431">
        <f ca="1">SUM(U15:V15)</f>
        <v>5.6561559887999616E-2</v>
      </c>
      <c r="X15" s="213">
        <f ca="1">E15*(S15-T15)</f>
        <v>97.709401709401703</v>
      </c>
      <c r="Y15" s="429">
        <f ca="1">INDEX(INDIRECT("CAM_WTPCore_"&amp;$C15&amp;"_UnitValues"),MATCH("COMBINED-NHH",WTPCore_Group,0),MATCH("MEAN",LMH,0))</f>
        <v>243.59284023422896</v>
      </c>
      <c r="Z15" s="429">
        <f ca="1">Y15*(S15-T15)*(AllProps_CAM/NHHProps_CAM)</f>
        <v>28.006837606837603</v>
      </c>
      <c r="AA15" s="89">
        <f ca="1">INDEX(INDIRECT("CAM_WTPCore2_"&amp;$B15&amp;"_UnitValues"),2,MATCH("MEAN",LMH,0))</f>
        <v>2518.7889835624424</v>
      </c>
      <c r="AB15" s="429">
        <f ca="1">AA15*($S15-$T15)*(AllProps_CAM/NHHProps_CAM)</f>
        <v>289.59518662655807</v>
      </c>
      <c r="AC15" s="16">
        <f ca="1">X15*AA$19/X$18</f>
        <v>87.413190721683691</v>
      </c>
      <c r="AD15" s="243" t="str">
        <f>Q15</f>
        <v>Property affected</v>
      </c>
      <c r="AE15" s="668">
        <f ca="1">(AC15*NHHProps_CAM)/((S15-T15)*AllProps_CAM)</f>
        <v>760.28674499946908</v>
      </c>
    </row>
    <row r="16" spans="1:31" x14ac:dyDescent="0.35">
      <c r="A16" s="7" t="s">
        <v>131</v>
      </c>
      <c r="B16" s="7" t="s">
        <v>132</v>
      </c>
      <c r="C16" s="7" t="str">
        <f>B16</f>
        <v>TasteSmell</v>
      </c>
      <c r="D16" s="377" t="s">
        <v>127</v>
      </c>
      <c r="E16" s="124">
        <f ca="1">INDEX(INDIRECT("ExtWTP_"&amp;$C16&amp;"_UnitValues"),MATCH(A$14, INDIRECT("ExtWTP_Comps_"&amp;C16),0),MATCH("NHH",ExtWTP_Group,0))</f>
        <v>51990</v>
      </c>
      <c r="F16" s="383">
        <f t="shared" ca="1" si="0"/>
        <v>1.6666666666666666E-2</v>
      </c>
      <c r="G16" s="383">
        <f t="shared" ca="1" si="0"/>
        <v>1.1111111111111112E-2</v>
      </c>
      <c r="H16" s="431">
        <f ca="1">INDEX(INDIRECT("SSW_WTPCore2_"&amp;$B16&amp;"_LevelValues"),2,MATCH("S1 MEAN",WTPCore2_LevelValues,0))</f>
        <v>3.6865032727528453E-3</v>
      </c>
      <c r="I16" s="431">
        <f ca="1">INDEX(INDIRECT("SSW_WTPCore2_"&amp;$B16&amp;"_LevelValues"),2,MATCH("S2 MEAN",WTPCore2_LevelValues,0))</f>
        <v>5.1592292451456759E-6</v>
      </c>
      <c r="J16" s="431">
        <f ca="1">SUM(H16:I16)</f>
        <v>3.691662501997991E-3</v>
      </c>
      <c r="K16" s="213">
        <f ca="1">E16*(F16-G16)</f>
        <v>288.83333333333331</v>
      </c>
      <c r="L16" s="429">
        <f ca="1">INDEX(INDIRECT("SSW_WTPCore_DCE_"&amp;$B16&amp;"_UnitValues"),MATCH("COMBINED-NHH",WTPCore_Group,0),MATCH("MEAN",LMH,0))</f>
        <v>59.451088669301917</v>
      </c>
      <c r="M16" s="429">
        <f ca="1">L16*(F16-G16)*(AllProps_SSW/NHHProps_SSW)</f>
        <v>6.2715708812260536</v>
      </c>
      <c r="N16" s="89">
        <f ca="1">INDEX(INDIRECT("SSW_WTPCore2_"&amp;$B16&amp;"_UnitValues"),2,MATCH("MEAN",LMH,0))</f>
        <v>154.81769077846621</v>
      </c>
      <c r="O16" s="429">
        <f ca="1">N16*($F16-$G16)*(AllProps_SSW/NHHProps_SSW)</f>
        <v>16.331914908839114</v>
      </c>
      <c r="P16" s="16">
        <f ca="1">K16*N$19/K$18</f>
        <v>32.381964585302981</v>
      </c>
      <c r="Q16" s="377" t="s">
        <v>127</v>
      </c>
      <c r="R16" s="391">
        <f ca="1">P16*NHHProps_SSW/((F16-G16)*AllProps_SSW)</f>
        <v>306.96345210893776</v>
      </c>
      <c r="S16" s="383">
        <f t="shared" ca="1" si="1"/>
        <v>1.4285714285714285E-2</v>
      </c>
      <c r="T16" s="383">
        <f t="shared" ca="1" si="1"/>
        <v>0.01</v>
      </c>
      <c r="U16" s="431">
        <f ca="1">INDEX(INDIRECT("CAM_WTPCore2_"&amp;$B16&amp;"_LevelValues"),2,MATCH("S1 MEAN",WTPCore2_LevelValues,0))</f>
        <v>4.257264223936371E-2</v>
      </c>
      <c r="V16" s="431">
        <f ca="1">INDEX(INDIRECT("CAM_WTPCore2_"&amp;$B16&amp;"_LevelValues"),2,MATCH("S2 MEAN",WTPCore2_LevelValues,0))</f>
        <v>1.0971349631991048E-2</v>
      </c>
      <c r="W16" s="431">
        <f ca="1">SUM(U16:V16)</f>
        <v>5.3543991871354758E-2</v>
      </c>
      <c r="X16" s="213">
        <f t="shared" ref="X16:X17" ca="1" si="2">E16*(S16-T16)</f>
        <v>222.81428571428569</v>
      </c>
      <c r="Y16" s="429">
        <f ca="1">INDEX(INDIRECT("CAM_WTPCore_"&amp;$C16&amp;"_UnitValues"),MATCH("COMBINED-NHH",WTPCore_Group,0),MATCH("MEAN",LMH,0))</f>
        <v>152.24552514639311</v>
      </c>
      <c r="Z16" s="429">
        <f ca="1">Y16*(S16-T16)*(AllProps_CAM/NHHProps_CAM)</f>
        <v>10.97142857142857</v>
      </c>
      <c r="AA16" s="89">
        <f ca="1">INDEX(INDIRECT("CAM_WTPCore2_"&amp;$B16&amp;"_UnitValues"),2,MATCH("MEAN",LMH,0))</f>
        <v>3804.1888084146854</v>
      </c>
      <c r="AB16" s="429">
        <f ca="1">AA16*($S16-$T16)*(AllProps_CAM/NHHProps_CAM)</f>
        <v>274.14523838133641</v>
      </c>
      <c r="AC16" s="16">
        <f ca="1">X16*AA$19/X$18</f>
        <v>199.3350415816177</v>
      </c>
      <c r="AD16" s="243" t="str">
        <f>Q16</f>
        <v>Property affected</v>
      </c>
      <c r="AE16" s="668">
        <f ca="1">(AC16*NHHProps_CAM)/((S16-T16)*AllProps_CAM)</f>
        <v>2766.0817265586006</v>
      </c>
    </row>
    <row r="17" spans="1:31" x14ac:dyDescent="0.35">
      <c r="A17" s="7" t="s">
        <v>855</v>
      </c>
      <c r="B17" s="7" t="s">
        <v>138</v>
      </c>
      <c r="C17" s="7" t="s">
        <v>1008</v>
      </c>
      <c r="D17" s="377" t="s">
        <v>127</v>
      </c>
      <c r="E17" s="124">
        <f ca="1">INDEX(INDIRECT("ExtWTP_"&amp;$C17&amp;"_UnitValues"),MATCH(A$14, INDIRECT("ExtWTP_Comps_"&amp;C17),0),MATCH("NHH",ExtWTP_Group,0))</f>
        <v>2771</v>
      </c>
      <c r="F17" s="383">
        <f t="shared" ca="1" si="0"/>
        <v>1.2500000000000001E-2</v>
      </c>
      <c r="G17" s="383">
        <f t="shared" ca="1" si="0"/>
        <v>8.3333333333333332E-3</v>
      </c>
      <c r="H17" s="431">
        <f ca="1">INDEX(INDIRECT("SSW_WTPCore2_"&amp;$B17&amp;"_LevelValues"),2,MATCH("S1 MEAN",WTPCore2_LevelValues,0))</f>
        <v>2.3562800507588295E-4</v>
      </c>
      <c r="I17" s="431">
        <f ca="1">INDEX(INDIRECT("SSW_WTPCore2_"&amp;$B17&amp;"_LevelValues"),2,MATCH("S2 MEAN",WTPCore2_LevelValues,0))</f>
        <v>4.1117889914467278E-4</v>
      </c>
      <c r="J17" s="431">
        <f ca="1">SUM(H17:I17)</f>
        <v>6.4680690422055573E-4</v>
      </c>
      <c r="K17" s="213">
        <f ca="1">E17*(F17-G17)</f>
        <v>11.545833333333336</v>
      </c>
      <c r="L17" s="429">
        <f ca="1">INDEX(INDIRECT("SSW_WTPCore_DCE_"&amp;$B17&amp;"_UnitValues"),MATCH("COMBINED-NHH",WTPCore_Group,0),MATCH("MEAN",LMH,0))</f>
        <v>260.23872775996313</v>
      </c>
      <c r="M17" s="429">
        <f ca="1">L17*(F17-G17)*(AllProps_SSW/NHHProps_SSW)</f>
        <v>20.589685534591201</v>
      </c>
      <c r="N17" s="89">
        <f ca="1">INDEX(INDIRECT("SSW_WTPCore2_"&amp;$B17&amp;"_UnitValues"),2,MATCH("MEAN",LMH,0))</f>
        <v>36.166957745748803</v>
      </c>
      <c r="O17" s="429">
        <f ca="1">N17*($F17-$G17)*(AllProps_SSW/NHHProps_SSW)</f>
        <v>2.8614737442717386</v>
      </c>
      <c r="P17" s="16">
        <f ca="1">K17*N$19/K$18</f>
        <v>1.2944377360916703</v>
      </c>
      <c r="Q17" s="377" t="s">
        <v>127</v>
      </c>
      <c r="R17" s="391">
        <f ca="1">P17*NHHProps_SSW/((F17-G17)*AllProps_SSW)</f>
        <v>16.360756410730268</v>
      </c>
      <c r="S17" s="383">
        <f t="shared" ca="1" si="1"/>
        <v>2.5000000000000001E-2</v>
      </c>
      <c r="T17" s="383">
        <f t="shared" ca="1" si="1"/>
        <v>1.6666666666666666E-2</v>
      </c>
      <c r="U17" s="431">
        <f ca="1">INDEX(INDIRECT("CAM_WTPCore2_"&amp;$B17&amp;"_LevelValues"),2,MATCH("S1 MEAN",WTPCore2_LevelValues,0))</f>
        <v>2.654718763279678E-4</v>
      </c>
      <c r="V17" s="431">
        <f ca="1">INDEX(INDIRECT("CAM_WTPCore2_"&amp;$B17&amp;"_LevelValues"),2,MATCH("S2 MEAN",WTPCore2_LevelValues,0))</f>
        <v>1.3401602008677625E-5</v>
      </c>
      <c r="W17" s="431">
        <f ca="1">SUM(U17:V17)</f>
        <v>2.7887347833664542E-4</v>
      </c>
      <c r="X17" s="213">
        <f t="shared" ca="1" si="2"/>
        <v>23.091666666666672</v>
      </c>
      <c r="Y17" s="429">
        <f ca="1">INDEX(INDIRECT("CAM_WTPCore_"&amp;$B17&amp;"_UnitValues"),MATCH("COMBINED-NHH",WTPCore_Group,0),MATCH("MEAN",LMH,0))</f>
        <v>76.122762573196539</v>
      </c>
      <c r="Z17" s="429">
        <f ca="1">Y17*(S17-T17)*(AllProps_CAM/NHHProps_CAM)</f>
        <v>10.666666666666668</v>
      </c>
      <c r="AA17" s="89">
        <f ca="1">INDEX(INDIRECT("CAM_WTPCore2_"&amp;$B17&amp;"_UnitValues"),2,MATCH("MEAN",LMH,0))</f>
        <v>10.189737398103325</v>
      </c>
      <c r="AB17" s="429">
        <f ca="1">AA17*($S17-$T17)*(AllProps_CAM/NHHProps_CAM)</f>
        <v>1.4278322090836246</v>
      </c>
      <c r="AC17" s="16">
        <f ca="1">X17*AA$19/X$18</f>
        <v>20.658362727654037</v>
      </c>
      <c r="AD17" s="243" t="str">
        <f>Q17</f>
        <v>Property affected</v>
      </c>
      <c r="AE17" s="668">
        <f ca="1">(AC17*NHHProps_CAM)/((S17-T17)*AllProps_CAM)</f>
        <v>147.42859135014197</v>
      </c>
    </row>
    <row r="18" spans="1:31" x14ac:dyDescent="0.35">
      <c r="D18" s="377"/>
      <c r="E18" s="124"/>
      <c r="F18" s="16"/>
      <c r="G18" s="16"/>
      <c r="H18" s="16"/>
      <c r="I18" s="16"/>
      <c r="J18" s="330">
        <f ca="1">SUM(J15:J17)*AvgNHHBill_SSW</f>
        <v>107.12187173775061</v>
      </c>
      <c r="K18" s="331">
        <f ca="1">SUM(K15:K17)</f>
        <v>681.44583333333333</v>
      </c>
      <c r="L18" s="331"/>
      <c r="M18" s="331">
        <f ca="1">SUM(M15:M17)</f>
        <v>45.675969059495415</v>
      </c>
      <c r="N18" s="331"/>
      <c r="O18" s="331">
        <f ca="1">SUM(O15:O17)</f>
        <v>107.12187173775061</v>
      </c>
      <c r="P18" s="330">
        <f ca="1">SUM(P15:P17)</f>
        <v>76.398920398622991</v>
      </c>
      <c r="Q18" s="201"/>
      <c r="R18" s="466"/>
      <c r="S18" s="16"/>
      <c r="T18" s="16"/>
      <c r="U18" s="16"/>
      <c r="V18" s="16"/>
      <c r="W18" s="610">
        <f ca="1">SUM(W15:W17)*AvgNHHBill_CAM</f>
        <v>565.16825721697808</v>
      </c>
      <c r="X18" s="331">
        <f ca="1">SUM(X15:X17)</f>
        <v>343.61535409035412</v>
      </c>
      <c r="Y18" s="331"/>
      <c r="Z18" s="331">
        <f ca="1">SUM(Z15:Z17)</f>
        <v>49.644932844932839</v>
      </c>
      <c r="AA18" s="331"/>
      <c r="AB18" s="331">
        <f ca="1">SUM(AB15:AB17)</f>
        <v>565.16825721697808</v>
      </c>
      <c r="AC18" s="330">
        <f ca="1">SUM(AC15:AC17)</f>
        <v>307.40659503095543</v>
      </c>
      <c r="AE18" s="668"/>
    </row>
    <row r="19" spans="1:31" x14ac:dyDescent="0.35">
      <c r="A19" s="50"/>
      <c r="B19" s="50"/>
      <c r="C19" s="50"/>
      <c r="D19" s="379"/>
      <c r="E19" s="14"/>
      <c r="F19" s="384"/>
      <c r="G19" s="384"/>
      <c r="H19" s="384"/>
      <c r="I19" s="384"/>
      <c r="J19" s="384"/>
      <c r="K19" s="39"/>
      <c r="L19" s="39"/>
      <c r="M19" s="39" t="s">
        <v>361</v>
      </c>
      <c r="N19" s="546">
        <f ca="1">AVERAGE(M18,O18)</f>
        <v>76.398920398623005</v>
      </c>
      <c r="O19" s="39"/>
      <c r="P19" s="39"/>
      <c r="Q19" s="87"/>
      <c r="R19" s="467"/>
      <c r="S19" s="384"/>
      <c r="T19" s="384"/>
      <c r="U19" s="384"/>
      <c r="V19" s="384"/>
      <c r="W19" s="384"/>
      <c r="X19" s="39"/>
      <c r="Y19" s="39"/>
      <c r="Z19" s="39" t="s">
        <v>361</v>
      </c>
      <c r="AA19" s="546">
        <f ca="1">AVERAGE(Z18,AB18)</f>
        <v>307.40659503095549</v>
      </c>
      <c r="AB19" s="39"/>
      <c r="AC19" s="39"/>
      <c r="AD19" s="87"/>
      <c r="AE19" s="669"/>
    </row>
    <row r="20" spans="1:31" x14ac:dyDescent="0.35">
      <c r="A20" s="51" t="s">
        <v>92</v>
      </c>
      <c r="B20" s="51"/>
      <c r="D20" s="378"/>
      <c r="E20" s="218"/>
      <c r="F20" s="218"/>
      <c r="G20" s="218"/>
      <c r="H20" s="330"/>
      <c r="I20" s="330"/>
      <c r="J20" s="330"/>
      <c r="K20" s="45"/>
      <c r="L20" s="45"/>
      <c r="M20" s="45"/>
      <c r="N20" s="45"/>
      <c r="O20" s="45"/>
      <c r="P20" s="45"/>
      <c r="Q20" s="193"/>
      <c r="R20" s="468"/>
      <c r="S20" s="218"/>
      <c r="T20" s="218"/>
      <c r="U20" s="330"/>
      <c r="V20" s="330"/>
      <c r="W20" s="330"/>
      <c r="X20" s="45"/>
      <c r="Y20" s="45"/>
      <c r="Z20" s="45"/>
      <c r="AA20" s="45"/>
      <c r="AB20" s="45"/>
      <c r="AC20" s="45"/>
      <c r="AE20" s="670"/>
    </row>
    <row r="21" spans="1:31" x14ac:dyDescent="0.35">
      <c r="A21" s="7" t="s">
        <v>129</v>
      </c>
      <c r="B21" s="7" t="s">
        <v>130</v>
      </c>
      <c r="C21" s="7" t="str">
        <f>B21</f>
        <v>Discolour</v>
      </c>
      <c r="D21" s="377" t="s">
        <v>127</v>
      </c>
      <c r="E21" s="124">
        <f ca="1">INDEX(INDIRECT("ExtWTP_"&amp;$C21&amp;"_UnitValues"),MATCH(A$20, INDIRECT("ExtWTP_Comps_"&amp;C21),0),MATCH("NHH",ExtWTP_Group,0))</f>
        <v>27960</v>
      </c>
      <c r="F21" s="383">
        <f t="shared" ref="F21:G23" ca="1" si="3">INDEX(INDIRECT("SSW_WTPCore2_"&amp;$B21&amp;"_Levels"),2,MATCH(F$4,WTPCore2_AttLevels,0))</f>
        <v>6.6666666666666666E-2</v>
      </c>
      <c r="G21" s="383">
        <f t="shared" ca="1" si="3"/>
        <v>0.04</v>
      </c>
      <c r="H21" s="431">
        <f ca="1">INDEX(INDIRECT("SSW_WTPCore2_"&amp;$B21&amp;"_LevelValues"),2,MATCH("S1 MEAN",WTPCore2_LevelValues,0))</f>
        <v>1.9376915692789636E-2</v>
      </c>
      <c r="I21" s="431">
        <f ca="1">INDEX(INDIRECT("SSW_WTPCore2_"&amp;$B21&amp;"_LevelValues"),2,MATCH("S2 MEAN",WTPCore2_LevelValues,0))</f>
        <v>4.9841954334050795E-4</v>
      </c>
      <c r="J21" s="431">
        <f ca="1">SUM(H21:I21)</f>
        <v>1.9875335236130144E-2</v>
      </c>
      <c r="K21" s="213">
        <f ca="1">E21*(F21-G21)</f>
        <v>745.59999999999991</v>
      </c>
      <c r="L21" s="429">
        <f ca="1">INDEX(INDIRECT("SSW_WTPCore_DCE_"&amp;$C21&amp;"_UnitValues"),MATCH("COMBINED-NHH",WTPCore_Group,0),MATCH("MEAN",LMH,0))</f>
        <v>37.156930418313699</v>
      </c>
      <c r="M21" s="429">
        <f ca="1">L21*(F21-G21)*(AllProps_CAM/NHHProps_CAM)</f>
        <v>16.6611122447407</v>
      </c>
      <c r="N21" s="89">
        <f ca="1">INDEX(INDIRECT("SSW_WTPCore2_"&amp;$C21&amp;"_UnitValues"),2,MATCH("MEAN",LMH,0))</f>
        <v>173.64881354494736</v>
      </c>
      <c r="O21" s="429">
        <f ca="1">N21*($F21-$G21)*(AllProps_SSW/NHHProps_SSW)</f>
        <v>87.928483084639765</v>
      </c>
      <c r="P21" s="16">
        <f ca="1">K21*N$25/K$24</f>
        <v>60.501057970062611</v>
      </c>
      <c r="Q21" s="377" t="s">
        <v>127</v>
      </c>
      <c r="R21" s="391">
        <f ca="1">P21*NHHProps_SSW/((F21-G21)*AllProps_SSW)</f>
        <v>119.48274968649763</v>
      </c>
      <c r="S21" s="383">
        <f t="shared" ref="S21:T23" ca="1" si="4">INDEX(INDIRECT("CAM_WTPCore2_"&amp;$B21&amp;"_Levels"),2,MATCH(S$4,WTPCore2_AttLevels,0))</f>
        <v>2.2222222222222223E-2</v>
      </c>
      <c r="T21" s="383">
        <f t="shared" ca="1" si="4"/>
        <v>1.5384615384615385E-2</v>
      </c>
      <c r="U21" s="431">
        <f ca="1">INDEX(INDIRECT("CAM_WTPCore2_"&amp;$B21&amp;"_LevelValues"),2,MATCH("S1 MEAN",WTPCore2_LevelValues,0))</f>
        <v>5.6414013673365619E-2</v>
      </c>
      <c r="V21" s="431">
        <f ca="1">INDEX(INDIRECT("CAM_WTPCore2_"&amp;$B21&amp;"_LevelValues"),2,MATCH("S2 MEAN",WTPCore2_LevelValues,0))</f>
        <v>1.4754621463399648E-4</v>
      </c>
      <c r="W21" s="431">
        <f ca="1">SUM(U21:V21)</f>
        <v>5.6561559887999616E-2</v>
      </c>
      <c r="X21" s="213">
        <f ca="1">E21*(S21-T21)</f>
        <v>191.17948717948718</v>
      </c>
      <c r="Y21" s="429">
        <f ca="1">INDEX(INDIRECT("CAM_WTPCore_"&amp;$C21&amp;"_UnitValues"),MATCH("COMBINED-NHH",WTPCore_Group,0),MATCH("MEAN",LMH,0))</f>
        <v>243.59284023422896</v>
      </c>
      <c r="Z21" s="429">
        <f ca="1">Y21*(S21-T21)*(AllProps_CAM/NHHProps_CAM)</f>
        <v>28.006837606837603</v>
      </c>
      <c r="AA21" s="89">
        <f ca="1">INDEX(INDIRECT("CAM_WTPCore2_"&amp;$B21&amp;"_UnitValues"),2,MATCH("MEAN",LMH,0))</f>
        <v>2518.7889835624424</v>
      </c>
      <c r="AB21" s="429">
        <f ca="1">AA21*($S21-$T21)*(AllProps_CAM/NHHProps_CAM)</f>
        <v>289.59518662655807</v>
      </c>
      <c r="AC21" s="16">
        <f ca="1">X21*AA$25/X$24</f>
        <v>178.56789893115936</v>
      </c>
      <c r="AD21" s="243" t="str">
        <f>Q21</f>
        <v>Property affected</v>
      </c>
      <c r="AE21" s="668">
        <f ca="1">(AC21*NHHProps_CAM)/((S21-T21)*AllProps_CAM)</f>
        <v>1553.1157885772957</v>
      </c>
    </row>
    <row r="22" spans="1:31" x14ac:dyDescent="0.35">
      <c r="A22" s="7" t="s">
        <v>131</v>
      </c>
      <c r="B22" s="7" t="s">
        <v>132</v>
      </c>
      <c r="C22" s="7" t="str">
        <f>B22</f>
        <v>TasteSmell</v>
      </c>
      <c r="D22" s="377" t="s">
        <v>127</v>
      </c>
      <c r="E22" s="124">
        <f ca="1">INDEX(INDIRECT("ExtWTP_"&amp;$C22&amp;"_UnitValues"),MATCH(A$20, INDIRECT("ExtWTP_Comps_"&amp;C22),0),MATCH("NHH",ExtWTP_Group,0))</f>
        <v>27760</v>
      </c>
      <c r="F22" s="383">
        <f t="shared" ca="1" si="3"/>
        <v>1.6666666666666666E-2</v>
      </c>
      <c r="G22" s="383">
        <f t="shared" ca="1" si="3"/>
        <v>1.1111111111111112E-2</v>
      </c>
      <c r="H22" s="431">
        <f ca="1">INDEX(INDIRECT("SSW_WTPCore2_"&amp;$B22&amp;"_LevelValues"),2,MATCH("S1 MEAN",WTPCore2_LevelValues,0))</f>
        <v>3.6865032727528453E-3</v>
      </c>
      <c r="I22" s="431">
        <f ca="1">INDEX(INDIRECT("SSW_WTPCore2_"&amp;$B22&amp;"_LevelValues"),2,MATCH("S2 MEAN",WTPCore2_LevelValues,0))</f>
        <v>5.1592292451456759E-6</v>
      </c>
      <c r="J22" s="431">
        <f ca="1">SUM(H22:I22)</f>
        <v>3.691662501997991E-3</v>
      </c>
      <c r="K22" s="213">
        <f ca="1">E22*(F22-G22)</f>
        <v>154.2222222222222</v>
      </c>
      <c r="L22" s="429">
        <f ca="1">INDEX(INDIRECT("SSW_WTPCore_DCE_"&amp;$B22&amp;"_UnitValues"),MATCH("COMBINED-NHH",WTPCore_Group,0),MATCH("MEAN",LMH,0))</f>
        <v>59.451088669301917</v>
      </c>
      <c r="M22" s="429">
        <f ca="1">L22*(F22-G22)*(AllProps_CAM/NHHProps_CAM)</f>
        <v>5.553704081580233</v>
      </c>
      <c r="N22" s="89">
        <f ca="1">INDEX(INDIRECT("SSW_WTPCore2_"&amp;$B22&amp;"_UnitValues"),2,MATCH("MEAN",LMH,0))</f>
        <v>154.81769077846621</v>
      </c>
      <c r="O22" s="429">
        <f ca="1">N22*($F22-$G22)*(AllProps_SSW/NHHProps_SSW)</f>
        <v>16.331914908839114</v>
      </c>
      <c r="P22" s="16">
        <f t="shared" ref="P22:P23" ca="1" si="5">K22*N$25/K$24</f>
        <v>12.51422694063646</v>
      </c>
      <c r="Q22" s="377" t="s">
        <v>127</v>
      </c>
      <c r="R22" s="391">
        <f ca="1">P22*NHHProps_SSW/((F22-G22)*AllProps_SSW)</f>
        <v>118.62808051849693</v>
      </c>
      <c r="S22" s="383">
        <f t="shared" ca="1" si="4"/>
        <v>1.4285714285714285E-2</v>
      </c>
      <c r="T22" s="383">
        <f t="shared" ca="1" si="4"/>
        <v>0.01</v>
      </c>
      <c r="U22" s="431">
        <f ca="1">INDEX(INDIRECT("CAM_WTPCore2_"&amp;$B22&amp;"_LevelValues"),2,MATCH("S1 MEAN",WTPCore2_LevelValues,0))</f>
        <v>4.257264223936371E-2</v>
      </c>
      <c r="V22" s="431">
        <f ca="1">INDEX(INDIRECT("CAM_WTPCore2_"&amp;$B22&amp;"_LevelValues"),2,MATCH("S2 MEAN",WTPCore2_LevelValues,0))</f>
        <v>1.0971349631991048E-2</v>
      </c>
      <c r="W22" s="431">
        <f t="shared" ref="W22:W23" ca="1" si="6">SUM(U22:V22)</f>
        <v>5.3543991871354758E-2</v>
      </c>
      <c r="X22" s="213">
        <f t="shared" ref="X22:X23" ca="1" si="7">E22*(S22-T22)</f>
        <v>118.97142857142855</v>
      </c>
      <c r="Y22" s="429">
        <f ca="1">INDEX(INDIRECT("CAM_WTPCore_"&amp;$C22&amp;"_UnitValues"),MATCH("COMBINED-NHH",WTPCore_Group,0),MATCH("MEAN",LMH,0))</f>
        <v>152.24552514639311</v>
      </c>
      <c r="Z22" s="429">
        <f ca="1">Y22*(S22-T22)*(AllProps_CAM/NHHProps_CAM)</f>
        <v>10.97142857142857</v>
      </c>
      <c r="AA22" s="89">
        <f ca="1">INDEX(INDIRECT("CAM_WTPCore2_"&amp;$B22&amp;"_UnitValues"),2,MATCH("MEAN",LMH,0))</f>
        <v>3804.1888084146854</v>
      </c>
      <c r="AB22" s="429">
        <f ca="1">AA22*($S22-$T22)*(AllProps_CAM/NHHProps_CAM)</f>
        <v>274.14523838133641</v>
      </c>
      <c r="AC22" s="16">
        <f ca="1">X22*AA$25/X$24</f>
        <v>111.12320859451465</v>
      </c>
      <c r="AD22" s="243" t="str">
        <f>Q22</f>
        <v>Property affected</v>
      </c>
      <c r="AE22" s="668">
        <f ca="1">(AC22*NHHProps_CAM)/((S22-T22)*AllProps_CAM)</f>
        <v>1542.0062335803191</v>
      </c>
    </row>
    <row r="23" spans="1:31" x14ac:dyDescent="0.35">
      <c r="A23" s="7" t="s">
        <v>855</v>
      </c>
      <c r="B23" s="7" t="s">
        <v>138</v>
      </c>
      <c r="C23" s="7" t="s">
        <v>1008</v>
      </c>
      <c r="D23" s="377" t="s">
        <v>127</v>
      </c>
      <c r="E23" s="124">
        <f ca="1">INDEX(INDIRECT("ExtWTP_"&amp;$C23&amp;"_UnitValues"),MATCH(A$20, INDIRECT("ExtWTP_Comps_"&amp;C23),0),MATCH("NHH",ExtWTP_Group,0))</f>
        <v>2276</v>
      </c>
      <c r="F23" s="383">
        <f t="shared" ca="1" si="3"/>
        <v>1.2500000000000001E-2</v>
      </c>
      <c r="G23" s="383">
        <f t="shared" ca="1" si="3"/>
        <v>8.3333333333333332E-3</v>
      </c>
      <c r="H23" s="431">
        <f ca="1">INDEX(INDIRECT("SSW_WTPCore2_"&amp;$B23&amp;"_LevelValues"),2,MATCH("S1 MEAN",WTPCore2_LevelValues,0))</f>
        <v>2.3562800507588295E-4</v>
      </c>
      <c r="I23" s="431">
        <f ca="1">INDEX(INDIRECT("SSW_WTPCore2_"&amp;$B23&amp;"_LevelValues"),2,MATCH("S2 MEAN",WTPCore2_LevelValues,0))</f>
        <v>4.1117889914467278E-4</v>
      </c>
      <c r="J23" s="431">
        <f ca="1">SUM(H23:I23)</f>
        <v>6.4680690422055573E-4</v>
      </c>
      <c r="K23" s="213">
        <f ca="1">E23*(F23-G23)</f>
        <v>9.4833333333333361</v>
      </c>
      <c r="L23" s="429">
        <f ca="1">INDEX(INDIRECT("SSW_WTPCore_DCE_"&amp;$B23&amp;"_UnitValues"),MATCH("COMBINED-NHH",WTPCore_Group,0),MATCH("MEAN",LMH,0))</f>
        <v>260.23872775996313</v>
      </c>
      <c r="M23" s="429">
        <f ca="1">L23*(F23-G23)*(AllProps_CAM/NHHProps_CAM)</f>
        <v>18.232915286697374</v>
      </c>
      <c r="N23" s="89">
        <f ca="1">INDEX(INDIRECT("SSW_WTPCore2_"&amp;$B23&amp;"_UnitValues"),2,MATCH("MEAN",LMH,0))</f>
        <v>36.166957745748803</v>
      </c>
      <c r="O23" s="429">
        <f ca="1">N23*($F23-$G23)*(AllProps_SSW/NHHProps_SSW)</f>
        <v>2.8614737442717386</v>
      </c>
      <c r="P23" s="16">
        <f t="shared" ca="1" si="5"/>
        <v>0.76951676468539065</v>
      </c>
      <c r="Q23" s="377" t="s">
        <v>127</v>
      </c>
      <c r="R23" s="391">
        <f ca="1">P23*NHHProps_SSW/((F23-G23)*AllProps_SSW)</f>
        <v>9.7261351318479488</v>
      </c>
      <c r="S23" s="383">
        <f t="shared" ca="1" si="4"/>
        <v>2.5000000000000001E-2</v>
      </c>
      <c r="T23" s="383">
        <f t="shared" ca="1" si="4"/>
        <v>1.6666666666666666E-2</v>
      </c>
      <c r="U23" s="431">
        <f ca="1">INDEX(INDIRECT("CAM_WTPCore2_"&amp;$B23&amp;"_LevelValues"),2,MATCH("S1 MEAN",WTPCore2_LevelValues,0))</f>
        <v>2.654718763279678E-4</v>
      </c>
      <c r="V23" s="431">
        <f ca="1">INDEX(INDIRECT("CAM_WTPCore2_"&amp;$B23&amp;"_LevelValues"),2,MATCH("S2 MEAN",WTPCore2_LevelValues,0))</f>
        <v>1.3401602008677625E-5</v>
      </c>
      <c r="W23" s="431">
        <f t="shared" ca="1" si="6"/>
        <v>2.7887347833664542E-4</v>
      </c>
      <c r="X23" s="213">
        <f t="shared" ca="1" si="7"/>
        <v>18.966666666666672</v>
      </c>
      <c r="Y23" s="429">
        <f ca="1">INDEX(INDIRECT("CAM_WTPCore_"&amp;$B23&amp;"_UnitValues"),MATCH("COMBINED-NHH",WTPCore_Group,0),MATCH("MEAN",LMH,0))</f>
        <v>76.122762573196539</v>
      </c>
      <c r="Z23" s="429">
        <f ca="1">Y23*(S23-T23)*(AllProps_CAM/NHHProps_CAM)</f>
        <v>10.666666666666668</v>
      </c>
      <c r="AA23" s="89">
        <f ca="1">INDEX(INDIRECT("CAM_WTPCore2_"&amp;$B23&amp;"_UnitValues"),2,MATCH("MEAN",LMH,0))</f>
        <v>10.189737398103325</v>
      </c>
      <c r="AB23" s="429">
        <f ca="1">AA23*($S23-$T23)*(AllProps_CAM/NHHProps_CAM)</f>
        <v>1.4278322090836246</v>
      </c>
      <c r="AC23" s="16">
        <f t="shared" ref="AC23" ca="1" si="8">X23*AA$25/X$24</f>
        <v>17.715487505281466</v>
      </c>
      <c r="AD23" s="243" t="str">
        <f>Q23</f>
        <v>Property affected</v>
      </c>
      <c r="AE23" s="668">
        <f ca="1">(AC23*NHHProps_CAM)/((S23-T23)*AllProps_CAM)</f>
        <v>126.42673586559104</v>
      </c>
    </row>
    <row r="24" spans="1:31" x14ac:dyDescent="0.35">
      <c r="D24" s="377"/>
      <c r="E24" s="124"/>
      <c r="F24" s="16"/>
      <c r="G24" s="16"/>
      <c r="H24" s="16"/>
      <c r="I24" s="16"/>
      <c r="J24" s="330">
        <f ca="1">SUM(J21:J23)*AvgNHHBill_SSW</f>
        <v>107.12187173775061</v>
      </c>
      <c r="K24" s="331">
        <f ca="1">SUM(K21:K23)</f>
        <v>909.30555555555543</v>
      </c>
      <c r="L24" s="331"/>
      <c r="M24" s="331">
        <f ca="1">SUM(M21:M23)</f>
        <v>40.447731613018306</v>
      </c>
      <c r="N24" s="331"/>
      <c r="O24" s="331">
        <f ca="1">SUM(O21:O23)</f>
        <v>107.12187173775061</v>
      </c>
      <c r="P24" s="330">
        <f ca="1">SUM(P21:P23)</f>
        <v>73.784801675384458</v>
      </c>
      <c r="Q24" s="201"/>
      <c r="R24" s="466"/>
      <c r="S24" s="16"/>
      <c r="T24" s="16"/>
      <c r="U24" s="16"/>
      <c r="V24" s="16"/>
      <c r="W24" s="610">
        <f ca="1">SUM(W21:W23)*AvgNHHBill_CAM</f>
        <v>565.16825721697808</v>
      </c>
      <c r="X24" s="331">
        <f ca="1">SUM(X21:X23)</f>
        <v>329.11758241758241</v>
      </c>
      <c r="Y24" s="331"/>
      <c r="Z24" s="331">
        <f ca="1">SUM(Z21:Z23)</f>
        <v>49.644932844932839</v>
      </c>
      <c r="AA24" s="331"/>
      <c r="AB24" s="331">
        <f ca="1">SUM(AB21:AB23)</f>
        <v>565.16825721697808</v>
      </c>
      <c r="AC24" s="330">
        <f ca="1">SUM(AC21:AC23)</f>
        <v>307.40659503095549</v>
      </c>
      <c r="AE24" s="668"/>
    </row>
    <row r="25" spans="1:31" x14ac:dyDescent="0.35">
      <c r="A25" s="50"/>
      <c r="B25" s="50"/>
      <c r="C25" s="50"/>
      <c r="D25" s="379"/>
      <c r="E25" s="14"/>
      <c r="F25" s="384"/>
      <c r="G25" s="384"/>
      <c r="H25" s="384"/>
      <c r="I25" s="384"/>
      <c r="J25" s="384"/>
      <c r="K25" s="25"/>
      <c r="L25" s="25"/>
      <c r="M25" s="39" t="s">
        <v>361</v>
      </c>
      <c r="N25" s="546">
        <f ca="1">AVERAGE(M24,O24)</f>
        <v>73.784801675384458</v>
      </c>
      <c r="O25" s="39"/>
      <c r="P25" s="11"/>
      <c r="Q25" s="50"/>
      <c r="R25" s="467"/>
      <c r="S25" s="384"/>
      <c r="T25" s="384"/>
      <c r="U25" s="384"/>
      <c r="V25" s="384"/>
      <c r="W25" s="384"/>
      <c r="X25" s="25"/>
      <c r="Y25" s="25"/>
      <c r="Z25" s="39" t="s">
        <v>361</v>
      </c>
      <c r="AA25" s="546">
        <f ca="1">AVERAGE(Z24,AB24)</f>
        <v>307.40659503095549</v>
      </c>
      <c r="AB25" s="39"/>
      <c r="AC25" s="11"/>
      <c r="AD25" s="50"/>
      <c r="AE25" s="669"/>
    </row>
    <row r="26" spans="1:31" x14ac:dyDescent="0.35">
      <c r="A26" s="51" t="s">
        <v>93</v>
      </c>
      <c r="B26" s="51"/>
      <c r="D26" s="378"/>
      <c r="E26" s="218"/>
      <c r="F26" s="218"/>
      <c r="G26" s="218"/>
      <c r="H26" s="330"/>
      <c r="I26" s="330"/>
      <c r="J26" s="330"/>
      <c r="K26" s="389"/>
      <c r="L26" s="389"/>
      <c r="M26" s="389"/>
      <c r="N26" s="389"/>
      <c r="O26" s="389"/>
      <c r="P26" s="45"/>
      <c r="Q26" s="193"/>
      <c r="R26" s="468"/>
      <c r="S26" s="218"/>
      <c r="T26" s="218"/>
      <c r="U26" s="330"/>
      <c r="V26" s="330"/>
      <c r="W26" s="330"/>
      <c r="X26" s="389"/>
      <c r="Y26" s="389"/>
      <c r="Z26" s="389"/>
      <c r="AA26" s="389"/>
      <c r="AB26" s="389"/>
      <c r="AC26" s="45"/>
      <c r="AE26" s="670"/>
    </row>
    <row r="27" spans="1:31" x14ac:dyDescent="0.35">
      <c r="A27" s="7" t="s">
        <v>129</v>
      </c>
      <c r="B27" s="7" t="s">
        <v>130</v>
      </c>
      <c r="C27" s="7" t="str">
        <f>B27</f>
        <v>Discolour</v>
      </c>
      <c r="D27" s="377" t="s">
        <v>127</v>
      </c>
      <c r="E27" s="124">
        <f ca="1">INDEX(INDIRECT("ExtWTP_"&amp;$C27&amp;"_UnitValues"),MATCH(A$26, INDIRECT("ExtWTP_Comps_"&amp;C27),0),MATCH("NHH",ExtWTP_Group,0))</f>
        <v>133</v>
      </c>
      <c r="F27" s="383">
        <f t="shared" ref="F27:G29" ca="1" si="9">INDEX(INDIRECT("SSW_WTPCore2_"&amp;$B27&amp;"_Levels"),2,MATCH(F$4,WTPCore2_AttLevels,0))</f>
        <v>6.6666666666666666E-2</v>
      </c>
      <c r="G27" s="383">
        <f t="shared" ca="1" si="9"/>
        <v>0.04</v>
      </c>
      <c r="H27" s="431">
        <f ca="1">INDEX(INDIRECT("SSW_WTPCore2_"&amp;$B27&amp;"_LevelValues"),2,MATCH("S1 MEAN",WTPCore2_LevelValues,0))</f>
        <v>1.9376915692789636E-2</v>
      </c>
      <c r="I27" s="431">
        <f ca="1">INDEX(INDIRECT("SSW_WTPCore2_"&amp;$B27&amp;"_LevelValues"),2,MATCH("S2 MEAN",WTPCore2_LevelValues,0))</f>
        <v>4.9841954334050795E-4</v>
      </c>
      <c r="J27" s="431">
        <f ca="1">SUM(H27:I27)</f>
        <v>1.9875335236130144E-2</v>
      </c>
      <c r="K27" s="213">
        <f ca="1">E27*(F27-G27)</f>
        <v>3.5466666666666664</v>
      </c>
      <c r="L27" s="429">
        <f ca="1">INDEX(INDIRECT("SSW_WTPCore_DCE_"&amp;$C27&amp;"_UnitValues"),MATCH("COMBINED-NHH",WTPCore_Group,0),MATCH("MEAN",LMH,0))</f>
        <v>37.156930418313699</v>
      </c>
      <c r="M27" s="429">
        <f ca="1">L27*(F27-G27)*(AllProps_SSW/NHHProps_SSW)</f>
        <v>18.814712643678163</v>
      </c>
      <c r="N27" s="89">
        <f ca="1">INDEX(INDIRECT("SSW_WTPCore2_"&amp;$C27&amp;"_UnitValues"),2,MATCH("MEAN",LMH,0))</f>
        <v>173.64881354494736</v>
      </c>
      <c r="O27" s="429">
        <f ca="1">N27*($F27-$G27)*(AllProps_SSW/NHHProps_SSW)</f>
        <v>87.928483084639765</v>
      </c>
      <c r="P27" s="16">
        <f ca="1">K27*N$31/K$30</f>
        <v>32.18935909442358</v>
      </c>
      <c r="Q27" s="377" t="s">
        <v>127</v>
      </c>
      <c r="R27" s="391">
        <f ca="1">P27*NHHProps_SSW/((F27-G27)*AllProps_SSW)</f>
        <v>63.570345119434585</v>
      </c>
      <c r="S27" s="383">
        <f t="shared" ref="S27:T29" ca="1" si="10">INDEX(INDIRECT("CAM_WTPCore2_"&amp;$B27&amp;"_Levels"),2,MATCH(S$4,WTPCore2_AttLevels,0))</f>
        <v>2.2222222222222223E-2</v>
      </c>
      <c r="T27" s="383">
        <f t="shared" ca="1" si="10"/>
        <v>1.5384615384615385E-2</v>
      </c>
      <c r="U27" s="431">
        <f ca="1">INDEX(INDIRECT("CAM_WTPCore2_"&amp;$B27&amp;"_LevelValues"),2,MATCH("S1 MEAN",WTPCore2_LevelValues,0))</f>
        <v>5.6414013673365619E-2</v>
      </c>
      <c r="V27" s="431">
        <f ca="1">INDEX(INDIRECT("CAM_WTPCore2_"&amp;$B27&amp;"_LevelValues"),2,MATCH("S2 MEAN",WTPCore2_LevelValues,0))</f>
        <v>1.4754621463399648E-4</v>
      </c>
      <c r="W27" s="431">
        <f ca="1">SUM(U27:V27)</f>
        <v>5.6561559887999616E-2</v>
      </c>
      <c r="X27" s="213">
        <f ca="1">E27*(S27-T27)</f>
        <v>0.90940170940170939</v>
      </c>
      <c r="Y27" s="429">
        <f ca="1">INDEX(INDIRECT("CAM_WTPCore_"&amp;$C27&amp;"_UnitValues"),MATCH("COMBINED-NHH",WTPCore_Group,0),MATCH("MEAN",LMH,0))</f>
        <v>243.59284023422896</v>
      </c>
      <c r="Z27" s="429">
        <f ca="1">Y27*(S27-T27)*(AllProps_CAM/NHHProps_CAM)</f>
        <v>28.006837606837603</v>
      </c>
      <c r="AA27" s="89">
        <f ca="1">INDEX(INDIRECT("CAM_WTPCore2_"&amp;$B27&amp;"_UnitValues"),2,MATCH("MEAN",LMH,0))</f>
        <v>2518.7889835624424</v>
      </c>
      <c r="AB27" s="429">
        <f ca="1">AA27*($S27-$T27)*(AllProps_CAM/NHHProps_CAM)</f>
        <v>289.59518662655807</v>
      </c>
      <c r="AC27" s="16">
        <f ca="1">X27*AA$31/X$30</f>
        <v>22.05324380308328</v>
      </c>
      <c r="AD27" s="243" t="str">
        <f>Q27</f>
        <v>Property affected</v>
      </c>
      <c r="AE27" s="668">
        <f ca="1">(AC27*NHHProps_CAM)/((S27-T27)*AllProps_CAM)</f>
        <v>191.81074171185395</v>
      </c>
    </row>
    <row r="28" spans="1:31" x14ac:dyDescent="0.35">
      <c r="A28" s="7" t="s">
        <v>849</v>
      </c>
      <c r="B28" s="7" t="s">
        <v>138</v>
      </c>
      <c r="C28" s="7" t="s">
        <v>1009</v>
      </c>
      <c r="D28" s="377" t="s">
        <v>127</v>
      </c>
      <c r="E28" s="124">
        <f ca="1">INDEX(INDIRECT("ExtWTP_"&amp;$C28&amp;"_UnitValues"),MATCH(A$26, INDIRECT("ExtWTP_Comps_"&amp;C28),0),MATCH("NHH",ExtWTP_Group,0))</f>
        <v>850</v>
      </c>
      <c r="F28" s="383">
        <f t="shared" ca="1" si="9"/>
        <v>1.2500000000000001E-2</v>
      </c>
      <c r="G28" s="383">
        <f t="shared" ca="1" si="9"/>
        <v>8.3333333333333332E-3</v>
      </c>
      <c r="H28" s="431">
        <f ca="1">INDEX(INDIRECT("SSW_WTPCore2_"&amp;$B28&amp;"_LevelValues"),2,MATCH("S1 MEAN",WTPCore2_LevelValues,0))</f>
        <v>2.3562800507588295E-4</v>
      </c>
      <c r="I28" s="431">
        <f ca="1">INDEX(INDIRECT("SSW_WTPCore2_"&amp;$B28&amp;"_LevelValues"),2,MATCH("S2 MEAN",WTPCore2_LevelValues,0))</f>
        <v>4.1117889914467278E-4</v>
      </c>
      <c r="J28" s="431">
        <f ca="1">SUM(H28:I28)</f>
        <v>6.4680690422055573E-4</v>
      </c>
      <c r="K28" s="213">
        <f ca="1">E28*(F28-G28)</f>
        <v>3.5416666666666674</v>
      </c>
      <c r="L28" s="429">
        <f ca="1">INDEX(INDIRECT("SSW_WTPCore_DCE_"&amp;$B28&amp;"_UnitValues"),MATCH("COMBINED-NHH",WTPCore_Group,0),MATCH("MEAN",LMH,0))</f>
        <v>260.23872775996313</v>
      </c>
      <c r="M28" s="429">
        <f ca="1">L28*(F28-G28)*(AllProps_SSW/NHHProps_SSW)</f>
        <v>20.589685534591201</v>
      </c>
      <c r="N28" s="89">
        <f ca="1">INDEX(INDIRECT("SSW_WTPCore2_"&amp;$B28&amp;"_UnitValues"),2,MATCH("MEAN",LMH,0))</f>
        <v>36.166957745748803</v>
      </c>
      <c r="O28" s="429">
        <f ca="1">N28*($F28-$G28)*(AllProps_SSW/NHHProps_SSW)</f>
        <v>2.8614737442717386</v>
      </c>
      <c r="P28" s="16">
        <f t="shared" ref="P28:P29" ca="1" si="11">K28*N$31/K$30</f>
        <v>32.143979358858147</v>
      </c>
      <c r="Q28" s="377" t="s">
        <v>127</v>
      </c>
      <c r="R28" s="391">
        <f ca="1">P28*NHHProps_SSW/((F28-G28)*AllProps_SSW)</f>
        <v>406.27664174074744</v>
      </c>
      <c r="S28" s="383">
        <f t="shared" ca="1" si="10"/>
        <v>2.5000000000000001E-2</v>
      </c>
      <c r="T28" s="383">
        <f t="shared" ca="1" si="10"/>
        <v>1.6666666666666666E-2</v>
      </c>
      <c r="U28" s="431">
        <f ca="1">INDEX(INDIRECT("CAM_WTPCore2_"&amp;$B28&amp;"_LevelValues"),2,MATCH("S1 MEAN",WTPCore2_LevelValues,0))</f>
        <v>2.654718763279678E-4</v>
      </c>
      <c r="V28" s="431">
        <f ca="1">INDEX(INDIRECT("CAM_WTPCore2_"&amp;$B28&amp;"_LevelValues"),2,MATCH("S2 MEAN",WTPCore2_LevelValues,0))</f>
        <v>1.3401602008677625E-5</v>
      </c>
      <c r="W28" s="431">
        <f ca="1">SUM(U28:V28)</f>
        <v>2.7887347833664542E-4</v>
      </c>
      <c r="X28" s="213">
        <f t="shared" ref="X28:X29" ca="1" si="12">E28*(S28-T28)</f>
        <v>7.0833333333333348</v>
      </c>
      <c r="Y28" s="429">
        <f ca="1">INDEX(INDIRECT("CAM_WTPCore_"&amp;$B28&amp;"_UnitValues"),MATCH("COMBINED-NHH",WTPCore_Group,0),MATCH("MEAN",LMH,0))</f>
        <v>76.122762573196539</v>
      </c>
      <c r="Z28" s="429">
        <f ca="1">Y28*(S28-T28)*(AllProps_CAM/NHHProps_CAM)</f>
        <v>10.666666666666668</v>
      </c>
      <c r="AA28" s="89">
        <f ca="1">INDEX(INDIRECT("CAM_WTPCore2_"&amp;$B28&amp;"_UnitValues"),2,MATCH("MEAN",LMH,0))</f>
        <v>10.189737398103325</v>
      </c>
      <c r="AB28" s="429">
        <f ca="1">AA28*($S28-$T28)*(AllProps_CAM/NHHProps_CAM)</f>
        <v>1.4278322090836246</v>
      </c>
      <c r="AC28" s="16">
        <f t="shared" ref="AC28:AC29" ca="1" si="13">X28*AA$31/X$30</f>
        <v>171.77279888914728</v>
      </c>
      <c r="AD28" s="243" t="str">
        <f>Q28</f>
        <v>Property affected</v>
      </c>
      <c r="AE28" s="668">
        <f ca="1">(AC28*NHHProps_CAM)/((S28-T28)*AllProps_CAM)</f>
        <v>1225.8581237223748</v>
      </c>
    </row>
    <row r="29" spans="1:31" x14ac:dyDescent="0.35">
      <c r="A29" s="7" t="s">
        <v>1010</v>
      </c>
      <c r="B29" s="7" t="s">
        <v>144</v>
      </c>
      <c r="C29" s="7" t="str">
        <f>B29</f>
        <v>TempBan</v>
      </c>
      <c r="D29" s="377" t="s">
        <v>127</v>
      </c>
      <c r="E29" s="124">
        <f ca="1">INDEX(INDIRECT("ExtWTP_"&amp;$C29&amp;"_UnitValues"),MATCH(A$26, INDIRECT("ExtWTP_Comps_"&amp;C29),0),MATCH("NHH",ExtWTP_Group,0))</f>
        <v>88</v>
      </c>
      <c r="F29" s="383">
        <f t="shared" ca="1" si="9"/>
        <v>2.5000000000000001E-2</v>
      </c>
      <c r="G29" s="383">
        <f t="shared" ca="1" si="9"/>
        <v>1.6666666666666666E-2</v>
      </c>
      <c r="H29" s="431">
        <f ca="1">INDEX(INDIRECT("SSW_WTPCore2_"&amp;$B29&amp;"_LevelValues"),2,MATCH("S1 MEAN",WTPCore2_LevelValues,0))</f>
        <v>1.0363458862342743E-3</v>
      </c>
      <c r="I29" s="431">
        <f ca="1">INDEX(INDIRECT("SSW_WTPCore2_"&amp;$B29&amp;"_LevelValues"),2,MATCH("S2 MEAN",WTPCore2_LevelValues,0))</f>
        <v>6.2724159084084235E-4</v>
      </c>
      <c r="J29" s="431">
        <f ca="1">SUM(H29:I29)</f>
        <v>1.6635874770751166E-3</v>
      </c>
      <c r="K29" s="213">
        <f ca="1">E29*(F29-G29)</f>
        <v>0.7333333333333335</v>
      </c>
      <c r="L29" s="605">
        <f ca="1">INDEX(INDIRECT("SSW_WTPCore_DCE_"&amp;$C29&amp;"_UnitValues"),MATCH("COMBINED-NHH",WTPCore_Group,0),MATCH("MEAN",LMH,0))</f>
        <v>159200.29439999998</v>
      </c>
      <c r="M29" s="429">
        <f ca="1">L29*(F29-G29)/NHHProps_SSW*100</f>
        <v>4.4240000000000004</v>
      </c>
      <c r="N29" s="245">
        <f ca="1">INDEX(INDIRECT("SSW_WTPCore2_"&amp;$C29&amp;"_UnitValues"),2,MATCH("MEAN",LMH,0))</f>
        <v>264843.61611051176</v>
      </c>
      <c r="O29" s="429">
        <f ca="1">N29*(F29-G29)/NHHProps_SSW*100</f>
        <v>7.3597109985803169</v>
      </c>
      <c r="P29" s="16">
        <f t="shared" ca="1" si="11"/>
        <v>6.6556945495988638</v>
      </c>
      <c r="Q29" s="477" t="s">
        <v>145</v>
      </c>
      <c r="R29" s="391">
        <f ca="1">P29*NHHProps_SSW/((F29-G29)*100)</f>
        <v>239509.16178404482</v>
      </c>
      <c r="S29" s="383">
        <f t="shared" ca="1" si="10"/>
        <v>0.02</v>
      </c>
      <c r="T29" s="383">
        <f t="shared" ca="1" si="10"/>
        <v>1.3333333333333334E-2</v>
      </c>
      <c r="U29" s="431">
        <f ca="1">INDEX(INDIRECT("CAM_WTPCore2_"&amp;$B29&amp;"_LevelValues"),2,MATCH("S1 MEAN",WTPCore2_LevelValues,0))</f>
        <v>1.3694025744847137E-3</v>
      </c>
      <c r="V29" s="431">
        <f ca="1">INDEX(INDIRECT("CAM_WTPCore2_"&amp;$B29&amp;"_LevelValues"),2,MATCH("S2 MEAN",WTPCore2_LevelValues,0))</f>
        <v>1.1073984405910726E-3</v>
      </c>
      <c r="W29" s="431">
        <f t="shared" ref="W29" ca="1" si="14">SUM(U29:V29)</f>
        <v>2.4768010150757864E-3</v>
      </c>
      <c r="X29" s="213">
        <f t="shared" ca="1" si="12"/>
        <v>0.58666666666666667</v>
      </c>
      <c r="Y29" s="429">
        <f ca="1">INDEX(INDIRECT("CAM_WTPCore_"&amp;$C29&amp;"_UnitValues"),MATCH("COMBINED-NHH",WTPCore_Group,0),MATCH("MEAN",LMH,0))</f>
        <v>950206.4639999998</v>
      </c>
      <c r="Z29" s="429">
        <f ca="1">Y29*(S29-T29)/NHHProps_CAM*100</f>
        <v>73.727999999999966</v>
      </c>
      <c r="AA29" s="89">
        <f ca="1">INDEX(INDIRECT("CAM_WTPCore2_"&amp;$B29&amp;"_UnitValues"),2,MATCH("MEAN",LMH,0))</f>
        <v>163435.57878935931</v>
      </c>
      <c r="AB29" s="429">
        <f ca="1">AA29*(S29-T29)/NHHProps_CAM*100</f>
        <v>12.681221197188025</v>
      </c>
      <c r="AC29" s="16">
        <f t="shared" ca="1" si="13"/>
        <v>14.226829460936433</v>
      </c>
      <c r="AD29" s="243" t="str">
        <f>Q29</f>
        <v>1% change in risk</v>
      </c>
      <c r="AE29" s="668">
        <f ca="1">(AC29*NHHProps_CAM)/((S29-T29)*100)</f>
        <v>183355.37809254875</v>
      </c>
    </row>
    <row r="30" spans="1:31" x14ac:dyDescent="0.35">
      <c r="D30" s="377"/>
      <c r="E30" s="124"/>
      <c r="F30" s="16"/>
      <c r="G30" s="16"/>
      <c r="H30" s="16"/>
      <c r="I30" s="16"/>
      <c r="J30" s="330">
        <f ca="1">SUM(J27:J29)*AvgNHHBill_SSW</f>
        <v>98.149667827491811</v>
      </c>
      <c r="K30" s="331">
        <f ca="1">SUM(K27:K29)</f>
        <v>7.8216666666666672</v>
      </c>
      <c r="L30" s="331"/>
      <c r="M30" s="331">
        <f ca="1">SUM(M27:M29)</f>
        <v>43.82839817826936</v>
      </c>
      <c r="N30" s="331"/>
      <c r="O30" s="331">
        <f ca="1">SUM(O27:O29)</f>
        <v>98.149667827491811</v>
      </c>
      <c r="P30" s="330">
        <f ca="1">SUM(P27:P29)</f>
        <v>70.989033002880589</v>
      </c>
      <c r="Q30" s="201"/>
      <c r="R30" s="466"/>
      <c r="S30" s="16"/>
      <c r="T30" s="16"/>
      <c r="U30" s="16"/>
      <c r="V30" s="16"/>
      <c r="W30" s="330">
        <f ca="1">SUM(W27:W29)*AvgNHHBill_CAM</f>
        <v>303.70424003282972</v>
      </c>
      <c r="X30" s="331">
        <f ca="1">SUM(X27:X29)</f>
        <v>8.5794017094017114</v>
      </c>
      <c r="Y30" s="331"/>
      <c r="Z30" s="331">
        <f ca="1">SUM(Z27:Z29)</f>
        <v>112.40150427350423</v>
      </c>
      <c r="AA30" s="331"/>
      <c r="AB30" s="331">
        <f ca="1">SUM(AB27:AB29)</f>
        <v>303.70424003282977</v>
      </c>
      <c r="AC30" s="330">
        <f ca="1">SUM(AC27:AC29)</f>
        <v>208.05287215316702</v>
      </c>
      <c r="AE30" s="668"/>
    </row>
    <row r="31" spans="1:31" x14ac:dyDescent="0.35">
      <c r="A31" s="50"/>
      <c r="B31" s="50"/>
      <c r="C31" s="50"/>
      <c r="D31" s="379"/>
      <c r="E31" s="14"/>
      <c r="F31" s="384"/>
      <c r="G31" s="384"/>
      <c r="H31" s="384"/>
      <c r="I31" s="384"/>
      <c r="J31" s="384"/>
      <c r="K31" s="25"/>
      <c r="L31" s="25"/>
      <c r="M31" s="39" t="s">
        <v>361</v>
      </c>
      <c r="N31" s="546">
        <f ca="1">AVERAGE(M30,O30)</f>
        <v>70.989033002880589</v>
      </c>
      <c r="O31" s="39"/>
      <c r="P31" s="11"/>
      <c r="Q31" s="50"/>
      <c r="R31" s="467"/>
      <c r="S31" s="384"/>
      <c r="T31" s="384"/>
      <c r="U31" s="384"/>
      <c r="V31" s="384"/>
      <c r="W31" s="384"/>
      <c r="X31" s="25"/>
      <c r="Y31" s="25"/>
      <c r="Z31" s="39" t="s">
        <v>361</v>
      </c>
      <c r="AA31" s="546">
        <f ca="1">AVERAGE(Z30,AB30)</f>
        <v>208.05287215316702</v>
      </c>
      <c r="AB31" s="39"/>
      <c r="AC31" s="11"/>
      <c r="AD31" s="50"/>
      <c r="AE31" s="669"/>
    </row>
    <row r="32" spans="1:31" x14ac:dyDescent="0.35">
      <c r="A32" s="424" t="s">
        <v>94</v>
      </c>
      <c r="B32" s="388"/>
      <c r="D32" s="378"/>
      <c r="E32" s="218"/>
      <c r="F32" s="218"/>
      <c r="G32" s="218"/>
      <c r="H32" s="330"/>
      <c r="I32" s="330"/>
      <c r="J32" s="330"/>
      <c r="K32" s="389"/>
      <c r="L32" s="389"/>
      <c r="M32" s="389"/>
      <c r="N32" s="389"/>
      <c r="O32" s="389"/>
      <c r="P32" s="45"/>
      <c r="Q32" s="193"/>
      <c r="R32" s="468"/>
      <c r="S32" s="218"/>
      <c r="T32" s="218"/>
      <c r="U32" s="330"/>
      <c r="V32" s="330"/>
      <c r="W32" s="330"/>
      <c r="X32" s="389"/>
      <c r="Y32" s="389"/>
      <c r="Z32" s="389"/>
      <c r="AA32" s="389"/>
      <c r="AB32" s="389"/>
      <c r="AC32" s="45"/>
      <c r="AE32" s="670"/>
    </row>
    <row r="33" spans="1:31" x14ac:dyDescent="0.35">
      <c r="A33" s="7" t="s">
        <v>855</v>
      </c>
      <c r="B33" s="7" t="s">
        <v>138</v>
      </c>
      <c r="C33" s="7" t="s">
        <v>1008</v>
      </c>
      <c r="D33" s="377" t="s">
        <v>127</v>
      </c>
      <c r="E33" s="124">
        <f ca="1">INDEX(INDIRECT("ExtWTP_"&amp;$C33&amp;"_UnitValues"),MATCH(A$32, INDIRECT("ExtWTP_Comps_"&amp;C33),0),MATCH("NHH",ExtWTP_Group,0))</f>
        <v>426</v>
      </c>
      <c r="F33" s="383">
        <f ca="1">INDEX(INDIRECT("SSW_WTPCore2_"&amp;$B33&amp;"_Levels"),2,MATCH(F$4,WTPCore2_AttLevels,0))</f>
        <v>1.2500000000000001E-2</v>
      </c>
      <c r="G33" s="383">
        <f ca="1">INDEX(INDIRECT("SSW_WTPCore2_"&amp;$B33&amp;"_Levels"),2,MATCH(G$4,WTPCore2_AttLevels,0))</f>
        <v>8.3333333333333332E-3</v>
      </c>
      <c r="H33" s="431">
        <f ca="1">INDEX(INDIRECT("SSW_WTPCore2_"&amp;$B33&amp;"_LevelValues"),2,MATCH("S1 MEAN",WTPCore2_LevelValues,0))</f>
        <v>2.3562800507588295E-4</v>
      </c>
      <c r="I33" s="431">
        <f ca="1">INDEX(INDIRECT("SSW_WTPCore2_"&amp;$B33&amp;"_LevelValues"),2,MATCH("S2 MEAN",WTPCore2_LevelValues,0))</f>
        <v>4.1117889914467278E-4</v>
      </c>
      <c r="J33" s="431">
        <f ca="1">SUM(H33:I33)</f>
        <v>6.4680690422055573E-4</v>
      </c>
      <c r="K33" s="213">
        <f ca="1">E33*(F33-G33)</f>
        <v>1.7750000000000004</v>
      </c>
      <c r="L33" s="429">
        <f ca="1">INDEX(INDIRECT("SSW_WTPCore_DCE_"&amp;$B33&amp;"_UnitValues"),MATCH("COMBINED-NHH",WTPCore_Group,0),MATCH("MEAN",LMH,0))</f>
        <v>260.23872775996313</v>
      </c>
      <c r="M33" s="429">
        <f ca="1">L33*($F33-$G33)*(AllProps_SSW/NHHProps_SSW)</f>
        <v>20.589685534591201</v>
      </c>
      <c r="N33" s="89">
        <f ca="1">INDEX(INDIRECT("SSW_WTPCore2_"&amp;$B33&amp;"_UnitValues"),2,MATCH("MEAN",LMH,0))</f>
        <v>36.166957745748803</v>
      </c>
      <c r="O33" s="429">
        <f ca="1">N33*($F33-$G33)*(AllProps_SSW/NHHProps_SSW)</f>
        <v>2.8614737442717386</v>
      </c>
      <c r="P33" s="16">
        <f ca="1">K33*N$35/K$34</f>
        <v>11.725579639431469</v>
      </c>
      <c r="Q33" s="377" t="s">
        <v>127</v>
      </c>
      <c r="R33" s="391">
        <f ca="1">P33*NHHProps_SSW/((F33-G33)*AllProps_SSW)</f>
        <v>148.20284275285596</v>
      </c>
      <c r="S33" s="383">
        <f ca="1">INDEX(INDIRECT("CAM_WTPCore2_"&amp;$B33&amp;"_Levels"),2,MATCH(S$4,WTPCore2_AttLevels,0))</f>
        <v>2.5000000000000001E-2</v>
      </c>
      <c r="T33" s="383">
        <f ca="1">INDEX(INDIRECT("CAM_WTPCore2_"&amp;$B33&amp;"_Levels"),2,MATCH(T$4,WTPCore2_AttLevels,0))</f>
        <v>1.6666666666666666E-2</v>
      </c>
      <c r="U33" s="431">
        <f ca="1">INDEX(INDIRECT("CAM_WTPCore2_"&amp;$B33&amp;"_LevelValues"),2,MATCH("S1 MEAN",WTPCore2_LevelValues,0))</f>
        <v>2.654718763279678E-4</v>
      </c>
      <c r="V33" s="431">
        <f ca="1">INDEX(INDIRECT("CAM_WTPCore2_"&amp;$B33&amp;"_LevelValues"),2,MATCH("S2 MEAN",WTPCore2_LevelValues,0))</f>
        <v>1.3401602008677625E-5</v>
      </c>
      <c r="W33" s="431">
        <f ca="1">SUM(U33:V33)</f>
        <v>2.7887347833664542E-4</v>
      </c>
      <c r="X33" s="213">
        <f ca="1">E33*(S33-T33)</f>
        <v>3.5500000000000007</v>
      </c>
      <c r="Y33" s="429">
        <f ca="1">INDEX(INDIRECT("CAM_WTPCore_"&amp;$B33&amp;"_UnitValues"),MATCH("COMBINED-NHH",WTPCore_Group,0),MATCH("MEAN",LMH,0))</f>
        <v>76.122762573196539</v>
      </c>
      <c r="Z33" s="429">
        <f ca="1">Y33*(S33-T33)*(AllProps_CAM/NHHProps_CAM)</f>
        <v>10.666666666666668</v>
      </c>
      <c r="AA33" s="89">
        <f ca="1">INDEX(INDIRECT("CAM_WTPCore2_"&amp;$B33&amp;"_UnitValues"),2,MATCH("MEAN",LMH,0))</f>
        <v>10.189737398103325</v>
      </c>
      <c r="AB33" s="429">
        <f ca="1">AA33*($S33-$T33)*(AllProps_CAM/NHHProps_CAM)</f>
        <v>1.4278322090836246</v>
      </c>
      <c r="AC33" s="16">
        <f ca="1">X33*AA$35/X$34</f>
        <v>6.0472494378751467</v>
      </c>
      <c r="AD33" s="243" t="str">
        <f>Q33</f>
        <v>Property affected</v>
      </c>
      <c r="AE33" s="668">
        <f ca="1">(AC33*NHHProps_CAM)/((S33-T33)*AllProps_CAM)</f>
        <v>43.156249985649943</v>
      </c>
    </row>
    <row r="34" spans="1:31" x14ac:dyDescent="0.35">
      <c r="A34" s="426" t="s">
        <v>161</v>
      </c>
      <c r="D34" s="377"/>
      <c r="E34" s="124"/>
      <c r="F34" s="16"/>
      <c r="G34" s="16"/>
      <c r="H34" s="16"/>
      <c r="I34" s="16"/>
      <c r="J34" s="330">
        <f ca="1">SUM(J33:J33)*AvgNHHBill_SSW</f>
        <v>2.8614737442717386</v>
      </c>
      <c r="K34" s="331">
        <f ca="1">SUM(K33:K33)</f>
        <v>1.7750000000000004</v>
      </c>
      <c r="L34" s="331"/>
      <c r="M34" s="331">
        <f ca="1">SUM(M31:M33)</f>
        <v>20.589685534591201</v>
      </c>
      <c r="N34" s="331"/>
      <c r="O34" s="331">
        <f ca="1">SUM(O31:O33)</f>
        <v>2.8614737442717386</v>
      </c>
      <c r="P34" s="330">
        <f ca="1">SUM(P33:P33)</f>
        <v>11.725579639431469</v>
      </c>
      <c r="Q34" s="201"/>
      <c r="R34" s="466"/>
      <c r="S34" s="16"/>
      <c r="T34" s="16"/>
      <c r="U34" s="16"/>
      <c r="V34" s="16"/>
      <c r="W34" s="330">
        <f ca="1">SUM(W33:W33)*AvgNHHBill_CAM</f>
        <v>1.4278322090836246</v>
      </c>
      <c r="X34" s="331">
        <f ca="1">SUM(X33:X33)</f>
        <v>3.5500000000000007</v>
      </c>
      <c r="Y34" s="331"/>
      <c r="Z34" s="331">
        <f ca="1">SUM(Z31:Z33)</f>
        <v>10.666666666666668</v>
      </c>
      <c r="AA34" s="331"/>
      <c r="AB34" s="223">
        <f ca="1">SUM(AB31:AB33)</f>
        <v>1.4278322090836246</v>
      </c>
      <c r="AC34" s="330">
        <f ca="1">SUM(AC33:AC33)</f>
        <v>6.0472494378751467</v>
      </c>
      <c r="AE34" s="668"/>
    </row>
    <row r="35" spans="1:31" x14ac:dyDescent="0.35">
      <c r="A35" s="50"/>
      <c r="B35" s="50"/>
      <c r="C35" s="50"/>
      <c r="D35" s="379"/>
      <c r="E35" s="14"/>
      <c r="F35" s="384"/>
      <c r="G35" s="384"/>
      <c r="H35" s="384"/>
      <c r="I35" s="384"/>
      <c r="J35" s="384"/>
      <c r="K35" s="25"/>
      <c r="L35" s="25"/>
      <c r="M35" s="39" t="s">
        <v>361</v>
      </c>
      <c r="N35" s="546">
        <f ca="1">AVERAGE(M34,O34)</f>
        <v>11.725579639431469</v>
      </c>
      <c r="O35" s="39"/>
      <c r="P35" s="11"/>
      <c r="Q35" s="50"/>
      <c r="R35" s="467"/>
      <c r="S35" s="384"/>
      <c r="T35" s="384"/>
      <c r="U35" s="384"/>
      <c r="V35" s="384"/>
      <c r="W35" s="384"/>
      <c r="X35" s="25"/>
      <c r="Y35" s="25"/>
      <c r="Z35" s="39" t="s">
        <v>361</v>
      </c>
      <c r="AA35" s="546">
        <f ca="1">AVERAGE(Z34,AB34)</f>
        <v>6.0472494378751467</v>
      </c>
      <c r="AB35" s="39"/>
      <c r="AC35" s="11"/>
      <c r="AD35" s="50"/>
      <c r="AE35" s="669"/>
    </row>
    <row r="36" spans="1:31" x14ac:dyDescent="0.35">
      <c r="A36" s="51" t="s">
        <v>95</v>
      </c>
      <c r="B36" s="51"/>
      <c r="D36" s="378"/>
      <c r="E36" s="218"/>
      <c r="F36" s="218"/>
      <c r="G36" s="218"/>
      <c r="H36" s="330"/>
      <c r="I36" s="330"/>
      <c r="J36" s="330"/>
      <c r="K36" s="389"/>
      <c r="L36" s="389"/>
      <c r="M36" s="389"/>
      <c r="N36" s="389"/>
      <c r="O36" s="389"/>
      <c r="P36" s="45"/>
      <c r="Q36" s="193"/>
      <c r="R36" s="468"/>
      <c r="S36" s="218"/>
      <c r="T36" s="218"/>
      <c r="U36" s="330"/>
      <c r="V36" s="330"/>
      <c r="W36" s="330"/>
      <c r="X36" s="389"/>
      <c r="Y36" s="389"/>
      <c r="Z36" s="389"/>
      <c r="AA36" s="389"/>
      <c r="AB36" s="389"/>
      <c r="AC36" s="45"/>
      <c r="AE36" s="670"/>
    </row>
    <row r="37" spans="1:31" x14ac:dyDescent="0.35">
      <c r="A37" s="7" t="s">
        <v>129</v>
      </c>
      <c r="B37" s="7" t="s">
        <v>130</v>
      </c>
      <c r="C37" s="7" t="str">
        <f>B37</f>
        <v>Discolour</v>
      </c>
      <c r="D37" s="377" t="s">
        <v>127</v>
      </c>
      <c r="E37" s="124">
        <f ca="1">INDEX(INDIRECT("ExtWTP_"&amp;$C37&amp;"_UnitValues"),MATCH(A$36, INDIRECT("ExtWTP_Comps_"&amp;C37),0),MATCH("NHH",ExtWTP_Group,0))</f>
        <v>2170</v>
      </c>
      <c r="F37" s="383">
        <f t="shared" ref="F37:G40" ca="1" si="15">INDEX(INDIRECT("SSW_WTPCore2_"&amp;$B37&amp;"_Levels"),2,MATCH(F$4,WTPCore2_AttLevels,0))</f>
        <v>6.6666666666666666E-2</v>
      </c>
      <c r="G37" s="383">
        <f t="shared" ca="1" si="15"/>
        <v>0.04</v>
      </c>
      <c r="H37" s="431">
        <f ca="1">INDEX(INDIRECT("SSW_WTPCore2_"&amp;$B37&amp;"_LevelValues"),2,MATCH("S1 MEAN",WTPCore2_LevelValues,0))</f>
        <v>1.9376915692789636E-2</v>
      </c>
      <c r="I37" s="431">
        <f ca="1">INDEX(INDIRECT("SSW_WTPCore2_"&amp;$B37&amp;"_LevelValues"),2,MATCH("S2 MEAN",WTPCore2_LevelValues,0))</f>
        <v>4.9841954334050795E-4</v>
      </c>
      <c r="J37" s="431">
        <f ca="1">SUM(H37:I37)</f>
        <v>1.9875335236130144E-2</v>
      </c>
      <c r="K37" s="213">
        <f ca="1">E37*(F37-G37)</f>
        <v>57.86666666666666</v>
      </c>
      <c r="L37" s="429">
        <f ca="1">INDEX(INDIRECT("SSW_WTPCore_DCE_"&amp;$C37&amp;"_UnitValues"),MATCH("COMBINED-NHH",WTPCore_Group,0),MATCH("MEAN",LMH,0))</f>
        <v>37.156930418313699</v>
      </c>
      <c r="M37" s="429">
        <f ca="1">L37*(F37-G37)*(AllProps_SSW/NHHProps_SSW)</f>
        <v>18.814712643678163</v>
      </c>
      <c r="N37" s="89">
        <f ca="1">INDEX(INDIRECT("SSW_WTPCore2_"&amp;$C37&amp;"_UnitValues"),2,MATCH("MEAN",LMH,0))</f>
        <v>173.64881354494736</v>
      </c>
      <c r="O37" s="429">
        <f ca="1">N37*($F37-$G37)*(AllProps_SSW/NHHProps_SSW)</f>
        <v>87.928483084639765</v>
      </c>
      <c r="P37" s="16">
        <f ca="1">K37*N$42/K$41</f>
        <v>63.092320617766255</v>
      </c>
      <c r="Q37" s="377" t="s">
        <v>127</v>
      </c>
      <c r="R37" s="391">
        <f ca="1">P37*NHHProps_SSW/((F37-G37)*AllProps_SSW)</f>
        <v>124.60020046662694</v>
      </c>
      <c r="S37" s="383">
        <f t="shared" ref="S37:T40" ca="1" si="16">INDEX(INDIRECT("CAM_WTPCore2_"&amp;$B37&amp;"_Levels"),2,MATCH(S$4,WTPCore2_AttLevels,0))</f>
        <v>2.2222222222222223E-2</v>
      </c>
      <c r="T37" s="383">
        <f t="shared" ca="1" si="16"/>
        <v>1.5384615384615385E-2</v>
      </c>
      <c r="U37" s="431">
        <f ca="1">INDEX(INDIRECT("CAM_WTPCore2_"&amp;$B37&amp;"_LevelValues"),2,MATCH("S1 MEAN",WTPCore2_LevelValues,0))</f>
        <v>5.6414013673365619E-2</v>
      </c>
      <c r="V37" s="431">
        <f ca="1">INDEX(INDIRECT("CAM_WTPCore2_"&amp;$B37&amp;"_LevelValues"),2,MATCH("S2 MEAN",WTPCore2_LevelValues,0))</f>
        <v>1.4754621463399648E-4</v>
      </c>
      <c r="W37" s="431">
        <f ca="1">SUM(U37:V37)</f>
        <v>5.6561559887999616E-2</v>
      </c>
      <c r="X37" s="213">
        <f ca="1">E37*(S37-T37)</f>
        <v>14.837606837606838</v>
      </c>
      <c r="Y37" s="429">
        <f ca="1">INDEX(INDIRECT("CAM_WTPCore_"&amp;$C37&amp;"_UnitValues"),MATCH("COMBINED-NHH",WTPCore_Group,0),MATCH("MEAN",LMH,0))</f>
        <v>243.59284023422896</v>
      </c>
      <c r="Z37" s="429">
        <f ca="1">Y37*(S37-T37)*(AllProps_CAM/NHHProps_CAM)</f>
        <v>28.006837606837603</v>
      </c>
      <c r="AA37" s="89">
        <f ca="1">INDEX(INDIRECT("CAM_WTPCore2_"&amp;$B37&amp;"_UnitValues"),2,MATCH("MEAN",LMH,0))</f>
        <v>2518.7889835624424</v>
      </c>
      <c r="AB37" s="429">
        <f ca="1">AA37*($S37-$T37)*(AllProps_CAM/NHHProps_CAM)</f>
        <v>289.59518662655807</v>
      </c>
      <c r="AC37" s="16">
        <f ca="1">X37*AA$42/X$41</f>
        <v>168.84624734275877</v>
      </c>
      <c r="AD37" s="243" t="str">
        <f>Q37</f>
        <v>Property affected</v>
      </c>
      <c r="AE37" s="668">
        <f ca="1">(AC37*NHHProps_CAM)/((S37-T37)*AllProps_CAM)</f>
        <v>1468.5605540509973</v>
      </c>
    </row>
    <row r="38" spans="1:31" x14ac:dyDescent="0.35">
      <c r="A38" s="7" t="s">
        <v>131</v>
      </c>
      <c r="B38" s="7" t="s">
        <v>132</v>
      </c>
      <c r="C38" s="7" t="str">
        <f>B38</f>
        <v>TasteSmell</v>
      </c>
      <c r="D38" s="377" t="s">
        <v>127</v>
      </c>
      <c r="E38" s="124">
        <f ca="1">INDEX(INDIRECT("ExtWTP_"&amp;$C38&amp;"_UnitValues"),MATCH(A$36, INDIRECT("ExtWTP_Comps_"&amp;C38),0),MATCH("NHH",ExtWTP_Group,0))</f>
        <v>2796</v>
      </c>
      <c r="F38" s="383">
        <f t="shared" ca="1" si="15"/>
        <v>1.6666666666666666E-2</v>
      </c>
      <c r="G38" s="383">
        <f t="shared" ca="1" si="15"/>
        <v>1.1111111111111112E-2</v>
      </c>
      <c r="H38" s="431">
        <f ca="1">INDEX(INDIRECT("SSW_WTPCore2_"&amp;$B38&amp;"_LevelValues"),2,MATCH("S1 MEAN",WTPCore2_LevelValues,0))</f>
        <v>3.6865032727528453E-3</v>
      </c>
      <c r="I38" s="431">
        <f ca="1">INDEX(INDIRECT("SSW_WTPCore2_"&amp;$B38&amp;"_LevelValues"),2,MATCH("S2 MEAN",WTPCore2_LevelValues,0))</f>
        <v>5.1592292451456759E-6</v>
      </c>
      <c r="J38" s="431">
        <f ca="1">SUM(H38:I38)</f>
        <v>3.691662501997991E-3</v>
      </c>
      <c r="K38" s="213">
        <f ca="1">E38*(F38-G38)</f>
        <v>15.533333333333331</v>
      </c>
      <c r="L38" s="429">
        <f ca="1">INDEX(INDIRECT("SSW_WTPCore_DCE_"&amp;$B38&amp;"_UnitValues"),MATCH("COMBINED-NHH",WTPCore_Group,0),MATCH("MEAN",LMH,0))</f>
        <v>59.451088669301917</v>
      </c>
      <c r="M38" s="429">
        <f ca="1">L38*(F38-G38)*(AllProps_SSW/NHHProps_SSW)</f>
        <v>6.2715708812260536</v>
      </c>
      <c r="N38" s="89">
        <f ca="1">INDEX(INDIRECT("SSW_WTPCore2_"&amp;$B38&amp;"_UnitValues"),2,MATCH("MEAN",LMH,0))</f>
        <v>154.81769077846621</v>
      </c>
      <c r="O38" s="429">
        <f ca="1">N38*($F38-$G38)*(AllProps_SSW/NHHProps_SSW)</f>
        <v>16.331914908839114</v>
      </c>
      <c r="P38" s="16">
        <f t="shared" ref="P38:P40" ca="1" si="17">K38*N$42/K$41</f>
        <v>16.936072239561682</v>
      </c>
      <c r="Q38" s="377" t="s">
        <v>127</v>
      </c>
      <c r="R38" s="391">
        <f ca="1">P38*NHHProps_SSW/((F38-G38)*AllProps_SSW)</f>
        <v>160.54477442612398</v>
      </c>
      <c r="S38" s="383">
        <f t="shared" ca="1" si="16"/>
        <v>1.4285714285714285E-2</v>
      </c>
      <c r="T38" s="383">
        <f t="shared" ca="1" si="16"/>
        <v>0.01</v>
      </c>
      <c r="U38" s="431">
        <f ca="1">INDEX(INDIRECT("CAM_WTPCore2_"&amp;$B38&amp;"_LevelValues"),2,MATCH("S1 MEAN",WTPCore2_LevelValues,0))</f>
        <v>4.257264223936371E-2</v>
      </c>
      <c r="V38" s="431">
        <f ca="1">INDEX(INDIRECT("CAM_WTPCore2_"&amp;$B38&amp;"_LevelValues"),2,MATCH("S2 MEAN",WTPCore2_LevelValues,0))</f>
        <v>1.0971349631991048E-2</v>
      </c>
      <c r="W38" s="431">
        <f t="shared" ref="W38:W40" ca="1" si="18">SUM(U38:V38)</f>
        <v>5.3543991871354758E-2</v>
      </c>
      <c r="X38" s="213">
        <f t="shared" ref="X38:X40" ca="1" si="19">E38*(S38-T38)</f>
        <v>11.98285714285714</v>
      </c>
      <c r="Y38" s="429">
        <f ca="1">INDEX(INDIRECT("CAM_WTPCore_"&amp;$C38&amp;"_UnitValues"),MATCH("COMBINED-NHH",WTPCore_Group,0),MATCH("MEAN",LMH,0))</f>
        <v>152.24552514639311</v>
      </c>
      <c r="Z38" s="429">
        <f ca="1">Y38*(S38-T38)*(AllProps_CAM/NHHProps_CAM)</f>
        <v>10.97142857142857</v>
      </c>
      <c r="AA38" s="89">
        <f ca="1">INDEX(INDIRECT("CAM_WTPCore2_"&amp;$B38&amp;"_UnitValues"),2,MATCH("MEAN",LMH,0))</f>
        <v>3804.1888084146854</v>
      </c>
      <c r="AB38" s="429">
        <f ca="1">AA38*($S38-$T38)*(AllProps_CAM/NHHProps_CAM)</f>
        <v>274.14523838133641</v>
      </c>
      <c r="AC38" s="16">
        <f t="shared" ref="AC38:AC40" ca="1" si="20">X38*AA$42/X$41</f>
        <v>136.36029604772386</v>
      </c>
      <c r="AD38" s="243" t="str">
        <f>Q38</f>
        <v>Property affected</v>
      </c>
      <c r="AE38" s="668">
        <f ca="1">(AC38*NHHProps_CAM)/((S38-T38)*AllProps_CAM)</f>
        <v>1892.2098198740041</v>
      </c>
    </row>
    <row r="39" spans="1:31" x14ac:dyDescent="0.35">
      <c r="A39" s="7" t="s">
        <v>849</v>
      </c>
      <c r="B39" s="7" t="s">
        <v>138</v>
      </c>
      <c r="C39" s="7" t="s">
        <v>1009</v>
      </c>
      <c r="D39" s="377" t="s">
        <v>127</v>
      </c>
      <c r="E39" s="124">
        <f ca="1">INDEX(INDIRECT("ExtWTP_"&amp;$C39&amp;"_UnitValues"),MATCH(A$36, INDIRECT("ExtWTP_Comps_"&amp;C39),0),MATCH("NHH",ExtWTP_Group,0))</f>
        <v>466</v>
      </c>
      <c r="F39" s="383">
        <f t="shared" ca="1" si="15"/>
        <v>1.2500000000000001E-2</v>
      </c>
      <c r="G39" s="383">
        <f t="shared" ca="1" si="15"/>
        <v>8.3333333333333332E-3</v>
      </c>
      <c r="H39" s="431">
        <f ca="1">INDEX(INDIRECT("SSW_WTPCore2_"&amp;$B39&amp;"_LevelValues"),2,MATCH("S1 MEAN",WTPCore2_LevelValues,0))</f>
        <v>2.3562800507588295E-4</v>
      </c>
      <c r="I39" s="431">
        <f ca="1">INDEX(INDIRECT("SSW_WTPCore2_"&amp;$B39&amp;"_LevelValues"),2,MATCH("S2 MEAN",WTPCore2_LevelValues,0))</f>
        <v>4.1117889914467278E-4</v>
      </c>
      <c r="J39" s="431">
        <f ca="1">SUM(H39:I39)</f>
        <v>6.4680690422055573E-4</v>
      </c>
      <c r="K39" s="213">
        <f ca="1">E39*(F39-G39)</f>
        <v>1.9416666666666671</v>
      </c>
      <c r="L39" s="429">
        <f ca="1">INDEX(INDIRECT("SSW_WTPCore_DCE_"&amp;$B39&amp;"_UnitValues"),MATCH("COMBINED-NHH",WTPCore_Group,0),MATCH("MEAN",LMH,0))</f>
        <v>260.23872775996313</v>
      </c>
      <c r="M39" s="429">
        <f ca="1">L39*(F39-G39)*(AllProps_SSW/NHHProps_SSW)</f>
        <v>20.589685534591201</v>
      </c>
      <c r="N39" s="89">
        <f ca="1">INDEX(INDIRECT("SSW_WTPCore2_"&amp;$B39&amp;"_UnitValues"),2,MATCH("MEAN",LMH,0))</f>
        <v>36.166957745748803</v>
      </c>
      <c r="O39" s="429">
        <f ca="1">N39*($F39-$G39)*(AllProps_SSW/NHHProps_SSW)</f>
        <v>2.8614737442717386</v>
      </c>
      <c r="P39" s="16">
        <f t="shared" ca="1" si="17"/>
        <v>2.1170090299452107</v>
      </c>
      <c r="Q39" s="377" t="s">
        <v>127</v>
      </c>
      <c r="R39" s="391">
        <f ca="1">P39*NHHProps_SSW/((F39-G39)*AllProps_SSW)</f>
        <v>26.757462404353994</v>
      </c>
      <c r="S39" s="383">
        <f t="shared" ca="1" si="16"/>
        <v>2.5000000000000001E-2</v>
      </c>
      <c r="T39" s="383">
        <f t="shared" ca="1" si="16"/>
        <v>1.6666666666666666E-2</v>
      </c>
      <c r="U39" s="431">
        <f ca="1">INDEX(INDIRECT("CAM_WTPCore2_"&amp;$B39&amp;"_LevelValues"),2,MATCH("S1 MEAN",WTPCore2_LevelValues,0))</f>
        <v>2.654718763279678E-4</v>
      </c>
      <c r="V39" s="431">
        <f ca="1">INDEX(INDIRECT("CAM_WTPCore2_"&amp;$B39&amp;"_LevelValues"),2,MATCH("S2 MEAN",WTPCore2_LevelValues,0))</f>
        <v>1.3401602008677625E-5</v>
      </c>
      <c r="W39" s="431">
        <f t="shared" ca="1" si="18"/>
        <v>2.7887347833664542E-4</v>
      </c>
      <c r="X39" s="213">
        <f t="shared" ca="1" si="19"/>
        <v>3.8833333333333342</v>
      </c>
      <c r="Y39" s="429">
        <f ca="1">INDEX(INDIRECT("CAM_WTPCore_"&amp;$B39&amp;"_UnitValues"),MATCH("COMBINED-NHH",WTPCore_Group,0),MATCH("MEAN",LMH,0))</f>
        <v>76.122762573196539</v>
      </c>
      <c r="Z39" s="429">
        <f ca="1">Y39*(S39-T39)*(AllProps_CAM/NHHProps_CAM)</f>
        <v>10.666666666666668</v>
      </c>
      <c r="AA39" s="89">
        <f ca="1">INDEX(INDIRECT("CAM_WTPCore2_"&amp;$B39&amp;"_UnitValues"),2,MATCH("MEAN",LMH,0))</f>
        <v>10.189737398103325</v>
      </c>
      <c r="AB39" s="429">
        <f ca="1">AA39*($S39-$T39)*(AllProps_CAM/NHHProps_CAM)</f>
        <v>1.4278322090836246</v>
      </c>
      <c r="AC39" s="16">
        <f t="shared" ca="1" si="20"/>
        <v>44.190836682132762</v>
      </c>
      <c r="AD39" s="243" t="str">
        <f>Q39</f>
        <v>Property affected</v>
      </c>
      <c r="AE39" s="668">
        <f ca="1">(AC39*NHHProps_CAM)/((S39-T39)*AllProps_CAM)</f>
        <v>315.36830331233409</v>
      </c>
    </row>
    <row r="40" spans="1:31" x14ac:dyDescent="0.35">
      <c r="A40" s="7" t="s">
        <v>1010</v>
      </c>
      <c r="B40" s="7" t="s">
        <v>144</v>
      </c>
      <c r="C40" s="7" t="str">
        <f>B40</f>
        <v>TempBan</v>
      </c>
      <c r="D40" s="377" t="s">
        <v>127</v>
      </c>
      <c r="E40" s="124">
        <f ca="1">INDEX(INDIRECT("ExtWTP_"&amp;$C40&amp;"_UnitValues"),MATCH(A$36, INDIRECT("ExtWTP_Comps_"&amp;C40),0),MATCH("NHH",ExtWTP_Group,0))</f>
        <v>16</v>
      </c>
      <c r="F40" s="383">
        <f t="shared" ca="1" si="15"/>
        <v>2.5000000000000001E-2</v>
      </c>
      <c r="G40" s="383">
        <f t="shared" ca="1" si="15"/>
        <v>1.6666666666666666E-2</v>
      </c>
      <c r="H40" s="431">
        <f ca="1">INDEX(INDIRECT("SSW_WTPCore2_"&amp;$B40&amp;"_LevelValues"),2,MATCH("S1 MEAN",WTPCore2_LevelValues,0))</f>
        <v>1.0363458862342743E-3</v>
      </c>
      <c r="I40" s="431">
        <f ca="1">INDEX(INDIRECT("SSW_WTPCore2_"&amp;$B40&amp;"_LevelValues"),2,MATCH("S2 MEAN",WTPCore2_LevelValues,0))</f>
        <v>6.2724159084084235E-4</v>
      </c>
      <c r="J40" s="431">
        <f ca="1">SUM(H40:I40)</f>
        <v>1.6635874770751166E-3</v>
      </c>
      <c r="K40" s="213">
        <f ca="1">E40*(F40-G40)</f>
        <v>0.13333333333333336</v>
      </c>
      <c r="L40" s="605">
        <f ca="1">INDEX(INDIRECT("SSW_WTPCore_DCE_"&amp;$C40&amp;"_UnitValues"),MATCH("COMBINED-NHH",WTPCore_Group,0),MATCH("MEAN",LMH,0))</f>
        <v>159200.29439999998</v>
      </c>
      <c r="M40" s="429">
        <f ca="1">L40*(F40-G40)/NHHProps_SSW*100</f>
        <v>4.4240000000000004</v>
      </c>
      <c r="N40" s="245">
        <f ca="1">INDEX(INDIRECT("SSW_WTPCore2_"&amp;$C40&amp;"_UnitValues"),2,MATCH("MEAN",LMH,0))</f>
        <v>264843.61611051176</v>
      </c>
      <c r="O40" s="429">
        <f ca="1">N40*(F40-G40)/NHHProps_SSW*100</f>
        <v>7.3597109985803169</v>
      </c>
      <c r="P40" s="16">
        <f t="shared" ca="1" si="17"/>
        <v>0.14537401064001446</v>
      </c>
      <c r="Q40" s="477" t="s">
        <v>145</v>
      </c>
      <c r="R40" s="391">
        <f ca="1">P40*NHHProps_SSW/((F40-G40)*100)</f>
        <v>5231.3709972873039</v>
      </c>
      <c r="S40" s="383">
        <f t="shared" ca="1" si="16"/>
        <v>0.02</v>
      </c>
      <c r="T40" s="383">
        <f t="shared" ca="1" si="16"/>
        <v>1.3333333333333334E-2</v>
      </c>
      <c r="U40" s="431">
        <f ca="1">INDEX(INDIRECT("CAM_WTPCore2_"&amp;$B40&amp;"_LevelValues"),2,MATCH("S1 MEAN",WTPCore2_LevelValues,0))</f>
        <v>1.3694025744847137E-3</v>
      </c>
      <c r="V40" s="431">
        <f ca="1">INDEX(INDIRECT("CAM_WTPCore2_"&amp;$B40&amp;"_LevelValues"),2,MATCH("S2 MEAN",WTPCore2_LevelValues,0))</f>
        <v>1.1073984405910726E-3</v>
      </c>
      <c r="W40" s="431">
        <f t="shared" ca="1" si="18"/>
        <v>2.4768010150757864E-3</v>
      </c>
      <c r="X40" s="213">
        <f t="shared" ca="1" si="19"/>
        <v>0.10666666666666666</v>
      </c>
      <c r="Y40" s="429">
        <f ca="1">INDEX(INDIRECT("CAM_WTPCore_"&amp;$C40&amp;"_UnitValues"),MATCH("COMBINED-NHH",WTPCore_Group,0),MATCH("MEAN",LMH,0))</f>
        <v>950206.4639999998</v>
      </c>
      <c r="Z40" s="429">
        <f ca="1">Y40*(S40-T40)/NHHProps_CAM*100</f>
        <v>73.727999999999966</v>
      </c>
      <c r="AA40" s="89">
        <f ca="1">INDEX(INDIRECT("CAM_WTPCore2_"&amp;$B40&amp;"_UnitValues"),2,MATCH("MEAN",LMH,0))</f>
        <v>163435.57878935931</v>
      </c>
      <c r="AB40" s="429">
        <f ca="1">AA40*(S40-T40)/NHHProps_CAM*100</f>
        <v>12.681221197188025</v>
      </c>
      <c r="AC40" s="16">
        <f t="shared" ca="1" si="20"/>
        <v>1.2138255569341183</v>
      </c>
      <c r="AD40" s="243" t="str">
        <f>Q40</f>
        <v>1% change in risk</v>
      </c>
      <c r="AE40" s="668">
        <f ca="1">(AC40*NHHProps_CAM)/((S40-T40)*100)</f>
        <v>15643.783777766916</v>
      </c>
    </row>
    <row r="41" spans="1:31" x14ac:dyDescent="0.35">
      <c r="D41" s="377"/>
      <c r="E41" s="124"/>
      <c r="F41" s="16"/>
      <c r="G41" s="16"/>
      <c r="H41" s="16"/>
      <c r="I41" s="16"/>
      <c r="J41" s="330">
        <f ca="1">SUM(J37:J40)*AvgNHHBill_SSW</f>
        <v>114.48158273633092</v>
      </c>
      <c r="K41" s="331">
        <f ca="1">SUM(K37:K40)</f>
        <v>75.474999999999994</v>
      </c>
      <c r="L41" s="331"/>
      <c r="M41" s="331">
        <f ca="1">SUM(M37:M40)</f>
        <v>50.099969059495415</v>
      </c>
      <c r="N41" s="331"/>
      <c r="O41" s="331">
        <f ca="1">SUM(O37:O40)</f>
        <v>114.48158273633092</v>
      </c>
      <c r="P41" s="330">
        <f ca="1">SUM(P37:P40)</f>
        <v>82.29077589791315</v>
      </c>
      <c r="Q41" s="31"/>
      <c r="R41" s="466"/>
      <c r="S41" s="16"/>
      <c r="T41" s="16"/>
      <c r="U41" s="16"/>
      <c r="V41" s="16"/>
      <c r="W41" s="610">
        <f ca="1">SUM(W37:W40)*AvgNHHBill_CAM</f>
        <v>577.84947841416613</v>
      </c>
      <c r="X41" s="331">
        <f ca="1">SUM(X37:X40)</f>
        <v>30.810463980463975</v>
      </c>
      <c r="Y41" s="331"/>
      <c r="Z41" s="331">
        <f ca="1">SUM(Z37:Z40)</f>
        <v>123.37293284493281</v>
      </c>
      <c r="AA41" s="331"/>
      <c r="AB41" s="331">
        <f ca="1">SUM(AB37:AB40)</f>
        <v>577.84947841416613</v>
      </c>
      <c r="AC41" s="330">
        <f ca="1">SUM(AC37:AC40)</f>
        <v>350.61120562954954</v>
      </c>
      <c r="AE41" s="668"/>
    </row>
    <row r="42" spans="1:31" x14ac:dyDescent="0.35">
      <c r="A42" s="50"/>
      <c r="B42" s="50"/>
      <c r="C42" s="50"/>
      <c r="D42" s="379"/>
      <c r="E42" s="14"/>
      <c r="F42" s="384"/>
      <c r="G42" s="384"/>
      <c r="H42" s="384"/>
      <c r="I42" s="384"/>
      <c r="J42" s="384"/>
      <c r="K42" s="25"/>
      <c r="L42" s="25"/>
      <c r="M42" s="39" t="s">
        <v>361</v>
      </c>
      <c r="N42" s="546">
        <f ca="1">AVERAGE(M41,O41)</f>
        <v>82.290775897913164</v>
      </c>
      <c r="O42" s="39"/>
      <c r="P42" s="11"/>
      <c r="Q42" s="50"/>
      <c r="R42" s="467"/>
      <c r="S42" s="384"/>
      <c r="T42" s="384"/>
      <c r="U42" s="384"/>
      <c r="V42" s="384"/>
      <c r="W42" s="384"/>
      <c r="X42" s="25"/>
      <c r="Y42" s="25"/>
      <c r="Z42" s="39" t="s">
        <v>361</v>
      </c>
      <c r="AA42" s="546">
        <f ca="1">AVERAGE(Z41,AB41)</f>
        <v>350.61120562954949</v>
      </c>
      <c r="AB42" s="39"/>
      <c r="AC42" s="11"/>
      <c r="AD42" s="50"/>
      <c r="AE42" s="669"/>
    </row>
    <row r="43" spans="1:31" x14ac:dyDescent="0.35">
      <c r="A43" s="51" t="s">
        <v>96</v>
      </c>
      <c r="B43" s="51"/>
      <c r="D43" s="378"/>
      <c r="E43" s="218"/>
      <c r="F43" s="218"/>
      <c r="G43" s="218"/>
      <c r="H43" s="330"/>
      <c r="I43" s="330"/>
      <c r="J43" s="330"/>
      <c r="K43" s="389"/>
      <c r="L43" s="389"/>
      <c r="M43" s="389"/>
      <c r="N43" s="389"/>
      <c r="O43" s="389"/>
      <c r="P43" s="45"/>
      <c r="Q43" s="193"/>
      <c r="R43" s="468"/>
      <c r="S43" s="218"/>
      <c r="T43" s="218"/>
      <c r="U43" s="330"/>
      <c r="V43" s="330"/>
      <c r="W43" s="330"/>
      <c r="X43" s="389"/>
      <c r="Y43" s="389"/>
      <c r="Z43" s="389"/>
      <c r="AA43" s="389"/>
      <c r="AB43" s="389"/>
      <c r="AC43" s="45"/>
      <c r="AE43" s="670"/>
    </row>
    <row r="44" spans="1:31" x14ac:dyDescent="0.35">
      <c r="A44" s="7" t="s">
        <v>855</v>
      </c>
      <c r="B44" s="7" t="s">
        <v>138</v>
      </c>
      <c r="C44" s="7" t="s">
        <v>1008</v>
      </c>
      <c r="D44" s="377" t="s">
        <v>127</v>
      </c>
      <c r="E44" s="124">
        <f ca="1">INDEX(INDIRECT("ExtWTP_"&amp;$C44&amp;"_UnitValues"),MATCH(A$43, INDIRECT("ExtWTP_Comps_"&amp;C44),0),MATCH("NHH",ExtWTP_Group,0))</f>
        <v>149</v>
      </c>
      <c r="F44" s="383">
        <f ca="1">INDEX(INDIRECT("SSW_WTPCore2_"&amp;$B44&amp;"_Levels"),2,MATCH(F$4,WTPCore2_AttLevels,0))</f>
        <v>1.2500000000000001E-2</v>
      </c>
      <c r="G44" s="383">
        <f ca="1">INDEX(INDIRECT("SSW_WTPCore2_"&amp;$B44&amp;"_Levels"),2,MATCH(G$4,WTPCore2_AttLevels,0))</f>
        <v>8.3333333333333332E-3</v>
      </c>
      <c r="H44" s="431">
        <f ca="1">INDEX(INDIRECT("SSW_WTPCore2_"&amp;$B44&amp;"_LevelValues"),2,MATCH("S1 MEAN",WTPCore2_LevelValues,0))</f>
        <v>2.3562800507588295E-4</v>
      </c>
      <c r="I44" s="431">
        <f ca="1">INDEX(INDIRECT("SSW_WTPCore2_"&amp;$B44&amp;"_LevelValues"),2,MATCH("S2 MEAN",WTPCore2_LevelValues,0))</f>
        <v>4.1117889914467278E-4</v>
      </c>
      <c r="J44" s="431">
        <f ca="1">SUM(H44:I44)</f>
        <v>6.4680690422055573E-4</v>
      </c>
      <c r="K44" s="213">
        <f ca="1">E44*(F44-G44)</f>
        <v>0.62083333333333346</v>
      </c>
      <c r="L44" s="429">
        <f ca="1">INDEX(INDIRECT("SSW_WTPCore_DCE_"&amp;$B44&amp;"_UnitValues"),MATCH("COMBINED-NHH",WTPCore_Group,0),MATCH("MEAN",LMH,0))</f>
        <v>260.23872775996313</v>
      </c>
      <c r="M44" s="429">
        <f ca="1">L44*($F44-$G44)*(AllProps_SSW/NHHProps_SSW)</f>
        <v>20.589685534591201</v>
      </c>
      <c r="N44" s="89">
        <f ca="1">INDEX(INDIRECT("SSW_WTPCore2_"&amp;$B44&amp;"_UnitValues"),2,MATCH("MEAN",LMH,0))</f>
        <v>36.166957745748803</v>
      </c>
      <c r="O44" s="429">
        <f ca="1">N44*($F44-$G44)*(AllProps_SSW/NHHProps_SSW)</f>
        <v>2.8614737442717386</v>
      </c>
      <c r="P44" s="16">
        <f ca="1">K44*N$47/K$46</f>
        <v>11.563867117486883</v>
      </c>
      <c r="Q44" s="377" t="s">
        <v>127</v>
      </c>
      <c r="R44" s="391">
        <f ca="1">P44*NHHProps_SSW/((F44-G44)*AllProps_SSW)</f>
        <v>146.15891348045341</v>
      </c>
      <c r="S44" s="383">
        <f ca="1">INDEX(INDIRECT("CAM_WTPCore2_"&amp;$B44&amp;"_Levels"),2,MATCH(S$4,WTPCore2_AttLevels,0))</f>
        <v>2.5000000000000001E-2</v>
      </c>
      <c r="T44" s="383">
        <f ca="1">INDEX(INDIRECT("CAM_WTPCore2_"&amp;$B44&amp;"_Levels"),2,MATCH(T$4,WTPCore2_AttLevels,0))</f>
        <v>1.6666666666666666E-2</v>
      </c>
      <c r="U44" s="431">
        <f ca="1">INDEX(INDIRECT("CAM_WTPCore2_"&amp;$B44&amp;"_LevelValues"),2,MATCH("S1 MEAN",WTPCore2_LevelValues,0))</f>
        <v>2.654718763279678E-4</v>
      </c>
      <c r="V44" s="431">
        <f ca="1">INDEX(INDIRECT("CAM_WTPCore2_"&amp;$B44&amp;"_LevelValues"),2,MATCH("S2 MEAN",WTPCore2_LevelValues,0))</f>
        <v>1.3401602008677625E-5</v>
      </c>
      <c r="W44" s="431">
        <f ca="1">SUM(U44:V44)</f>
        <v>2.7887347833664542E-4</v>
      </c>
      <c r="X44" s="213">
        <f ca="1">E44*(S44-T44)</f>
        <v>1.2416666666666669</v>
      </c>
      <c r="Y44" s="429">
        <f ca="1">INDEX(INDIRECT("CAM_WTPCore_"&amp;$B44&amp;"_UnitValues"),MATCH("COMBINED-NHH",WTPCore_Group,0),MATCH("MEAN",LMH,0))</f>
        <v>76.122762573196539</v>
      </c>
      <c r="Z44" s="429">
        <f ca="1">Y44*(S44-T44)*(AllProps_CAM/NHHProps_CAM)</f>
        <v>10.666666666666668</v>
      </c>
      <c r="AA44" s="89">
        <f ca="1">INDEX(INDIRECT("CAM_WTPCore2_"&amp;$B44&amp;"_UnitValues"),2,MATCH("MEAN",LMH,0))</f>
        <v>10.189737398103325</v>
      </c>
      <c r="AB44" s="429">
        <f ca="1">AA44*($S44-$T44)*(AllProps_CAM/NHHProps_CAM)</f>
        <v>1.4278322090836246</v>
      </c>
      <c r="AC44" s="16">
        <f ca="1">X44*AA$47/X$46</f>
        <v>40.724345979100455</v>
      </c>
      <c r="AD44" s="243" t="str">
        <f>Q44</f>
        <v>Property affected</v>
      </c>
      <c r="AE44" s="668">
        <f ca="1">(AC44*NHHProps_CAM)/((S44-T44)*AllProps_CAM)</f>
        <v>290.62966124210396</v>
      </c>
    </row>
    <row r="45" spans="1:31" x14ac:dyDescent="0.35">
      <c r="A45" s="7" t="s">
        <v>1010</v>
      </c>
      <c r="B45" s="7" t="s">
        <v>144</v>
      </c>
      <c r="C45" s="7" t="str">
        <f>B45</f>
        <v>TempBan</v>
      </c>
      <c r="D45" s="377" t="s">
        <v>127</v>
      </c>
      <c r="E45" s="124">
        <f ca="1">INDEX(INDIRECT("ExtWTP_"&amp;$C45&amp;"_UnitValues"),MATCH(A$43, INDIRECT("ExtWTP_Comps_"&amp;C45),0),MATCH("NHH",ExtWTP_Group,0))</f>
        <v>39</v>
      </c>
      <c r="F45" s="383">
        <f ca="1">INDEX(INDIRECT("SSW_WTPCore2_"&amp;$B45&amp;"_Levels"),2,MATCH(F$4,WTPCore2_AttLevels,0))</f>
        <v>2.5000000000000001E-2</v>
      </c>
      <c r="G45" s="383">
        <f ca="1">INDEX(INDIRECT("SSW_WTPCore2_"&amp;$B45&amp;"_Levels"),2,MATCH(G$4,WTPCore2_AttLevels,0))</f>
        <v>1.6666666666666666E-2</v>
      </c>
      <c r="H45" s="431">
        <f ca="1">INDEX(INDIRECT("SSW_WTPCore2_"&amp;$B45&amp;"_LevelValues"),2,MATCH("S1 MEAN",WTPCore2_LevelValues,0))</f>
        <v>1.0363458862342743E-3</v>
      </c>
      <c r="I45" s="431">
        <f ca="1">INDEX(INDIRECT("SSW_WTPCore2_"&amp;$B45&amp;"_LevelValues"),2,MATCH("S2 MEAN",WTPCore2_LevelValues,0))</f>
        <v>6.2724159084084235E-4</v>
      </c>
      <c r="J45" s="431">
        <f ca="1">SUM(H45:I45)</f>
        <v>1.6635874770751166E-3</v>
      </c>
      <c r="K45" s="213">
        <f ca="1">E45*(F45-G45)</f>
        <v>0.32500000000000007</v>
      </c>
      <c r="L45" s="605">
        <f ca="1">INDEX(INDIRECT("SSW_WTPCore_DCE_"&amp;$C45&amp;"_UnitValues"),MATCH("COMBINED-NHH",WTPCore_Group,0),MATCH("MEAN",LMH,0))</f>
        <v>159200.29439999998</v>
      </c>
      <c r="M45" s="429">
        <f ca="1">L45*(F45-G45)/NHHProps_SSW*100</f>
        <v>4.4240000000000004</v>
      </c>
      <c r="N45" s="245">
        <f ca="1">INDEX(INDIRECT("SSW_WTPCore2_"&amp;$C45&amp;"_UnitValues"),2,MATCH("MEAN",LMH,0))</f>
        <v>264843.61611051176</v>
      </c>
      <c r="O45" s="429">
        <f ca="1">N45*(F45-G45)/NHHProps_SSW*100</f>
        <v>7.3597109985803169</v>
      </c>
      <c r="P45" s="16">
        <f ca="1">K45*N$47/K$46</f>
        <v>6.053568021234744</v>
      </c>
      <c r="Q45" s="477" t="s">
        <v>145</v>
      </c>
      <c r="R45" s="391">
        <f ca="1">P45*NHHProps_SSW/((F45-G45)*100)</f>
        <v>217841.27738494496</v>
      </c>
      <c r="S45" s="612">
        <f ca="1">INDEX(INDIRECT("CAM_WTPCore2_"&amp;$B45&amp;"_Levels"),2,MATCH(S$4,WTPCore2_AttLevels,0))</f>
        <v>0.02</v>
      </c>
      <c r="T45" s="612">
        <f ca="1">INDEX(INDIRECT("CAM_WTPCore2_"&amp;$B45&amp;"_Levels"),2,MATCH(T$4,WTPCore2_AttLevels,0))</f>
        <v>1.3333333333333334E-2</v>
      </c>
      <c r="U45" s="323">
        <f ca="1">INDEX(INDIRECT("CAM_WTPCore2_"&amp;$B45&amp;"_LevelValues"),2,MATCH("S1 MEAN",WTPCore2_LevelValues,0))</f>
        <v>1.3694025744847137E-3</v>
      </c>
      <c r="V45" s="323">
        <f ca="1">INDEX(INDIRECT("CAM_WTPCore2_"&amp;$B45&amp;"_LevelValues"),2,MATCH("S2 MEAN",WTPCore2_LevelValues,0))</f>
        <v>1.1073984405910726E-3</v>
      </c>
      <c r="W45" s="323">
        <f t="shared" ref="W45" ca="1" si="21">SUM(U45:V45)</f>
        <v>2.4768010150757864E-3</v>
      </c>
      <c r="X45" s="231">
        <f ca="1">E45*(S45-T45)</f>
        <v>0.26</v>
      </c>
      <c r="Y45" s="89">
        <f ca="1">INDEX(INDIRECT("CAM_WTPCore_"&amp;$C45&amp;"_UnitValues"),MATCH("COMBINED-NHH",WTPCore_Group,0),MATCH("MEAN",LMH,0))</f>
        <v>950206.4639999998</v>
      </c>
      <c r="Z45" s="89">
        <f ca="1">Y45*(S45-T45)/NHHProps_CAM*100</f>
        <v>73.727999999999966</v>
      </c>
      <c r="AA45" s="89">
        <f ca="1">INDEX(INDIRECT("CAM_WTPCore2_"&amp;$B45&amp;"_UnitValues"),2,MATCH("MEAN",LMH,0))</f>
        <v>163435.57878935931</v>
      </c>
      <c r="AB45" s="89">
        <f ca="1">AA45*(S45-T45)/NHHProps_CAM*100</f>
        <v>12.681221197188025</v>
      </c>
      <c r="AC45" s="324">
        <f ca="1">X45*AA$47/X$46</f>
        <v>8.5275140573686841</v>
      </c>
      <c r="AD45" s="243" t="str">
        <f>Q45</f>
        <v>1% change in risk</v>
      </c>
      <c r="AE45" s="668">
        <f ca="1">(AC45*NHHProps_CAM)/((S45-T45)*100)</f>
        <v>109902.6011713676</v>
      </c>
    </row>
    <row r="46" spans="1:31" x14ac:dyDescent="0.35">
      <c r="D46" s="377"/>
      <c r="E46" s="124"/>
      <c r="F46" s="16"/>
      <c r="G46" s="16"/>
      <c r="H46" s="16"/>
      <c r="I46" s="16"/>
      <c r="J46" s="330">
        <f ca="1">SUM(J44:J45)*AvgNHHBill_SSW</f>
        <v>10.221184742852055</v>
      </c>
      <c r="K46" s="331">
        <f ca="1">SUM(K44:K45)</f>
        <v>0.94583333333333353</v>
      </c>
      <c r="L46" s="331"/>
      <c r="M46" s="331">
        <f ca="1">SUM(M44:M45)</f>
        <v>25.0136855345912</v>
      </c>
      <c r="N46" s="331"/>
      <c r="O46" s="331">
        <f ca="1">SUM(O44:O45)</f>
        <v>10.221184742852056</v>
      </c>
      <c r="P46" s="330">
        <f ca="1">SUM(P44:P45)</f>
        <v>17.617435138721625</v>
      </c>
      <c r="Q46" s="201"/>
      <c r="R46" s="466"/>
      <c r="S46" s="324"/>
      <c r="T46" s="324"/>
      <c r="U46" s="324"/>
      <c r="V46" s="324"/>
      <c r="W46" s="330">
        <f ca="1">SUM(W44:W45)*AvgNHHBill_CAM</f>
        <v>14.10905340627165</v>
      </c>
      <c r="X46" s="331">
        <f ca="1">SUM(X44:X45)</f>
        <v>1.5016666666666669</v>
      </c>
      <c r="Y46" s="331"/>
      <c r="Z46" s="331">
        <f ca="1">SUM(Z44:Z45)</f>
        <v>84.394666666666637</v>
      </c>
      <c r="AA46" s="331"/>
      <c r="AB46" s="223">
        <f ca="1">SUM(AB44:AB45)</f>
        <v>14.109053406271649</v>
      </c>
      <c r="AC46" s="330">
        <f ca="1">SUM(AC44:AC45)</f>
        <v>49.251860036469139</v>
      </c>
      <c r="AE46" s="668"/>
    </row>
    <row r="47" spans="1:31" x14ac:dyDescent="0.35">
      <c r="A47" s="50"/>
      <c r="B47" s="50"/>
      <c r="C47" s="50"/>
      <c r="D47" s="379"/>
      <c r="E47" s="14"/>
      <c r="F47" s="384"/>
      <c r="G47" s="384"/>
      <c r="H47" s="384"/>
      <c r="I47" s="384"/>
      <c r="J47" s="384"/>
      <c r="K47" s="25"/>
      <c r="L47" s="25"/>
      <c r="M47" s="39" t="s">
        <v>361</v>
      </c>
      <c r="N47" s="546">
        <f ca="1">AVERAGE(M46,O46)</f>
        <v>17.617435138721628</v>
      </c>
      <c r="O47" s="39"/>
      <c r="P47" s="11"/>
      <c r="Q47" s="50"/>
      <c r="R47" s="467"/>
      <c r="S47" s="409"/>
      <c r="T47" s="409"/>
      <c r="U47" s="409"/>
      <c r="V47" s="409"/>
      <c r="W47" s="409"/>
      <c r="X47" s="613"/>
      <c r="Y47" s="613"/>
      <c r="Z47" s="163" t="s">
        <v>361</v>
      </c>
      <c r="AA47" s="546">
        <f ca="1">AVERAGE(Z46,AB46)</f>
        <v>49.251860036469139</v>
      </c>
      <c r="AB47" s="163"/>
      <c r="AC47" s="134"/>
      <c r="AD47" s="50"/>
      <c r="AE47" s="669"/>
    </row>
    <row r="48" spans="1:31" x14ac:dyDescent="0.35">
      <c r="A48" s="51" t="s">
        <v>97</v>
      </c>
      <c r="B48" s="51"/>
      <c r="D48" s="378"/>
      <c r="E48" s="218"/>
      <c r="F48" s="218"/>
      <c r="G48" s="218"/>
      <c r="H48" s="330"/>
      <c r="I48" s="330"/>
      <c r="J48" s="330"/>
      <c r="K48" s="389"/>
      <c r="L48" s="389"/>
      <c r="M48" s="389"/>
      <c r="N48" s="389"/>
      <c r="O48" s="389"/>
      <c r="P48" s="45"/>
      <c r="Q48" s="193"/>
      <c r="R48" s="468"/>
      <c r="S48" s="218"/>
      <c r="T48" s="218"/>
      <c r="U48" s="330"/>
      <c r="V48" s="330"/>
      <c r="W48" s="330"/>
      <c r="X48" s="389"/>
      <c r="Y48" s="389"/>
      <c r="Z48" s="389"/>
      <c r="AA48" s="389"/>
      <c r="AB48" s="389"/>
      <c r="AC48" s="45"/>
      <c r="AE48" s="670"/>
    </row>
    <row r="49" spans="1:31" x14ac:dyDescent="0.35">
      <c r="A49" s="7" t="s">
        <v>855</v>
      </c>
      <c r="B49" s="7" t="s">
        <v>138</v>
      </c>
      <c r="C49" s="7" t="s">
        <v>1008</v>
      </c>
      <c r="D49" s="377" t="s">
        <v>127</v>
      </c>
      <c r="E49" s="124">
        <f ca="1">INDEX(INDIRECT("ExtWTP_"&amp;$C49&amp;"_UnitValues"),MATCH(A$48, INDIRECT("ExtWTP_Comps_"&amp;C49),0),MATCH("NHH",ExtWTP_Group,0))</f>
        <v>339</v>
      </c>
      <c r="F49" s="383">
        <f ca="1">INDEX(INDIRECT("SSW_WTPCore2_"&amp;$B49&amp;"_Levels"),2,MATCH(F$4,WTPCore2_AttLevels,0))</f>
        <v>1.2500000000000001E-2</v>
      </c>
      <c r="G49" s="383">
        <f ca="1">INDEX(INDIRECT("SSW_WTPCore2_"&amp;$B49&amp;"_Levels"),2,MATCH(G$4,WTPCore2_AttLevels,0))</f>
        <v>8.3333333333333332E-3</v>
      </c>
      <c r="H49" s="431">
        <f ca="1">INDEX(INDIRECT("SSW_WTPCore2_"&amp;$B49&amp;"_LevelValues"),2,MATCH("S1 MEAN",WTPCore2_LevelValues,0))</f>
        <v>2.3562800507588295E-4</v>
      </c>
      <c r="I49" s="431">
        <f ca="1">INDEX(INDIRECT("SSW_WTPCore2_"&amp;$B49&amp;"_LevelValues"),2,MATCH("S2 MEAN",WTPCore2_LevelValues,0))</f>
        <v>4.1117889914467278E-4</v>
      </c>
      <c r="J49" s="431">
        <f ca="1">SUM(H49:I49)</f>
        <v>6.4680690422055573E-4</v>
      </c>
      <c r="K49" s="213">
        <f ca="1">E49*(F49-G49)</f>
        <v>1.4125000000000003</v>
      </c>
      <c r="L49" s="429">
        <f ca="1">INDEX(INDIRECT("SSW_WTPCore_DCE_"&amp;$B49&amp;"_UnitValues"),MATCH("COMBINED-NHH",WTPCore_Group,0),MATCH("MEAN",LMH,0))</f>
        <v>260.23872775996313</v>
      </c>
      <c r="M49" s="429">
        <f ca="1">L49*($F49-$G49)*(AllProps_SSW/NHHProps_SSW)</f>
        <v>20.589685534591201</v>
      </c>
      <c r="N49" s="89">
        <f ca="1">INDEX(INDIRECT("SSW_WTPCore2_"&amp;$B49&amp;"_UnitValues"),2,MATCH("MEAN",LMH,0))</f>
        <v>36.166957745748803</v>
      </c>
      <c r="O49" s="429">
        <f ca="1">N49*($F49-$G49)*(AllProps_SSW/NHHProps_SSW)</f>
        <v>2.8614737442717386</v>
      </c>
      <c r="P49" s="16">
        <f ca="1">K49*N$52/K$51</f>
        <v>5.7489724973542176</v>
      </c>
      <c r="Q49" s="377" t="s">
        <v>127</v>
      </c>
      <c r="R49" s="391">
        <f ca="1">P49*NHHProps_SSW/((F49-G49)*AllProps_SSW)</f>
        <v>72.662852772811135</v>
      </c>
      <c r="S49" s="383">
        <f ca="1">INDEX(INDIRECT("CAM_WTPCore2_"&amp;$B49&amp;"_Levels"),2,MATCH(S$4,WTPCore2_AttLevels,0))</f>
        <v>2.5000000000000001E-2</v>
      </c>
      <c r="T49" s="383">
        <f ca="1">INDEX(INDIRECT("CAM_WTPCore2_"&amp;$B49&amp;"_Levels"),2,MATCH(T$4,WTPCore2_AttLevels,0))</f>
        <v>1.6666666666666666E-2</v>
      </c>
      <c r="U49" s="431">
        <f ca="1">INDEX(INDIRECT("CAM_WTPCore2_"&amp;$B49&amp;"_LevelValues"),2,MATCH("S1 MEAN",WTPCore2_LevelValues,0))</f>
        <v>2.654718763279678E-4</v>
      </c>
      <c r="V49" s="431">
        <f ca="1">INDEX(INDIRECT("CAM_WTPCore2_"&amp;$B49&amp;"_LevelValues"),2,MATCH("S2 MEAN",WTPCore2_LevelValues,0))</f>
        <v>1.3401602008677625E-5</v>
      </c>
      <c r="W49" s="431">
        <f ca="1">SUM(U49:V49)</f>
        <v>2.7887347833664542E-4</v>
      </c>
      <c r="X49" s="213">
        <f ca="1">E49*(S49-T49)</f>
        <v>2.8250000000000006</v>
      </c>
      <c r="Y49" s="429">
        <f ca="1">INDEX(INDIRECT("CAM_WTPCore_"&amp;$B49&amp;"_UnitValues"),MATCH("COMBINED-NHH",WTPCore_Group,0),MATCH("MEAN",LMH,0))</f>
        <v>76.122762573196539</v>
      </c>
      <c r="Z49" s="429">
        <f ca="1">Y49*(S49-T49)*(AllProps_CAM/NHHProps_CAM)</f>
        <v>10.666666666666668</v>
      </c>
      <c r="AA49" s="89">
        <f ca="1">INDEX(INDIRECT("CAM_WTPCore2_"&amp;$B49&amp;"_UnitValues"),2,MATCH("MEAN",LMH,0))</f>
        <v>10.189737398103325</v>
      </c>
      <c r="AB49" s="429">
        <f ca="1">AA49*($S49-$T49)*(AllProps_CAM/NHHProps_CAM)</f>
        <v>1.4278322090836246</v>
      </c>
      <c r="AC49" s="16">
        <f ca="1">X49*AA$52/X$51</f>
        <v>10.658413108859499</v>
      </c>
      <c r="AD49" s="243" t="str">
        <f>Q49</f>
        <v>Property affected</v>
      </c>
      <c r="AE49" s="668">
        <f ca="1">(AC49*NHHProps_CAM)/((S49-T49)*AllProps_CAM)</f>
        <v>76.063860983695989</v>
      </c>
    </row>
    <row r="50" spans="1:31" x14ac:dyDescent="0.35">
      <c r="A50" s="7" t="s">
        <v>929</v>
      </c>
      <c r="B50" s="7" t="s">
        <v>140</v>
      </c>
      <c r="C50" s="7" t="str">
        <f>B50</f>
        <v>LowPressure</v>
      </c>
      <c r="D50" s="377" t="s">
        <v>127</v>
      </c>
      <c r="E50" s="124">
        <f ca="1">INDEX(INDIRECT("ExtWTP_"&amp;$C50&amp;"_UnitValues"),MATCH(A$48, INDIRECT("ExtWTP_Comps_"&amp;C50),0),MATCH("NHH",ExtWTP_Group,0))</f>
        <v>127</v>
      </c>
      <c r="F50" s="383">
        <f ca="1">INDEX(INDIRECT("SSW_WTPCore2_"&amp;$B50&amp;"_Levels"),2,MATCH(F$4,WTPCore2_AttLevels,0))</f>
        <v>0.1</v>
      </c>
      <c r="G50" s="383">
        <f ca="1">INDEX(INDIRECT("SSW_WTPCore2_"&amp;$B50&amp;"_Levels"),2,MATCH(G$4,WTPCore2_AttLevels,0))</f>
        <v>6.6666666666666666E-2</v>
      </c>
      <c r="H50" s="431">
        <f ca="1">INDEX(INDIRECT("SSW_WTPCore2_"&amp;$B50&amp;"_LevelValues"),2,MATCH("S1 MEAN",WTPCore2_LevelValues,0))</f>
        <v>6.9813125314618224E-5</v>
      </c>
      <c r="I50" s="431">
        <f ca="1">INDEX(INDIRECT("SSW_WTPCore2_"&amp;$B50&amp;"_LevelValues"),2,MATCH("S2 MEAN",WTPCore2_LevelValues,0))</f>
        <v>4.2539865887973236E-4</v>
      </c>
      <c r="J50" s="431">
        <f ca="1">SUM(H50:I50)</f>
        <v>4.9521178419435058E-4</v>
      </c>
      <c r="K50" s="213">
        <f ca="1">E50*(F50-G50)</f>
        <v>4.2333333333333343</v>
      </c>
      <c r="L50" s="429">
        <f ca="1">INDEX(INDIRECT("SSW_WTPCore_DCE_"&amp;$C50&amp;"_UnitValues"),MATCH("COMBINED-NHH",WTPCore_Group,0),MATCH("MEAN",LMH,0))</f>
        <v>32.097263297522041</v>
      </c>
      <c r="M50" s="429">
        <f ca="1">L50*($F50-$G50)*(AllProps_SSW/NHHProps_SSW)</f>
        <v>20.315886524822698</v>
      </c>
      <c r="N50" s="89">
        <f ca="1">INDEX(INDIRECT("SSW_WTPCore2_"&amp;$C50&amp;"_UnitValues"),2,MATCH("MEAN",LMH,0))</f>
        <v>3.461292612463883</v>
      </c>
      <c r="O50" s="429">
        <f ca="1">N50*($F50-$G50)*(AllProps_SSW/NHHProps_SSW)</f>
        <v>2.1908169332758067</v>
      </c>
      <c r="P50" s="16">
        <f ca="1">K50*N$52/K$51</f>
        <v>17.229958871126506</v>
      </c>
      <c r="Q50" s="377" t="s">
        <v>127</v>
      </c>
      <c r="R50" s="391">
        <f ca="1">P50*NHHProps_SSW/((F50-G50)*AllProps_SSW)</f>
        <v>27.22177670249857</v>
      </c>
      <c r="S50" s="383">
        <f ca="1">INDEX(INDIRECT("CAM_WTPCore2_"&amp;$B50&amp;"_Levels"),2,MATCH(S$4,WTPCore2_AttLevels,0))</f>
        <v>9.0909090909090912E-2</v>
      </c>
      <c r="T50" s="383">
        <f ca="1">INDEX(INDIRECT("CAM_WTPCore2_"&amp;$B50&amp;"_Levels"),2,MATCH(T$4,WTPCore2_AttLevels,0))</f>
        <v>6.6666666666666666E-2</v>
      </c>
      <c r="U50" s="431">
        <f ca="1">INDEX(INDIRECT("CAM_WTPCore2_"&amp;$B50&amp;"_LevelValues"),2,MATCH("S1 MEAN",WTPCore2_LevelValues,0))</f>
        <v>4.8585541264324922E-5</v>
      </c>
      <c r="V50" s="431">
        <f ca="1">INDEX(INDIRECT("CAM_WTPCore2_"&amp;$B50&amp;"_LevelValues"),2,MATCH("S2 MEAN",WTPCore2_LevelValues,0))</f>
        <v>4.7427328754792901E-3</v>
      </c>
      <c r="W50" s="431">
        <f ca="1">SUM(U50:V50)</f>
        <v>4.7913184167436155E-3</v>
      </c>
      <c r="X50" s="213">
        <f ca="1">E50*(S50-T50)</f>
        <v>3.0787878787878791</v>
      </c>
      <c r="Y50" s="429">
        <f ca="1">INDEX(INDIRECT("CAM_WTPCore_"&amp;$C50&amp;"_UnitValues"),MATCH("COMBINED-NHH",WTPCore_Group,0),MATCH("MEAN",LMH,0))</f>
        <v>19.435598954858694</v>
      </c>
      <c r="Z50" s="429">
        <f ca="1">Y50*(S50-T50)*(AllProps_CAM/NHHProps_CAM)</f>
        <v>7.9226305609284342</v>
      </c>
      <c r="AA50" s="89">
        <f ca="1">INDEX(INDIRECT("CAM_WTPCore2_"&amp;$B50&amp;"_UnitValues"),2,MATCH("MEAN",LMH,0))</f>
        <v>60.18018505130911</v>
      </c>
      <c r="AB50" s="429">
        <f ca="1">AA50*($S50-$T50)*(AllProps_CAM/NHHProps_CAM)</f>
        <v>24.531550293727314</v>
      </c>
      <c r="AC50" s="16">
        <f ca="1">X50*AA$52/X$51</f>
        <v>11.615926756343523</v>
      </c>
      <c r="AD50" s="243" t="str">
        <f>Q50</f>
        <v>Property affected</v>
      </c>
      <c r="AE50" s="668">
        <f ca="1">(AC50*NHHProps_CAM)/((S50-T50)*AllProps_CAM)</f>
        <v>28.495900722505574</v>
      </c>
    </row>
    <row r="51" spans="1:31" x14ac:dyDescent="0.35">
      <c r="D51" s="377"/>
      <c r="E51" s="124"/>
      <c r="F51" s="383"/>
      <c r="G51" s="383"/>
      <c r="H51" s="16"/>
      <c r="I51" s="16"/>
      <c r="J51" s="330">
        <f ca="1">SUM(J49:J50)*AvgNHHBill_SSW</f>
        <v>5.0522906775475454</v>
      </c>
      <c r="K51" s="331">
        <f ca="1">SUM(K49:K50)</f>
        <v>5.6458333333333348</v>
      </c>
      <c r="L51" s="331"/>
      <c r="M51" s="331">
        <f ca="1">SUM(M49:M50)</f>
        <v>40.905572059413899</v>
      </c>
      <c r="N51" s="331"/>
      <c r="O51" s="331">
        <f ca="1">SUM(O49:O50)</f>
        <v>5.0522906775475454</v>
      </c>
      <c r="P51" s="330">
        <f ca="1">SUM(P49:P50)</f>
        <v>22.978931368480723</v>
      </c>
      <c r="Q51" s="31"/>
      <c r="R51" s="469"/>
      <c r="S51" s="383"/>
      <c r="T51" s="383"/>
      <c r="U51" s="16"/>
      <c r="V51" s="16"/>
      <c r="W51" s="611">
        <f ca="1">SUM(W49:W50)*AvgNHHBill_CAM</f>
        <v>25.959382502810936</v>
      </c>
      <c r="X51" s="331">
        <f ca="1">SUM(X49:X50)</f>
        <v>5.9037878787878793</v>
      </c>
      <c r="Y51" s="331"/>
      <c r="Z51" s="331">
        <f ca="1">SUM(Z49:Z50)</f>
        <v>18.589297227595104</v>
      </c>
      <c r="AA51" s="331"/>
      <c r="AB51" s="331">
        <f ca="1">SUM(AB49:AB50)</f>
        <v>25.959382502810939</v>
      </c>
      <c r="AC51" s="330">
        <f ca="1">SUM(AC49:AC50)</f>
        <v>22.274339865203022</v>
      </c>
      <c r="AE51" s="668"/>
    </row>
    <row r="52" spans="1:31" x14ac:dyDescent="0.35">
      <c r="A52" s="50"/>
      <c r="B52" s="50"/>
      <c r="C52" s="50"/>
      <c r="D52" s="379"/>
      <c r="E52" s="14"/>
      <c r="F52" s="384"/>
      <c r="G52" s="384"/>
      <c r="H52" s="384"/>
      <c r="I52" s="384"/>
      <c r="J52" s="384"/>
      <c r="K52" s="25"/>
      <c r="L52" s="25"/>
      <c r="M52" s="39" t="s">
        <v>361</v>
      </c>
      <c r="N52" s="546">
        <f ca="1">AVERAGE(M51,O51)</f>
        <v>22.978931368480723</v>
      </c>
      <c r="O52" s="39"/>
      <c r="P52" s="410"/>
      <c r="Q52" s="50"/>
      <c r="R52" s="467"/>
      <c r="S52" s="384"/>
      <c r="T52" s="384"/>
      <c r="U52" s="384"/>
      <c r="V52" s="384"/>
      <c r="W52" s="384"/>
      <c r="X52" s="25"/>
      <c r="Y52" s="25"/>
      <c r="Z52" s="39" t="s">
        <v>361</v>
      </c>
      <c r="AA52" s="546">
        <f ca="1">AVERAGE(Z51,AB51)</f>
        <v>22.274339865203022</v>
      </c>
      <c r="AB52" s="39"/>
      <c r="AC52" s="410"/>
      <c r="AD52" s="50"/>
      <c r="AE52" s="669"/>
    </row>
    <row r="53" spans="1:31" x14ac:dyDescent="0.35">
      <c r="A53" s="51" t="s">
        <v>98</v>
      </c>
      <c r="B53" s="51"/>
      <c r="D53" s="378"/>
      <c r="E53" s="218"/>
      <c r="F53" s="218"/>
      <c r="G53" s="218"/>
      <c r="H53" s="330"/>
      <c r="I53" s="330"/>
      <c r="J53" s="330"/>
      <c r="K53" s="389"/>
      <c r="L53" s="389"/>
      <c r="M53" s="389"/>
      <c r="N53" s="389"/>
      <c r="O53" s="389"/>
      <c r="P53"/>
      <c r="Q53" s="193"/>
      <c r="R53" s="468"/>
      <c r="S53" s="218"/>
      <c r="T53" s="218"/>
      <c r="U53" s="330"/>
      <c r="V53" s="330"/>
      <c r="W53" s="330"/>
      <c r="X53" s="389"/>
      <c r="Y53" s="389"/>
      <c r="Z53" s="389"/>
      <c r="AA53" s="389"/>
      <c r="AB53" s="389"/>
      <c r="AC53"/>
      <c r="AE53" s="670"/>
    </row>
    <row r="54" spans="1:31" x14ac:dyDescent="0.35">
      <c r="A54" s="7" t="s">
        <v>129</v>
      </c>
      <c r="B54" s="7" t="s">
        <v>130</v>
      </c>
      <c r="C54" s="7" t="str">
        <f>B54</f>
        <v>Discolour</v>
      </c>
      <c r="D54" s="377" t="s">
        <v>127</v>
      </c>
      <c r="E54" s="124">
        <f ca="1">INDEX(INDIRECT("ExtWTP_"&amp;$C54&amp;"_UnitValues"),MATCH(A$53, INDIRECT("ExtWTP_Comps_"&amp;C54),0),MATCH("NHH",ExtWTP_Group,0))</f>
        <v>2550</v>
      </c>
      <c r="F54" s="383">
        <f t="shared" ref="F54:G57" ca="1" si="22">INDEX(INDIRECT("SSW_WTPCore2_"&amp;$B54&amp;"_Levels"),2,MATCH(F$4,WTPCore2_AttLevels,0))</f>
        <v>6.6666666666666666E-2</v>
      </c>
      <c r="G54" s="383">
        <f t="shared" ca="1" si="22"/>
        <v>0.04</v>
      </c>
      <c r="H54" s="431">
        <f ca="1">INDEX(INDIRECT("SSW_WTPCore2_"&amp;$B54&amp;"_LevelValues"),2,MATCH("S1 MEAN",WTPCore2_LevelValues,0))</f>
        <v>1.9376915692789636E-2</v>
      </c>
      <c r="I54" s="431">
        <f ca="1">INDEX(INDIRECT("SSW_WTPCore2_"&amp;$B54&amp;"_LevelValues"),2,MATCH("S2 MEAN",WTPCore2_LevelValues,0))</f>
        <v>4.9841954334050795E-4</v>
      </c>
      <c r="J54" s="431">
        <f ca="1">SUM(H54:I54)</f>
        <v>1.9875335236130144E-2</v>
      </c>
      <c r="K54" s="213">
        <f ca="1">E54*(F54-G54)</f>
        <v>68</v>
      </c>
      <c r="L54" s="429">
        <f ca="1">INDEX(INDIRECT("SSW_WTPCore_DCE_"&amp;$C54&amp;"_UnitValues"),MATCH("COMBINED-NHH",WTPCore_Group,0),MATCH("MEAN",LMH,0))</f>
        <v>37.156930418313699</v>
      </c>
      <c r="M54" s="429">
        <f ca="1">L54*(F54-G54)*(AllProps_SSW/NHHProps_SSW)</f>
        <v>18.814712643678163</v>
      </c>
      <c r="N54" s="89">
        <f ca="1">INDEX(INDIRECT("SSW_WTPCore2_"&amp;$C54&amp;"_UnitValues"),2,MATCH("MEAN",LMH,0))</f>
        <v>173.64881354494736</v>
      </c>
      <c r="O54" s="429">
        <f ca="1">N54*($F54-$G54)*(AllProps_SSW/NHHProps_SSW)</f>
        <v>87.928483084639765</v>
      </c>
      <c r="P54" s="16">
        <f ca="1">K54*N$59/K$58</f>
        <v>69.752102361190339</v>
      </c>
      <c r="Q54" s="377" t="s">
        <v>127</v>
      </c>
      <c r="R54" s="391">
        <f ca="1">P54*NHHProps_SSW/((F54-G54)*AllProps_SSW)</f>
        <v>137.75251650397612</v>
      </c>
      <c r="S54" s="383">
        <f t="shared" ref="S54:T57" ca="1" si="23">INDEX(INDIRECT("CAM_WTPCore2_"&amp;$B54&amp;"_Levels"),2,MATCH(S$4,WTPCore2_AttLevels,0))</f>
        <v>2.2222222222222223E-2</v>
      </c>
      <c r="T54" s="383">
        <f t="shared" ca="1" si="23"/>
        <v>1.5384615384615385E-2</v>
      </c>
      <c r="U54" s="431">
        <f ca="1">INDEX(INDIRECT("CAM_WTPCore2_"&amp;$B54&amp;"_LevelValues"),2,MATCH("S1 MEAN",WTPCore2_LevelValues,0))</f>
        <v>5.6414013673365619E-2</v>
      </c>
      <c r="V54" s="431">
        <f ca="1">INDEX(INDIRECT("CAM_WTPCore2_"&amp;$B54&amp;"_LevelValues"),2,MATCH("S2 MEAN",WTPCore2_LevelValues,0))</f>
        <v>1.4754621463399648E-4</v>
      </c>
      <c r="W54" s="431">
        <f ca="1">SUM(U54:V54)</f>
        <v>5.6561559887999616E-2</v>
      </c>
      <c r="X54" s="213">
        <f ca="1">E54*(S54-T54)</f>
        <v>17.435897435897434</v>
      </c>
      <c r="Y54" s="429">
        <f ca="1">INDEX(INDIRECT("CAM_WTPCore_"&amp;$C54&amp;"_UnitValues"),MATCH("COMBINED-NHH",WTPCore_Group,0),MATCH("MEAN",LMH,0))</f>
        <v>243.59284023422896</v>
      </c>
      <c r="Z54" s="429">
        <f ca="1">Y54*(S54-T54)*(AllProps_CAM/NHHProps_CAM)</f>
        <v>28.006837606837603</v>
      </c>
      <c r="AA54" s="89">
        <f ca="1">INDEX(INDIRECT("CAM_WTPCore2_"&amp;$B54&amp;"_UnitValues"),2,MATCH("MEAN",LMH,0))</f>
        <v>2518.7889835624424</v>
      </c>
      <c r="AB54" s="429">
        <f ca="1">AA54*($S54-$T54)*(AllProps_CAM/NHHProps_CAM)</f>
        <v>289.59518662655807</v>
      </c>
      <c r="AC54" s="16">
        <f ca="1">X54*AA$59/X$58</f>
        <v>145.30144166486383</v>
      </c>
      <c r="AD54" s="243" t="str">
        <f>Q54</f>
        <v>Property affected</v>
      </c>
      <c r="AE54" s="668">
        <f ca="1">(AC54*NHHProps_CAM)/((S54-T54)*AllProps_CAM)</f>
        <v>1263.7767734487493</v>
      </c>
    </row>
    <row r="55" spans="1:31" x14ac:dyDescent="0.35">
      <c r="A55" s="7" t="s">
        <v>876</v>
      </c>
      <c r="B55" s="7" t="s">
        <v>138</v>
      </c>
      <c r="C55" s="7" t="s">
        <v>1007</v>
      </c>
      <c r="D55" s="377" t="s">
        <v>127</v>
      </c>
      <c r="E55" s="124">
        <f ca="1">INDEX(INDIRECT("ExtWTP_"&amp;$C55&amp;"_UnitValues"),MATCH(A$53, INDIRECT("ExtWTP_Comps_"&amp;C55),0),MATCH("NHH",ExtWTP_Group,0))</f>
        <v>410</v>
      </c>
      <c r="F55" s="383">
        <f t="shared" ca="1" si="22"/>
        <v>1.2500000000000001E-2</v>
      </c>
      <c r="G55" s="383">
        <f t="shared" ca="1" si="22"/>
        <v>8.3333333333333332E-3</v>
      </c>
      <c r="H55" s="431">
        <f ca="1">INDEX(INDIRECT("SSW_WTPCore2_"&amp;$B55&amp;"_LevelValues"),2,MATCH("S1 MEAN",WTPCore2_LevelValues,0))</f>
        <v>2.3562800507588295E-4</v>
      </c>
      <c r="I55" s="431">
        <f ca="1">INDEX(INDIRECT("SSW_WTPCore2_"&amp;$B55&amp;"_LevelValues"),2,MATCH("S2 MEAN",WTPCore2_LevelValues,0))</f>
        <v>4.1117889914467278E-4</v>
      </c>
      <c r="J55" s="431">
        <f ca="1">SUM(H55:I55)</f>
        <v>6.4680690422055573E-4</v>
      </c>
      <c r="K55" s="213">
        <f ca="1">E55*(F55-G55)</f>
        <v>1.7083333333333337</v>
      </c>
      <c r="L55" s="429">
        <f ca="1">INDEX(INDIRECT("SSW_WTPCore_DCE_"&amp;$B55&amp;"_UnitValues"),MATCH("COMBINED-NHH",WTPCore_Group,0),MATCH("MEAN",LMH,0))</f>
        <v>260.23872775996313</v>
      </c>
      <c r="M55" s="429">
        <f ca="1">L55*(F55-G55)*(AllProps_SSW/NHHProps_SSW)</f>
        <v>20.589685534591201</v>
      </c>
      <c r="N55" s="89">
        <f ca="1">INDEX(INDIRECT("SSW_WTPCore2_"&amp;$B55&amp;"_UnitValues"),2,MATCH("MEAN",LMH,0))</f>
        <v>36.166957745748803</v>
      </c>
      <c r="O55" s="429">
        <f ca="1">N55*($F55-$G55)*(AllProps_SSW/NHHProps_SSW)</f>
        <v>2.8614737442717386</v>
      </c>
      <c r="P55" s="16">
        <f t="shared" ref="P55:P57" ca="1" si="24">K55*N$59/K$58</f>
        <v>1.7523506107897091</v>
      </c>
      <c r="Q55" s="377" t="s">
        <v>127</v>
      </c>
      <c r="R55" s="391">
        <f ca="1">P55*NHHProps_SSW/((F55-G55)*AllProps_SSW)</f>
        <v>22.148443830051068</v>
      </c>
      <c r="S55" s="383">
        <f t="shared" ca="1" si="23"/>
        <v>2.5000000000000001E-2</v>
      </c>
      <c r="T55" s="383">
        <f t="shared" ca="1" si="23"/>
        <v>1.6666666666666666E-2</v>
      </c>
      <c r="U55" s="431">
        <f ca="1">INDEX(INDIRECT("CAM_WTPCore2_"&amp;$B55&amp;"_LevelValues"),2,MATCH("S1 MEAN",WTPCore2_LevelValues,0))</f>
        <v>2.654718763279678E-4</v>
      </c>
      <c r="V55" s="431">
        <f ca="1">INDEX(INDIRECT("CAM_WTPCore2_"&amp;$B55&amp;"_LevelValues"),2,MATCH("S2 MEAN",WTPCore2_LevelValues,0))</f>
        <v>1.3401602008677625E-5</v>
      </c>
      <c r="W55" s="431">
        <f t="shared" ref="W55:W57" ca="1" si="25">SUM(U55:V55)</f>
        <v>2.7887347833664542E-4</v>
      </c>
      <c r="X55" s="213">
        <f t="shared" ref="X55:X57" ca="1" si="26">E55*(S55-T55)</f>
        <v>3.4166666666666674</v>
      </c>
      <c r="Y55" s="429">
        <f ca="1">INDEX(INDIRECT("CAM_WTPCore_"&amp;$B55&amp;"_UnitValues"),MATCH("COMBINED-NHH",WTPCore_Group,0),MATCH("MEAN",LMH,0))</f>
        <v>76.122762573196539</v>
      </c>
      <c r="Z55" s="429">
        <f ca="1">Y55*(S55-T55)*(AllProps_CAM/NHHProps_CAM)</f>
        <v>10.666666666666668</v>
      </c>
      <c r="AA55" s="89">
        <f ca="1">INDEX(INDIRECT("CAM_WTPCore2_"&amp;$B55&amp;"_UnitValues"),2,MATCH("MEAN",LMH,0))</f>
        <v>10.189737398103325</v>
      </c>
      <c r="AB55" s="429">
        <f ca="1">AA55*($S55-$T55)*(AllProps_CAM/NHHProps_CAM)</f>
        <v>1.4278322090836246</v>
      </c>
      <c r="AC55" s="16">
        <f t="shared" ref="AC55:AC57" ca="1" si="27">X55*AA$59/X$58</f>
        <v>28.472672208592812</v>
      </c>
      <c r="AD55" s="243" t="str">
        <f>Q55</f>
        <v>Property affected</v>
      </c>
      <c r="AE55" s="668">
        <f ca="1">(AC55*NHHProps_CAM)/((S55-T55)*AllProps_CAM)</f>
        <v>203.19548122117146</v>
      </c>
    </row>
    <row r="56" spans="1:31" x14ac:dyDescent="0.35">
      <c r="A56" s="7" t="s">
        <v>1010</v>
      </c>
      <c r="B56" s="7" t="s">
        <v>144</v>
      </c>
      <c r="C56" s="7" t="str">
        <f>B56</f>
        <v>TempBan</v>
      </c>
      <c r="D56" s="377" t="s">
        <v>127</v>
      </c>
      <c r="E56" s="124">
        <f ca="1">INDEX(INDIRECT("ExtWTP_"&amp;$C56&amp;"_UnitValues"),MATCH(A$53, INDIRECT("ExtWTP_Comps_"&amp;C56),0),MATCH("NHH",ExtWTP_Group,0))</f>
        <v>0</v>
      </c>
      <c r="F56" s="383">
        <f t="shared" ca="1" si="22"/>
        <v>2.5000000000000001E-2</v>
      </c>
      <c r="G56" s="383">
        <f t="shared" ca="1" si="22"/>
        <v>1.6666666666666666E-2</v>
      </c>
      <c r="H56" s="431">
        <f ca="1">INDEX(INDIRECT("SSW_WTPCore2_"&amp;$B56&amp;"_LevelValues"),2,MATCH("S1 MEAN",WTPCore2_LevelValues,0))</f>
        <v>1.0363458862342743E-3</v>
      </c>
      <c r="I56" s="431">
        <f ca="1">INDEX(INDIRECT("SSW_WTPCore2_"&amp;$B56&amp;"_LevelValues"),2,MATCH("S2 MEAN",WTPCore2_LevelValues,0))</f>
        <v>6.2724159084084235E-4</v>
      </c>
      <c r="J56" s="431">
        <f ca="1">SUM(H56:I56)</f>
        <v>1.6635874770751166E-3</v>
      </c>
      <c r="K56" s="213">
        <f ca="1">E56*(F56-G56)</f>
        <v>0</v>
      </c>
      <c r="L56" s="605">
        <f ca="1">INDEX(INDIRECT("SSW_WTPCore_DCE_"&amp;$C56&amp;"_UnitValues"),MATCH("COMBINED-NHH",WTPCore_Group,0),MATCH("MEAN",LMH,0))</f>
        <v>159200.29439999998</v>
      </c>
      <c r="M56" s="429">
        <f ca="1">L56*(F56-G56)/NHHProps_SSW</f>
        <v>4.4240000000000002E-2</v>
      </c>
      <c r="N56" s="245">
        <f ca="1">INDEX(INDIRECT("SSW_WTPCore2_"&amp;$C56&amp;"_UnitValues"),2,MATCH("MEAN",LMH,0))</f>
        <v>264843.61611051176</v>
      </c>
      <c r="O56" s="429">
        <f ca="1">N56*(F56-G56)/NHHProps_SSW*100</f>
        <v>7.3597109985803169</v>
      </c>
      <c r="P56" s="16">
        <f t="shared" ca="1" si="24"/>
        <v>0</v>
      </c>
      <c r="Q56" s="477" t="s">
        <v>145</v>
      </c>
      <c r="R56" s="391">
        <f ca="1">P56*NHHProps_SSW/((F56-G56)*100)</f>
        <v>0</v>
      </c>
      <c r="S56" s="383">
        <f t="shared" ca="1" si="23"/>
        <v>0.02</v>
      </c>
      <c r="T56" s="383">
        <f t="shared" ca="1" si="23"/>
        <v>1.3333333333333334E-2</v>
      </c>
      <c r="U56" s="431">
        <f ca="1">INDEX(INDIRECT("CAM_WTPCore2_"&amp;$B56&amp;"_LevelValues"),2,MATCH("S1 MEAN",WTPCore2_LevelValues,0))</f>
        <v>1.3694025744847137E-3</v>
      </c>
      <c r="V56" s="431">
        <f ca="1">INDEX(INDIRECT("CAM_WTPCore2_"&amp;$B56&amp;"_LevelValues"),2,MATCH("S2 MEAN",WTPCore2_LevelValues,0))</f>
        <v>1.1073984405910726E-3</v>
      </c>
      <c r="W56" s="431">
        <f t="shared" ca="1" si="25"/>
        <v>2.4768010150757864E-3</v>
      </c>
      <c r="X56" s="213">
        <f t="shared" ca="1" si="26"/>
        <v>0</v>
      </c>
      <c r="Y56" s="89">
        <f ca="1">INDEX(INDIRECT("CAM_WTPCore_"&amp;$C56&amp;"_UnitValues"),MATCH("COMBINED-NHH",WTPCore_Group,0),MATCH("MEAN",LMH,0))</f>
        <v>950206.4639999998</v>
      </c>
      <c r="Z56" s="429">
        <f ca="1">Y56*(S56-T56)/NHHProps_CAM*100</f>
        <v>73.727999999999966</v>
      </c>
      <c r="AA56" s="89">
        <f ca="1">INDEX(INDIRECT("CAM_WTPCore2_"&amp;$B56&amp;"_UnitValues"),2,MATCH("MEAN",LMH,0))</f>
        <v>163435.57878935931</v>
      </c>
      <c r="AB56" s="429">
        <f ca="1">AA56*(S56-T56)/NHHProps_CAM*100</f>
        <v>12.681221197188025</v>
      </c>
      <c r="AC56" s="16">
        <f t="shared" ca="1" si="27"/>
        <v>0</v>
      </c>
      <c r="AD56" s="243" t="str">
        <f>Q56</f>
        <v>1% change in risk</v>
      </c>
      <c r="AE56" s="668">
        <f ca="1">(AC56*NHHProps_CAM)/((S56-T56)*100)</f>
        <v>0</v>
      </c>
    </row>
    <row r="57" spans="1:31" x14ac:dyDescent="0.35">
      <c r="A57" s="7" t="s">
        <v>929</v>
      </c>
      <c r="B57" s="7" t="s">
        <v>140</v>
      </c>
      <c r="C57" s="7" t="str">
        <f>B57</f>
        <v>LowPressure</v>
      </c>
      <c r="D57" s="377" t="s">
        <v>127</v>
      </c>
      <c r="E57" s="124">
        <f ca="1">INDEX(INDIRECT("ExtWTP_"&amp;$C57&amp;"_UnitValues"),MATCH(A$53, INDIRECT("ExtWTP_Comps_"&amp;C57),0),MATCH("NHH",ExtWTP_Group,0))</f>
        <v>250</v>
      </c>
      <c r="F57" s="383">
        <f t="shared" ca="1" si="22"/>
        <v>0.1</v>
      </c>
      <c r="G57" s="383">
        <f t="shared" ca="1" si="22"/>
        <v>6.6666666666666666E-2</v>
      </c>
      <c r="H57" s="431">
        <f ca="1">INDEX(INDIRECT("SSW_WTPCore2_"&amp;$B57&amp;"_LevelValues"),2,MATCH("S1 MEAN",WTPCore2_LevelValues,0))</f>
        <v>6.9813125314618224E-5</v>
      </c>
      <c r="I57" s="431">
        <f ca="1">INDEX(INDIRECT("SSW_WTPCore2_"&amp;$B57&amp;"_LevelValues"),2,MATCH("S2 MEAN",WTPCore2_LevelValues,0))</f>
        <v>4.2539865887973236E-4</v>
      </c>
      <c r="J57" s="431">
        <f ca="1">SUM(H57:I57)</f>
        <v>4.9521178419435058E-4</v>
      </c>
      <c r="K57" s="213">
        <f ca="1">E57*(F57-G57)</f>
        <v>8.3333333333333357</v>
      </c>
      <c r="L57" s="429">
        <f ca="1">INDEX(INDIRECT("SSW_WTPCore_DCE_"&amp;$C57&amp;"_UnitValues"),MATCH("COMBINED-NHH",WTPCore_Group,0),MATCH("MEAN",LMH,0))</f>
        <v>32.097263297522041</v>
      </c>
      <c r="M57" s="429">
        <f ca="1">L57*(F57-G57)*(AllProps_SSW/NHHProps_SSW)</f>
        <v>20.315886524822698</v>
      </c>
      <c r="N57" s="89">
        <f ca="1">INDEX(INDIRECT("SSW_WTPCore2_"&amp;$C57&amp;"_UnitValues"),2,MATCH("MEAN",LMH,0))</f>
        <v>3.461292612463883</v>
      </c>
      <c r="O57" s="429">
        <f ca="1">N57*($F57-$G57)*(AllProps_SSW/NHHProps_SSW)</f>
        <v>2.1908169332758067</v>
      </c>
      <c r="P57" s="16">
        <f t="shared" ca="1" si="24"/>
        <v>8.5480517599498</v>
      </c>
      <c r="Q57" s="377" t="s">
        <v>127</v>
      </c>
      <c r="R57" s="391">
        <f ca="1">P57*NHHProps_SSW/((F57-G57)*AllProps_SSW)</f>
        <v>13.505148676860406</v>
      </c>
      <c r="S57" s="383">
        <f t="shared" ca="1" si="23"/>
        <v>9.0909090909090912E-2</v>
      </c>
      <c r="T57" s="383">
        <f t="shared" ca="1" si="23"/>
        <v>6.6666666666666666E-2</v>
      </c>
      <c r="U57" s="431">
        <f ca="1">INDEX(INDIRECT("CAM_WTPCore2_"&amp;$B57&amp;"_LevelValues"),2,MATCH("S1 MEAN",WTPCore2_LevelValues,0))</f>
        <v>4.8585541264324922E-5</v>
      </c>
      <c r="V57" s="431">
        <f ca="1">INDEX(INDIRECT("CAM_WTPCore2_"&amp;$B57&amp;"_LevelValues"),2,MATCH("S2 MEAN",WTPCore2_LevelValues,0))</f>
        <v>4.7427328754792901E-3</v>
      </c>
      <c r="W57" s="431">
        <f t="shared" ca="1" si="25"/>
        <v>4.7913184167436155E-3</v>
      </c>
      <c r="X57" s="213">
        <f t="shared" ca="1" si="26"/>
        <v>6.0606060606060614</v>
      </c>
      <c r="Y57" s="429">
        <f ca="1">INDEX(INDIRECT("CAM_WTPCore_"&amp;$C57&amp;"_UnitValues"),MATCH("COMBINED-NHH",WTPCore_Group,0),MATCH("MEAN",LMH,0))</f>
        <v>19.435598954858694</v>
      </c>
      <c r="Z57" s="429">
        <f ca="1">Y57*(S57-T57)*(AllProps_CAM/NHHProps_CAM)</f>
        <v>7.9226305609284342</v>
      </c>
      <c r="AA57" s="89">
        <f ca="1">INDEX(INDIRECT("CAM_WTPCore2_"&amp;$B57&amp;"_UnitValues"),2,MATCH("MEAN",LMH,0))</f>
        <v>60.18018505130911</v>
      </c>
      <c r="AB57" s="429">
        <f ca="1">AA57*($S57-$T57)*(AllProps_CAM/NHHProps_CAM)</f>
        <v>24.531550293727314</v>
      </c>
      <c r="AC57" s="16">
        <f t="shared" ca="1" si="27"/>
        <v>50.50584870703824</v>
      </c>
      <c r="AD57" s="243" t="str">
        <f>Q57</f>
        <v>Property affected</v>
      </c>
      <c r="AE57" s="668">
        <f ca="1">(AC57*NHHProps_CAM)/((S57-T57)*AllProps_CAM)</f>
        <v>123.899683671446</v>
      </c>
    </row>
    <row r="58" spans="1:31" x14ac:dyDescent="0.35">
      <c r="D58" s="377"/>
      <c r="E58" s="124"/>
      <c r="F58" s="383"/>
      <c r="G58" s="383"/>
      <c r="H58" s="16"/>
      <c r="I58" s="16"/>
      <c r="J58" s="330">
        <f ca="1">SUM(J54:J57)*AvgNHHBill_SSW</f>
        <v>100.34048476076762</v>
      </c>
      <c r="K58" s="331">
        <f ca="1">SUM(K54:K57)</f>
        <v>78.041666666666657</v>
      </c>
      <c r="L58" s="331"/>
      <c r="M58" s="331">
        <f ca="1">SUM(M54:M57)</f>
        <v>59.764524703092064</v>
      </c>
      <c r="N58" s="331"/>
      <c r="O58" s="331">
        <f ca="1">SUM(O54:O57)</f>
        <v>100.34048476076762</v>
      </c>
      <c r="P58" s="331">
        <f ca="1">SUM(P54:P57)</f>
        <v>80.052504731929844</v>
      </c>
      <c r="Q58" s="31"/>
      <c r="R58" s="469"/>
      <c r="S58" s="383"/>
      <c r="T58" s="383"/>
      <c r="U58" s="16"/>
      <c r="V58" s="16"/>
      <c r="W58" s="610">
        <f ca="1">SUM(W54:W57)*AvgNHHBill_CAM</f>
        <v>328.23579032655698</v>
      </c>
      <c r="X58" s="331">
        <f ca="1">SUM(X54:X57)</f>
        <v>26.913170163170165</v>
      </c>
      <c r="Y58" s="331"/>
      <c r="Z58" s="331">
        <f ca="1">SUM(Z54:Z57)</f>
        <v>120.32413483443267</v>
      </c>
      <c r="AA58" s="331"/>
      <c r="AB58" s="331">
        <f ca="1">SUM(AB54:AB57)</f>
        <v>328.23579032655709</v>
      </c>
      <c r="AC58" s="331">
        <f ca="1">SUM(AC54:AC57)</f>
        <v>224.2799625804949</v>
      </c>
      <c r="AE58" s="668"/>
    </row>
    <row r="59" spans="1:31" x14ac:dyDescent="0.35">
      <c r="A59" s="50"/>
      <c r="B59" s="50"/>
      <c r="C59" s="50"/>
      <c r="D59" s="379"/>
      <c r="E59" s="14"/>
      <c r="F59" s="384"/>
      <c r="G59" s="384"/>
      <c r="H59" s="384"/>
      <c r="I59" s="384"/>
      <c r="J59" s="384"/>
      <c r="K59" s="25"/>
      <c r="L59" s="25"/>
      <c r="M59" s="39" t="s">
        <v>361</v>
      </c>
      <c r="N59" s="546">
        <f ca="1">AVERAGE(M58,O58)</f>
        <v>80.052504731929844</v>
      </c>
      <c r="O59" s="39"/>
      <c r="P59" s="410"/>
      <c r="Q59" s="50"/>
      <c r="R59" s="467"/>
      <c r="S59" s="384"/>
      <c r="T59" s="384"/>
      <c r="U59" s="384"/>
      <c r="V59" s="384"/>
      <c r="W59" s="384"/>
      <c r="X59" s="25"/>
      <c r="Y59" s="25"/>
      <c r="Z59" s="39" t="s">
        <v>361</v>
      </c>
      <c r="AA59" s="546">
        <f ca="1">AVERAGE(Z58,AB58)</f>
        <v>224.2799625804949</v>
      </c>
      <c r="AB59" s="39"/>
      <c r="AC59" s="410"/>
      <c r="AD59" s="50"/>
      <c r="AE59" s="669"/>
    </row>
    <row r="60" spans="1:31" x14ac:dyDescent="0.35">
      <c r="A60" s="51" t="s">
        <v>99</v>
      </c>
      <c r="B60" s="51"/>
      <c r="D60" s="378"/>
      <c r="E60" s="218"/>
      <c r="F60" s="218"/>
      <c r="G60" s="218"/>
      <c r="H60" s="330"/>
      <c r="I60" s="330"/>
      <c r="J60" s="330"/>
      <c r="K60" s="389"/>
      <c r="L60" s="389"/>
      <c r="M60" s="389"/>
      <c r="N60" s="389"/>
      <c r="O60" s="389"/>
      <c r="P60"/>
      <c r="Q60" s="193"/>
      <c r="R60" s="468"/>
      <c r="S60" s="218"/>
      <c r="T60" s="218"/>
      <c r="U60" s="330"/>
      <c r="V60" s="330"/>
      <c r="W60" s="330"/>
      <c r="X60" s="389"/>
      <c r="Y60" s="389"/>
      <c r="Z60" s="389"/>
      <c r="AA60" s="389"/>
      <c r="AB60" s="389"/>
      <c r="AC60"/>
      <c r="AE60" s="670"/>
    </row>
    <row r="61" spans="1:31" x14ac:dyDescent="0.35">
      <c r="A61" s="7" t="s">
        <v>855</v>
      </c>
      <c r="B61" s="7" t="s">
        <v>138</v>
      </c>
      <c r="C61" s="7" t="s">
        <v>1008</v>
      </c>
      <c r="D61" s="377" t="s">
        <v>127</v>
      </c>
      <c r="E61" s="124">
        <f ca="1">INDEX(INDIRECT("ExtWTP_"&amp;$C61&amp;"_UnitValues"),MATCH(A$60, INDIRECT("ExtWTP_Comps_"&amp;C61),0),MATCH("NHH",ExtWTP_Group,0))</f>
        <v>770</v>
      </c>
      <c r="F61" s="383">
        <f t="shared" ref="F61:G64" ca="1" si="28">INDEX(INDIRECT("SSW_WTPCore2_"&amp;$B61&amp;"_Levels"),2,MATCH(F$4,WTPCore2_AttLevels,0))</f>
        <v>1.2500000000000001E-2</v>
      </c>
      <c r="G61" s="383">
        <f t="shared" ca="1" si="28"/>
        <v>8.3333333333333332E-3</v>
      </c>
      <c r="H61" s="431">
        <f ca="1">INDEX(INDIRECT("SSW_WTPCore2_"&amp;$B61&amp;"_LevelValues"),2,MATCH("S1 MEAN",WTPCore2_LevelValues,0))</f>
        <v>2.3562800507588295E-4</v>
      </c>
      <c r="I61" s="431">
        <f ca="1">INDEX(INDIRECT("SSW_WTPCore2_"&amp;$B61&amp;"_LevelValues"),2,MATCH("S2 MEAN",WTPCore2_LevelValues,0))</f>
        <v>4.1117889914467278E-4</v>
      </c>
      <c r="J61" s="431">
        <f ca="1">SUM(H61:I61)</f>
        <v>6.4680690422055573E-4</v>
      </c>
      <c r="K61" s="213">
        <f ca="1">E61*(F61-G61)</f>
        <v>3.2083333333333339</v>
      </c>
      <c r="L61" s="429">
        <f ca="1">INDEX(INDIRECT("SSW_WTPCore_DCE_"&amp;$B61&amp;"_UnitValues"),MATCH("COMBINED-NHH",WTPCore_Group,0),MATCH("MEAN",LMH,0))</f>
        <v>260.23872775996313</v>
      </c>
      <c r="M61" s="429">
        <f ca="1">L61*($F61-$G61)*(AllProps_SSW/NHHProps_SSW)</f>
        <v>20.589685534591201</v>
      </c>
      <c r="N61" s="89">
        <f ca="1">INDEX(INDIRECT("SSW_WTPCore2_"&amp;$B61&amp;"_UnitValues"),2,MATCH("MEAN",LMH,0))</f>
        <v>36.166957745748803</v>
      </c>
      <c r="O61" s="429">
        <f ca="1">N61*($F61-$G61)*(AllProps_SSW/NHHProps_SSW)</f>
        <v>2.8614737442717386</v>
      </c>
      <c r="P61" s="16">
        <f ca="1">K61*N$66/K$65</f>
        <v>13.875018874262551</v>
      </c>
      <c r="Q61" s="377" t="s">
        <v>127</v>
      </c>
      <c r="R61" s="391">
        <f ca="1">P61*NHHProps_SSW/((F61-G61)*AllProps_SSW)</f>
        <v>175.37019948251742</v>
      </c>
      <c r="S61" s="383">
        <f t="shared" ref="S61:T64" ca="1" si="29">INDEX(INDIRECT("CAM_WTPCore2_"&amp;$B61&amp;"_Levels"),2,MATCH(S$4,WTPCore2_AttLevels,0))</f>
        <v>2.5000000000000001E-2</v>
      </c>
      <c r="T61" s="383">
        <f t="shared" ca="1" si="29"/>
        <v>1.6666666666666666E-2</v>
      </c>
      <c r="U61" s="431">
        <f ca="1">INDEX(INDIRECT("CAM_WTPCore2_"&amp;$B61&amp;"_LevelValues"),2,MATCH("S1 MEAN",WTPCore2_LevelValues,0))</f>
        <v>2.654718763279678E-4</v>
      </c>
      <c r="V61" s="431">
        <f ca="1">INDEX(INDIRECT("CAM_WTPCore2_"&amp;$B61&amp;"_LevelValues"),2,MATCH("S2 MEAN",WTPCore2_LevelValues,0))</f>
        <v>1.3401602008677625E-5</v>
      </c>
      <c r="W61" s="431">
        <f ca="1">SUM(U61:V61)</f>
        <v>2.7887347833664542E-4</v>
      </c>
      <c r="X61" s="213">
        <f ca="1">E61*(S61-T61)</f>
        <v>6.4166666666666679</v>
      </c>
      <c r="Y61" s="429">
        <f ca="1">INDEX(INDIRECT("CAM_WTPCore_"&amp;$B61&amp;"_UnitValues"),MATCH("COMBINED-NHH",WTPCore_Group,0),MATCH("MEAN",LMH,0))</f>
        <v>76.122762573196539</v>
      </c>
      <c r="Z61" s="429">
        <f ca="1">Y61*(S61-T61)*(AllProps_CAM/NHHProps_CAM)</f>
        <v>10.666666666666668</v>
      </c>
      <c r="AA61" s="89">
        <f ca="1">INDEX(INDIRECT("CAM_WTPCore2_"&amp;$B61&amp;"_UnitValues"),2,MATCH("MEAN",LMH,0))</f>
        <v>10.189737398103325</v>
      </c>
      <c r="AB61" s="429">
        <f ca="1">AA61*($S61-$T61)*(AllProps_CAM/NHHProps_CAM)</f>
        <v>1.4278322090836246</v>
      </c>
      <c r="AC61" s="16">
        <f ca="1">X61*AA$66/X$65</f>
        <v>3.8371549885836457E-3</v>
      </c>
      <c r="AD61" s="243" t="str">
        <f>Q61</f>
        <v>Property affected</v>
      </c>
      <c r="AE61" s="672">
        <f ca="1">(AC61*NHHProps_CAM)/((S61-T61)*AllProps_CAM)</f>
        <v>2.738389107679777E-2</v>
      </c>
    </row>
    <row r="62" spans="1:31" x14ac:dyDescent="0.35">
      <c r="A62" s="7" t="s">
        <v>1010</v>
      </c>
      <c r="B62" s="7" t="s">
        <v>144</v>
      </c>
      <c r="C62" s="7" t="str">
        <f>B62</f>
        <v>TempBan</v>
      </c>
      <c r="D62" s="377" t="s">
        <v>127</v>
      </c>
      <c r="E62" s="433">
        <f ca="1">INDEX(INDIRECT("ExtWTP_NEUseBan_UnitValues"),2,2)</f>
        <v>1352</v>
      </c>
      <c r="F62" s="383">
        <f t="shared" ca="1" si="28"/>
        <v>2.5000000000000001E-2</v>
      </c>
      <c r="G62" s="383">
        <f t="shared" ca="1" si="28"/>
        <v>1.6666666666666666E-2</v>
      </c>
      <c r="H62" s="431">
        <f ca="1">INDEX(INDIRECT("SSW_WTPCore2_"&amp;$B62&amp;"_LevelValues"),2,MATCH("S1 MEAN",WTPCore2_LevelValues,0))</f>
        <v>1.0363458862342743E-3</v>
      </c>
      <c r="I62" s="431">
        <f ca="1">INDEX(INDIRECT("SSW_WTPCore2_"&amp;$B62&amp;"_LevelValues"),2,MATCH("S2 MEAN",WTPCore2_LevelValues,0))</f>
        <v>6.2724159084084235E-4</v>
      </c>
      <c r="J62" s="431">
        <f ca="1">SUM(H62:I62)</f>
        <v>1.6635874770751166E-3</v>
      </c>
      <c r="K62" s="213">
        <f ca="1">E62*(F62-G62)</f>
        <v>11.266666666666669</v>
      </c>
      <c r="L62" s="605">
        <f ca="1">INDEX(INDIRECT("SSW_WTPCore_DCE_"&amp;$C62&amp;"_UnitValues"),MATCH("COMBINED-NHH",WTPCore_Group,0),MATCH("MEAN",LMH,0))</f>
        <v>159200.29439999998</v>
      </c>
      <c r="M62" s="429">
        <f ca="1">L62*(F62-G62)/NHHProps_SSW*100</f>
        <v>4.4240000000000004</v>
      </c>
      <c r="N62" s="245">
        <f ca="1">INDEX(INDIRECT("SSW_WTPCore2_"&amp;$C62&amp;"_UnitValues"),2,MATCH("MEAN",LMH,0))</f>
        <v>264843.61611051176</v>
      </c>
      <c r="O62" s="429">
        <f ca="1">N62*(F62-G62)/NHHProps_SSW*100</f>
        <v>7.3597109985803169</v>
      </c>
      <c r="P62" s="16">
        <f t="shared" ref="P62:P64" ca="1" si="30">K62*N$66/K$65</f>
        <v>48.72474160520251</v>
      </c>
      <c r="Q62" s="477" t="s">
        <v>145</v>
      </c>
      <c r="R62" s="391">
        <f ca="1">P62*NHHProps_SSW/((F62-G62)*100)</f>
        <v>1753389.0615081752</v>
      </c>
      <c r="S62" s="383">
        <f t="shared" ca="1" si="29"/>
        <v>0.02</v>
      </c>
      <c r="T62" s="383">
        <f t="shared" ca="1" si="29"/>
        <v>1.3333333333333334E-2</v>
      </c>
      <c r="U62" s="431">
        <f ca="1">INDEX(INDIRECT("CAM_WTPCore2_"&amp;$B62&amp;"_LevelValues"),2,MATCH("S1 MEAN",WTPCore2_LevelValues,0))</f>
        <v>1.3694025744847137E-3</v>
      </c>
      <c r="V62" s="431">
        <f ca="1">INDEX(INDIRECT("CAM_WTPCore2_"&amp;$B62&amp;"_LevelValues"),2,MATCH("S2 MEAN",WTPCore2_LevelValues,0))</f>
        <v>1.1073984405910726E-3</v>
      </c>
      <c r="W62" s="431">
        <f t="shared" ref="W62:W64" ca="1" si="31">SUM(U62:V62)</f>
        <v>2.4768010150757864E-3</v>
      </c>
      <c r="X62" s="213">
        <f t="shared" ref="X62" ca="1" si="32">E62*(S62-T62)</f>
        <v>9.0133333333333319</v>
      </c>
      <c r="Y62" s="429">
        <f ca="1">INDEX(INDIRECT("CAM_WTPCore_"&amp;$C62&amp;"_UnitValues"),MATCH("COMBINED-NHH",WTPCore_Group,0),MATCH("MEAN",LMH,0))</f>
        <v>950206.4639999998</v>
      </c>
      <c r="Z62" s="429">
        <f ca="1">Y62*(S62-T62)/NHHProps_CAM*100</f>
        <v>73.727999999999966</v>
      </c>
      <c r="AA62" s="89">
        <f ca="1">INDEX(INDIRECT("CAM_WTPCore2_"&amp;$B62&amp;"_UnitValues"),2,MATCH("MEAN",LMH,0))</f>
        <v>163435.57878935931</v>
      </c>
      <c r="AB62" s="429">
        <f ca="1">AA62*(S62-T62)/NHHProps_CAM*100</f>
        <v>12.681221197188025</v>
      </c>
      <c r="AC62" s="16">
        <f t="shared" ref="AC62:AC64" ca="1" si="33">X62*AA$66/X$65</f>
        <v>5.3899569294182719E-3</v>
      </c>
      <c r="AD62" s="243" t="str">
        <f>Q62</f>
        <v>1% change in risk</v>
      </c>
      <c r="AE62" s="668">
        <f ca="1">(AC62*NHHProps_CAM)/((S62-T62)*100)</f>
        <v>69.465764906342685</v>
      </c>
    </row>
    <row r="63" spans="1:31" x14ac:dyDescent="0.35">
      <c r="A63" s="7" t="s">
        <v>949</v>
      </c>
      <c r="B63" s="7" t="s">
        <v>136</v>
      </c>
      <c r="C63" s="7" t="str">
        <f>B63</f>
        <v>Hardness</v>
      </c>
      <c r="D63" s="377" t="s">
        <v>127</v>
      </c>
      <c r="E63" s="124">
        <f ca="1">INDEX(INDIRECT("ExtWTP_"&amp;$C63&amp;"_UnitValues"),MATCH(A$60, INDIRECT("ExtWTP_Comps_"&amp;C63),0),MATCH("NHH",ExtWTP_Group,0))</f>
        <v>1</v>
      </c>
      <c r="F63" s="444">
        <f t="shared" ca="1" si="28"/>
        <v>0</v>
      </c>
      <c r="G63" s="444">
        <f t="shared" ca="1" si="28"/>
        <v>4000</v>
      </c>
      <c r="H63" s="431">
        <f ca="1">INDEX(INDIRECT("SSW_WTPCore2_"&amp;$B63&amp;"_LevelValues"),2,MATCH("S1 MEAN",WTPCore2_LevelValues,0))</f>
        <v>4.1590321254674992E-3</v>
      </c>
      <c r="I63" s="431">
        <f ca="1">INDEX(INDIRECT("SSW_WTPCore2_"&amp;$B63&amp;"_LevelValues"),2,MATCH("S2 MEAN",WTPCore2_LevelValues,0))</f>
        <v>5.1578958405461544E-4</v>
      </c>
      <c r="J63" s="431">
        <f ca="1">SUM(H63:I63)</f>
        <v>4.6748217095221147E-3</v>
      </c>
      <c r="K63" s="213">
        <f ca="1">-E63*(F63-G63)/NHHProps_SSW</f>
        <v>0.13338668800853676</v>
      </c>
      <c r="L63" s="429">
        <f ca="1">INDEX(INDIRECT("SSW_WTPCore_DCE_"&amp;$C63&amp;"_UnitValues"),MATCH("COMBINED-NHH",WTPCore_Group,0),MATCH("MEAN",LMH,0))</f>
        <v>8.1544398647758722</v>
      </c>
      <c r="M63" s="429">
        <f ca="1">-L63*(F63-G63)/NHHProps_SSW</f>
        <v>1.0876937261272339</v>
      </c>
      <c r="N63" s="89">
        <f ca="1">INDEX(INDIRECT("SSW_WTPCore2_"&amp;$C63&amp;"_UnitValues"),2,MATCH("MEAN",LMH,0))</f>
        <v>155.04854008821499</v>
      </c>
      <c r="O63" s="429">
        <f ca="1">-N63*(F63-G63)/NHHProps_SSW</f>
        <v>20.681411242925837</v>
      </c>
      <c r="P63" s="16">
        <f t="shared" ca="1" si="30"/>
        <v>0.57685490296950148</v>
      </c>
      <c r="Q63" s="377" t="s">
        <v>127</v>
      </c>
      <c r="R63" s="391">
        <f ca="1">-P63*NHHProps_SSW/((F63-G63))</f>
        <v>4.3246812075623531</v>
      </c>
      <c r="S63" s="444">
        <f t="shared" ca="1" si="29"/>
        <v>0</v>
      </c>
      <c r="T63" s="444">
        <f t="shared" ca="1" si="29"/>
        <v>1350</v>
      </c>
      <c r="U63" s="431">
        <f ca="1">INDEX(INDIRECT("CAM_WTPCore2_"&amp;$B63&amp;"_LevelValues"),2,MATCH("S1 MEAN",WTPCore2_LevelValues,0))</f>
        <v>5.8970314160098417E-2</v>
      </c>
      <c r="V63" s="431">
        <f ca="1">INDEX(INDIRECT("CAM_WTPCore2_"&amp;$B63&amp;"_LevelValues"),2,MATCH("S2 MEAN",WTPCore2_LevelValues,0))</f>
        <v>4.2450333610873081E-4</v>
      </c>
      <c r="W63" s="431">
        <f t="shared" ca="1" si="31"/>
        <v>5.9394817496207147E-2</v>
      </c>
      <c r="X63" s="213">
        <f ca="1">-E63*(S63-T63)</f>
        <v>1350</v>
      </c>
      <c r="Y63" s="429">
        <f ca="1">INDEX(INDIRECT("CAM_WTPCore_"&amp;$C63&amp;"_UnitValues"),MATCH("COMBINED-NHH",WTPCore_Group,0),MATCH("MEAN",LMH,0))</f>
        <v>4.8718568046845796</v>
      </c>
      <c r="Z63" s="429">
        <f ca="1">-Y63*(S63-T63)/NHHProps_CAM</f>
        <v>0.76548029403214413</v>
      </c>
      <c r="AA63" s="89">
        <f ca="1">INDEX(INDIRECT("CAM_WTPCore2_"&amp;$B63&amp;"_UnitValues"),2,MATCH("MEAN",LMH,0))</f>
        <v>1935.4368831617396</v>
      </c>
      <c r="AB63" s="429">
        <f ca="1">-AA63*(S63-T63)/NHHProps_CAM</f>
        <v>304.10146558058057</v>
      </c>
      <c r="AC63" s="16">
        <f t="shared" ca="1" si="33"/>
        <v>0.80729754305266288</v>
      </c>
      <c r="AD63" s="243" t="str">
        <f>Q63</f>
        <v>Property affected</v>
      </c>
      <c r="AE63" s="668">
        <f ca="1">(AC63*NHHProps_CAM)/((S63-T63)*AllProps_CAM)</f>
        <v>-3.5563494904932172E-5</v>
      </c>
    </row>
    <row r="64" spans="1:31" x14ac:dyDescent="0.35">
      <c r="A64" s="7" t="s">
        <v>40</v>
      </c>
      <c r="B64" s="7" t="s">
        <v>40</v>
      </c>
      <c r="C64" s="7" t="s">
        <v>40</v>
      </c>
      <c r="D64" s="377" t="s">
        <v>728</v>
      </c>
      <c r="E64" s="124">
        <f ca="1">INDEX(INDIRECT("ExtWTP_"&amp;$C64&amp;"_UnitValues"),MATCH(A$60, INDIRECT("ExtWTP_Comps_"&amp;C64),0),MATCH("NHH",ExtWTP_Group,0))</f>
        <v>118800</v>
      </c>
      <c r="F64" s="444">
        <f t="shared" ca="1" si="28"/>
        <v>70.5</v>
      </c>
      <c r="G64" s="444">
        <f t="shared" ca="1" si="28"/>
        <v>35.25</v>
      </c>
      <c r="H64" s="431">
        <f ca="1">INDEX(INDIRECT("SSW_WTPCore2_"&amp;$B64&amp;"_LevelValues"),2,MATCH("S1 MEAN",WTPCore2_LevelValues,0))</f>
        <v>1.8366495603833657E-2</v>
      </c>
      <c r="I64" s="431">
        <f ca="1">INDEX(INDIRECT("SSW_WTPCore2_"&amp;$B64&amp;"_LevelValues"),2,MATCH("S2 MEAN",WTPCore2_LevelValues,0))</f>
        <v>6.6875105310339848E-3</v>
      </c>
      <c r="J64" s="431">
        <f ca="1">SUM(H64:I64)</f>
        <v>2.5054006134867642E-2</v>
      </c>
      <c r="K64" s="213">
        <f ca="1">E64*(F64-G64)/AllProps_SSW</f>
        <v>7.3542608772006846</v>
      </c>
      <c r="L64" s="429">
        <f ca="1">INDEX(INDIRECT("SSW_WTPCore_DCE_"&amp;$C64&amp;"_UnitValues"),MATCH("COMBINED-NHH",WTPCore_Group,0),MATCH("MEAN",LMH,0))</f>
        <v>18818.001702127662</v>
      </c>
      <c r="M64" s="429">
        <f ca="1">L64*(F64-G64)/NHHProps_SSW</f>
        <v>22.12</v>
      </c>
      <c r="N64" s="89">
        <f ca="1">INDEX(INDIRECT("SSW_WTPCore2_"&amp;$C64&amp;"_UnitValues"),2,MATCH("MEAN",LMH,0))</f>
        <v>94293.266018211216</v>
      </c>
      <c r="O64" s="429">
        <f ca="1">N64*(F64-G64)/NHHProps_SSW</f>
        <v>110.83892314065444</v>
      </c>
      <c r="P64" s="16">
        <f t="shared" ca="1" si="30"/>
        <v>31.804833811140821</v>
      </c>
      <c r="Q64" s="377" t="s">
        <v>728</v>
      </c>
      <c r="R64" s="391">
        <f ca="1">P64*NHHProps_SSW/((F64-G64))</f>
        <v>27057.116491588393</v>
      </c>
      <c r="S64" s="444">
        <f t="shared" ca="1" si="29"/>
        <v>13.5</v>
      </c>
      <c r="T64" s="444">
        <f t="shared" ca="1" si="29"/>
        <v>6.75</v>
      </c>
      <c r="U64" s="431">
        <f ca="1">INDEX(INDIRECT("CAM_WTPCore2_"&amp;$B64&amp;"_LevelValues"),2,MATCH("S1 MEAN",WTPCore2_LevelValues,0))</f>
        <v>7.1569068986342493E-2</v>
      </c>
      <c r="V64" s="431">
        <f ca="1">INDEX(INDIRECT("CAM_WTPCore2_"&amp;$B64&amp;"_LevelValues"),2,MATCH("S2 MEAN",WTPCore2_LevelValues,0))</f>
        <v>3.5284810800562588E-2</v>
      </c>
      <c r="W64" s="431">
        <f t="shared" ca="1" si="31"/>
        <v>0.10685387978690508</v>
      </c>
      <c r="X64" s="213">
        <f ca="1">E64*(S64-T64)</f>
        <v>801900</v>
      </c>
      <c r="Y64" s="429">
        <f ca="1">INDEX(INDIRECT("CAM_WTPCore_"&amp;$C64&amp;"_UnitValues"),MATCH("COMBINED-NHH",WTPCore_Group,0),MATCH("MEAN",LMH,0))</f>
        <v>13034.382222222222</v>
      </c>
      <c r="Z64" s="429">
        <f ca="1">Y64*(S64-T64)/NHHProps_CAM</f>
        <v>10.24</v>
      </c>
      <c r="AA64" s="89">
        <f ca="1">INDEX(INDIRECT("CAM_WTPCore2_"&amp;$B64&amp;"_UnitValues"),2,MATCH("MEAN",LMH,0))</f>
        <v>696387.155534953</v>
      </c>
      <c r="AB64" s="429">
        <f ca="1">AA64*(S64-T64)/NHHProps_CAM</f>
        <v>547.09186450895402</v>
      </c>
      <c r="AC64" s="16">
        <f t="shared" ca="1" si="33"/>
        <v>479.53474057328179</v>
      </c>
      <c r="AD64" s="243" t="s">
        <v>728</v>
      </c>
      <c r="AE64" s="668">
        <f ca="1">AC64*NHHProps_CAM/((S64-T64))</f>
        <v>610394.44311194622</v>
      </c>
    </row>
    <row r="65" spans="1:31" x14ac:dyDescent="0.35">
      <c r="D65" s="377"/>
      <c r="E65" s="387" t="s">
        <v>1017</v>
      </c>
      <c r="F65" s="385"/>
      <c r="G65" s="385"/>
      <c r="H65" s="321"/>
      <c r="I65" s="321"/>
      <c r="J65" s="330">
        <f ca="1">SUM(J61:J64)*AvgNHHBill_SSW</f>
        <v>141.74151912643234</v>
      </c>
      <c r="K65" s="331">
        <f ca="1">SUM(K61:K64)</f>
        <v>21.962647565209224</v>
      </c>
      <c r="L65" s="331"/>
      <c r="M65" s="331">
        <f ca="1">SUM(M61:M64)</f>
        <v>48.221379260718436</v>
      </c>
      <c r="N65" s="331"/>
      <c r="O65" s="331">
        <f ca="1">SUM(O61:O64)</f>
        <v>141.74151912643234</v>
      </c>
      <c r="P65" s="331">
        <f ca="1">SUM(P61:P64)</f>
        <v>94.981449193575386</v>
      </c>
      <c r="Q65" s="663"/>
      <c r="R65" s="666"/>
      <c r="S65" s="385"/>
      <c r="T65" s="385"/>
      <c r="U65" s="321"/>
      <c r="V65" s="321"/>
      <c r="W65" s="610">
        <f ca="1">SUM(W61:W64)*AvgNHHBill_CAM</f>
        <v>865.30238349580623</v>
      </c>
      <c r="X65" s="331">
        <f ca="1">SUM(X61:X64)</f>
        <v>803265.43</v>
      </c>
      <c r="Y65" s="331"/>
      <c r="Z65" s="331">
        <f ca="1">SUM(Z61:Z64)</f>
        <v>95.400146960698777</v>
      </c>
      <c r="AA65" s="331"/>
      <c r="AB65" s="331">
        <f ca="1">SUM(AB61:AB64)</f>
        <v>865.30238349580623</v>
      </c>
      <c r="AC65" s="331">
        <f ca="1">SUM(AC61:AC64)</f>
        <v>480.35126522825249</v>
      </c>
      <c r="AE65" s="668"/>
    </row>
    <row r="66" spans="1:31" x14ac:dyDescent="0.35">
      <c r="A66" s="50"/>
      <c r="B66" s="50"/>
      <c r="C66" s="50"/>
      <c r="D66" s="379"/>
      <c r="E66" s="14"/>
      <c r="F66" s="384"/>
      <c r="G66" s="384"/>
      <c r="H66" s="384"/>
      <c r="I66" s="384"/>
      <c r="J66" s="384"/>
      <c r="K66" s="25"/>
      <c r="L66" s="25"/>
      <c r="M66" s="39" t="s">
        <v>361</v>
      </c>
      <c r="N66" s="546">
        <f ca="1">AVERAGE(M65,O65)</f>
        <v>94.981449193575386</v>
      </c>
      <c r="O66" s="39"/>
      <c r="P66" s="410"/>
      <c r="Q66" s="50"/>
      <c r="R66" s="467"/>
      <c r="S66" s="384"/>
      <c r="T66" s="384"/>
      <c r="U66" s="384"/>
      <c r="V66" s="384"/>
      <c r="W66" s="384"/>
      <c r="X66" s="25"/>
      <c r="Y66" s="25"/>
      <c r="Z66" s="39" t="s">
        <v>361</v>
      </c>
      <c r="AA66" s="609">
        <f ca="1">AVERAGE(Z65,AB65)</f>
        <v>480.35126522825249</v>
      </c>
      <c r="AB66" s="39"/>
      <c r="AC66" s="410"/>
      <c r="AD66" s="50"/>
      <c r="AE66" s="669"/>
    </row>
    <row r="67" spans="1:31" x14ac:dyDescent="0.35">
      <c r="A67" s="51" t="s">
        <v>100</v>
      </c>
      <c r="D67" s="377"/>
      <c r="E67" s="124"/>
      <c r="F67" s="16"/>
      <c r="G67" s="16"/>
      <c r="H67" s="16"/>
      <c r="I67" s="16"/>
      <c r="J67" s="16"/>
      <c r="K67" s="169"/>
      <c r="L67" s="169"/>
      <c r="M67" s="169"/>
      <c r="N67" s="169"/>
      <c r="O67" s="169"/>
      <c r="P67"/>
      <c r="R67" s="466"/>
      <c r="S67" s="16"/>
      <c r="T67" s="16"/>
      <c r="U67" s="16"/>
      <c r="V67" s="16"/>
      <c r="W67" s="16"/>
      <c r="X67" s="169"/>
      <c r="Y67" s="169"/>
      <c r="Z67" s="169"/>
      <c r="AA67" s="169"/>
      <c r="AB67" s="169"/>
      <c r="AC67"/>
      <c r="AE67" s="668"/>
    </row>
    <row r="68" spans="1:31" x14ac:dyDescent="0.35">
      <c r="A68" s="7" t="s">
        <v>129</v>
      </c>
      <c r="B68" s="7" t="s">
        <v>130</v>
      </c>
      <c r="C68" s="7" t="str">
        <f>B68</f>
        <v>Discolour</v>
      </c>
      <c r="D68" s="377" t="s">
        <v>127</v>
      </c>
      <c r="E68" s="124">
        <f ca="1">INDEX(INDIRECT("ExtWTP_"&amp;$C68&amp;"_UnitValues"),MATCH(A$67, INDIRECT("ExtWTP_Comps_"&amp;C68),0),MATCH("NHH",ExtWTP_Group,0))</f>
        <v>1373</v>
      </c>
      <c r="F68" s="383">
        <f t="shared" ref="F68:G72" ca="1" si="34">INDEX(INDIRECT("SSW_WTPCore2_"&amp;$B68&amp;"_Levels"),2,MATCH(F$4,WTPCore2_AttLevels,0))</f>
        <v>6.6666666666666666E-2</v>
      </c>
      <c r="G68" s="383">
        <f t="shared" ca="1" si="34"/>
        <v>0.04</v>
      </c>
      <c r="H68" s="431">
        <f ca="1">INDEX(INDIRECT("SSW_WTPCore2_"&amp;$B68&amp;"_LevelValues"),2,MATCH("S1 MEAN",WTPCore2_LevelValues,0))</f>
        <v>1.9376915692789636E-2</v>
      </c>
      <c r="I68" s="431">
        <f ca="1">INDEX(INDIRECT("SSW_WTPCore2_"&amp;$B68&amp;"_LevelValues"),2,MATCH("S2 MEAN",WTPCore2_LevelValues,0))</f>
        <v>4.9841954334050795E-4</v>
      </c>
      <c r="J68" s="431">
        <f ca="1">SUM(H68:I68)</f>
        <v>1.9875335236130144E-2</v>
      </c>
      <c r="K68" s="213">
        <f ca="1">E68*(F68-G68)</f>
        <v>36.61333333333333</v>
      </c>
      <c r="L68" s="429">
        <f ca="1">INDEX(INDIRECT("SSW_WTPCore_DCE_"&amp;$C68&amp;"_UnitValues"),MATCH("COMBINED-NHH",WTPCore_Group,0),MATCH("MEAN",LMH,0))</f>
        <v>37.156930418313699</v>
      </c>
      <c r="M68" s="429">
        <f ca="1">L68*(F68-G68)*(AllProps_SSW/NHHProps_SSW)</f>
        <v>18.814712643678163</v>
      </c>
      <c r="N68" s="89">
        <f ca="1">INDEX(INDIRECT("SSW_WTPCore2_"&amp;$C68&amp;"_UnitValues"),2,MATCH("MEAN",LMH,0))</f>
        <v>173.64881354494736</v>
      </c>
      <c r="O68" s="429">
        <f ca="1">N68*($F68-$G68)*(AllProps_SSW/NHHProps_SSW)</f>
        <v>87.928483084639765</v>
      </c>
      <c r="P68" s="16">
        <f ca="1">K68*N$74/K$73</f>
        <v>48.118797267597557</v>
      </c>
      <c r="Q68" s="377" t="s">
        <v>127</v>
      </c>
      <c r="R68" s="391">
        <f ca="1">P68*NHHProps_SSW/((F68-G68)*AllProps_SSW)</f>
        <v>95.029184646400907</v>
      </c>
      <c r="S68" s="383">
        <f t="shared" ref="S68:T72" ca="1" si="35">INDEX(INDIRECT("CAM_WTPCore2_"&amp;$B68&amp;"_Levels"),2,MATCH(S$4,WTPCore2_AttLevels,0))</f>
        <v>2.2222222222222223E-2</v>
      </c>
      <c r="T68" s="383">
        <f t="shared" ca="1" si="35"/>
        <v>1.5384615384615385E-2</v>
      </c>
      <c r="U68" s="431">
        <f ca="1">INDEX(INDIRECT("CAM_WTPCore2_"&amp;$B68&amp;"_LevelValues"),2,MATCH("S1 MEAN",WTPCore2_LevelValues,0))</f>
        <v>5.6414013673365619E-2</v>
      </c>
      <c r="V68" s="431">
        <f ca="1">INDEX(INDIRECT("CAM_WTPCore2_"&amp;$B68&amp;"_LevelValues"),2,MATCH("S2 MEAN",WTPCore2_LevelValues,0))</f>
        <v>1.4754621463399648E-4</v>
      </c>
      <c r="W68" s="431">
        <f ca="1">SUM(U68:V68)</f>
        <v>5.6561559887999616E-2</v>
      </c>
      <c r="X68" s="213">
        <f ca="1">E68*(S68-T68)</f>
        <v>9.3880341880341884</v>
      </c>
      <c r="Y68" s="429">
        <f ca="1">INDEX(INDIRECT("CAM_WTPCore_"&amp;$C68&amp;"_UnitValues"),MATCH("COMBINED-NHH",WTPCore_Group,0),MATCH("MEAN",LMH,0))</f>
        <v>243.59284023422896</v>
      </c>
      <c r="Z68" s="429">
        <f ca="1">Y68*(S68-T68)*(AllProps_CAM/NHHProps_CAM)</f>
        <v>28.006837606837603</v>
      </c>
      <c r="AA68" s="89">
        <f ca="1">INDEX(INDIRECT("CAM_WTPCore2_"&amp;$B68&amp;"_UnitValues"),2,MATCH("MEAN",LMH,0))</f>
        <v>2518.7889835624424</v>
      </c>
      <c r="AB68" s="429">
        <f ca="1">AA68*($S68-$T68)*(AllProps_CAM/NHHProps_CAM)</f>
        <v>289.59518662655807</v>
      </c>
      <c r="AC68" s="16">
        <f ca="1">X68*AA$74/X$73</f>
        <v>83.788578890229971</v>
      </c>
      <c r="AD68" s="243" t="str">
        <f>Q68</f>
        <v>Property affected</v>
      </c>
      <c r="AE68" s="668">
        <f ca="1">(AC68*NHHProps_CAM)/((S68-T68)*AllProps_CAM)</f>
        <v>728.76124743472997</v>
      </c>
    </row>
    <row r="69" spans="1:31" x14ac:dyDescent="0.35">
      <c r="A69" s="7" t="s">
        <v>131</v>
      </c>
      <c r="B69" s="7" t="s">
        <v>132</v>
      </c>
      <c r="C69" s="7" t="str">
        <f>B69</f>
        <v>TasteSmell</v>
      </c>
      <c r="D69" s="377" t="s">
        <v>127</v>
      </c>
      <c r="E69" s="124">
        <f ca="1">INDEX(INDIRECT("ExtWTP_"&amp;$C69&amp;"_UnitValues"),MATCH(A$67, INDIRECT("ExtWTP_Comps_"&amp;C69),0),MATCH("NHH",ExtWTP_Group,0))</f>
        <v>2965</v>
      </c>
      <c r="F69" s="383">
        <f t="shared" ca="1" si="34"/>
        <v>1.6666666666666666E-2</v>
      </c>
      <c r="G69" s="383">
        <f t="shared" ca="1" si="34"/>
        <v>1.1111111111111112E-2</v>
      </c>
      <c r="H69" s="431">
        <f ca="1">INDEX(INDIRECT("SSW_WTPCore2_"&amp;$B69&amp;"_LevelValues"),2,MATCH("S1 MEAN",WTPCore2_LevelValues,0))</f>
        <v>3.6865032727528453E-3</v>
      </c>
      <c r="I69" s="431">
        <f ca="1">INDEX(INDIRECT("SSW_WTPCore2_"&amp;$B69&amp;"_LevelValues"),2,MATCH("S2 MEAN",WTPCore2_LevelValues,0))</f>
        <v>5.1592292451456759E-6</v>
      </c>
      <c r="J69" s="431">
        <f ca="1">SUM(H69:I69)</f>
        <v>3.691662501997991E-3</v>
      </c>
      <c r="K69" s="213">
        <f ca="1">E69*(F69-G69)</f>
        <v>16.472222222222221</v>
      </c>
      <c r="L69" s="429">
        <f ca="1">INDEX(INDIRECT("SSW_WTPCore_DCE_"&amp;$B69&amp;"_UnitValues"),MATCH("COMBINED-NHH",WTPCore_Group,0),MATCH("MEAN",LMH,0))</f>
        <v>59.451088669301917</v>
      </c>
      <c r="M69" s="429">
        <f ca="1">L69*(F69-G69)*(AllProps_SSW/NHHProps_SSW)</f>
        <v>6.2715708812260536</v>
      </c>
      <c r="N69" s="89">
        <f ca="1">INDEX(INDIRECT("SSW_WTPCore2_"&amp;$B69&amp;"_UnitValues"),2,MATCH("MEAN",LMH,0))</f>
        <v>154.81769077846621</v>
      </c>
      <c r="O69" s="429">
        <f ca="1">N69*($F69-$G69)*(AllProps_SSW/NHHProps_SSW)</f>
        <v>16.331914908839114</v>
      </c>
      <c r="P69" s="16">
        <f t="shared" ref="P69:P72" ca="1" si="36">K69*N$74/K$73</f>
        <v>21.648493854459026</v>
      </c>
      <c r="Q69" s="377" t="s">
        <v>127</v>
      </c>
      <c r="R69" s="391">
        <f ca="1">P69*NHHProps_SSW/((F69-G69)*AllProps_SSW)</f>
        <v>205.2159741271513</v>
      </c>
      <c r="S69" s="383">
        <f t="shared" ca="1" si="35"/>
        <v>1.4285714285714285E-2</v>
      </c>
      <c r="T69" s="383">
        <f t="shared" ca="1" si="35"/>
        <v>0.01</v>
      </c>
      <c r="U69" s="431">
        <f ca="1">INDEX(INDIRECT("CAM_WTPCore2_"&amp;$B69&amp;"_LevelValues"),2,MATCH("S1 MEAN",WTPCore2_LevelValues,0))</f>
        <v>4.257264223936371E-2</v>
      </c>
      <c r="V69" s="431">
        <f ca="1">INDEX(INDIRECT("CAM_WTPCore2_"&amp;$B69&amp;"_LevelValues"),2,MATCH("S2 MEAN",WTPCore2_LevelValues,0))</f>
        <v>1.0971349631991048E-2</v>
      </c>
      <c r="W69" s="431">
        <f t="shared" ref="W69:W72" ca="1" si="37">SUM(U69:V69)</f>
        <v>5.3543991871354758E-2</v>
      </c>
      <c r="X69" s="213">
        <f t="shared" ref="X69:X72" ca="1" si="38">E69*(S69-T69)</f>
        <v>12.707142857142856</v>
      </c>
      <c r="Y69" s="429">
        <f ca="1">INDEX(INDIRECT("CAM_WTPCore_"&amp;$C69&amp;"_UnitValues"),MATCH("COMBINED-NHH",WTPCore_Group,0),MATCH("MEAN",LMH,0))</f>
        <v>152.24552514639311</v>
      </c>
      <c r="Z69" s="429">
        <f ca="1">Y69*(S69-T69)*(AllProps_CAM/NHHProps_CAM)</f>
        <v>10.97142857142857</v>
      </c>
      <c r="AA69" s="89">
        <f ca="1">INDEX(INDIRECT("CAM_WTPCore2_"&amp;$B69&amp;"_UnitValues"),2,MATCH("MEAN",LMH,0))</f>
        <v>3804.1888084146854</v>
      </c>
      <c r="AB69" s="429">
        <f ca="1">AA69*($S69-$T69)*(AllProps_CAM/NHHProps_CAM)</f>
        <v>274.14523838133641</v>
      </c>
      <c r="AC69" s="16">
        <f t="shared" ref="AC69:AC72" ca="1" si="39">X69*AA$74/X$73</f>
        <v>113.41175590436177</v>
      </c>
      <c r="AD69" s="243" t="str">
        <f>Q69</f>
        <v>Property affected</v>
      </c>
      <c r="AE69" s="668">
        <f ca="1">(AC69*NHHProps_CAM)/((S69-T69)*AllProps_CAM)</f>
        <v>1573.7633639067551</v>
      </c>
    </row>
    <row r="70" spans="1:31" x14ac:dyDescent="0.35">
      <c r="A70" s="7" t="s">
        <v>855</v>
      </c>
      <c r="B70" s="7" t="s">
        <v>138</v>
      </c>
      <c r="C70" s="7" t="s">
        <v>1008</v>
      </c>
      <c r="D70" s="377" t="s">
        <v>127</v>
      </c>
      <c r="E70" s="124">
        <f ca="1">INDEX(INDIRECT("ExtWTP_"&amp;$C70&amp;"_UnitValues"),MATCH(A$67, INDIRECT("ExtWTP_Comps_"&amp;C70),0),MATCH("NHH",ExtWTP_Group,0))</f>
        <v>1026</v>
      </c>
      <c r="F70" s="383">
        <f t="shared" ca="1" si="34"/>
        <v>1.2500000000000001E-2</v>
      </c>
      <c r="G70" s="383">
        <f t="shared" ca="1" si="34"/>
        <v>8.3333333333333332E-3</v>
      </c>
      <c r="H70" s="431">
        <f ca="1">INDEX(INDIRECT("SSW_WTPCore2_"&amp;$B70&amp;"_LevelValues"),2,MATCH("S1 MEAN",WTPCore2_LevelValues,0))</f>
        <v>2.3562800507588295E-4</v>
      </c>
      <c r="I70" s="431">
        <f ca="1">INDEX(INDIRECT("SSW_WTPCore2_"&amp;$B70&amp;"_LevelValues"),2,MATCH("S2 MEAN",WTPCore2_LevelValues,0))</f>
        <v>4.1117889914467278E-4</v>
      </c>
      <c r="J70" s="431">
        <f ca="1">SUM(H70:I70)</f>
        <v>6.4680690422055573E-4</v>
      </c>
      <c r="K70" s="213">
        <f ca="1">E70*(F70-G70)</f>
        <v>4.2750000000000012</v>
      </c>
      <c r="L70" s="429">
        <f ca="1">INDEX(INDIRECT("SSW_WTPCore_DCE_"&amp;$B70&amp;"_UnitValues"),MATCH("COMBINED-NHH",WTPCore_Group,0),MATCH("MEAN",LMH,0))</f>
        <v>260.23872775996313</v>
      </c>
      <c r="M70" s="429">
        <f ca="1">L70*(F70-G70)*(AllProps_SSW/NHHProps_SSW)</f>
        <v>20.589685534591201</v>
      </c>
      <c r="N70" s="89">
        <f ca="1">INDEX(INDIRECT("SSW_WTPCore2_"&amp;$B70&amp;"_UnitValues"),2,MATCH("MEAN",LMH,0))</f>
        <v>36.166957745748803</v>
      </c>
      <c r="O70" s="429">
        <f ca="1">N70*($F70-$G70)*(AllProps_SSW/NHHProps_SSW)</f>
        <v>2.8614737442717386</v>
      </c>
      <c r="P70" s="16">
        <f t="shared" ca="1" si="36"/>
        <v>5.6183865163596041</v>
      </c>
      <c r="Q70" s="377" t="s">
        <v>127</v>
      </c>
      <c r="R70" s="391">
        <f ca="1">P70*NHHProps_SSW/((F70-G70)*AllProps_SSW)</f>
        <v>71.012340456815252</v>
      </c>
      <c r="S70" s="383">
        <f t="shared" ca="1" si="35"/>
        <v>2.5000000000000001E-2</v>
      </c>
      <c r="T70" s="383">
        <f t="shared" ca="1" si="35"/>
        <v>1.6666666666666666E-2</v>
      </c>
      <c r="U70" s="431">
        <f ca="1">INDEX(INDIRECT("CAM_WTPCore2_"&amp;$B70&amp;"_LevelValues"),2,MATCH("S1 MEAN",WTPCore2_LevelValues,0))</f>
        <v>2.654718763279678E-4</v>
      </c>
      <c r="V70" s="431">
        <f ca="1">INDEX(INDIRECT("CAM_WTPCore2_"&amp;$B70&amp;"_LevelValues"),2,MATCH("S2 MEAN",WTPCore2_LevelValues,0))</f>
        <v>1.3401602008677625E-5</v>
      </c>
      <c r="W70" s="431">
        <f t="shared" ca="1" si="37"/>
        <v>2.7887347833664542E-4</v>
      </c>
      <c r="X70" s="213">
        <f t="shared" ca="1" si="38"/>
        <v>8.5500000000000025</v>
      </c>
      <c r="Y70" s="429">
        <f ca="1">INDEX(INDIRECT("CAM_WTPCore_"&amp;$B70&amp;"_UnitValues"),MATCH("COMBINED-NHH",WTPCore_Group,0),MATCH("MEAN",LMH,0))</f>
        <v>76.122762573196539</v>
      </c>
      <c r="Z70" s="429">
        <f ca="1">Y70*(S70-T70)*(AllProps_CAM/NHHProps_CAM)</f>
        <v>10.666666666666668</v>
      </c>
      <c r="AA70" s="89">
        <f ca="1">INDEX(INDIRECT("CAM_WTPCore2_"&amp;$B70&amp;"_UnitValues"),2,MATCH("MEAN",LMH,0))</f>
        <v>10.189737398103325</v>
      </c>
      <c r="AB70" s="429">
        <f ca="1">AA70*($S70-$T70)*(AllProps_CAM/NHHProps_CAM)</f>
        <v>1.4278322090836246</v>
      </c>
      <c r="AC70" s="16">
        <f t="shared" ca="1" si="39"/>
        <v>76.309090397707195</v>
      </c>
      <c r="AD70" s="243" t="str">
        <f>Q70</f>
        <v>Property affected</v>
      </c>
      <c r="AE70" s="668">
        <f ca="1">(AC70*NHHProps_CAM)/((S70-T70)*AllProps_CAM)</f>
        <v>544.58050973636784</v>
      </c>
    </row>
    <row r="71" spans="1:31" x14ac:dyDescent="0.35">
      <c r="A71" s="7" t="s">
        <v>1010</v>
      </c>
      <c r="B71" s="7" t="s">
        <v>144</v>
      </c>
      <c r="C71" s="7" t="str">
        <f>B71</f>
        <v>TempBan</v>
      </c>
      <c r="D71" s="377" t="s">
        <v>127</v>
      </c>
      <c r="E71" s="124">
        <f ca="1">INDEX(INDIRECT("ExtWTP_"&amp;$C71&amp;"_UnitValues"),MATCH(A$67, INDIRECT("ExtWTP_Comps_"&amp;C71),0),MATCH("NHH",ExtWTP_Group,0))</f>
        <v>674</v>
      </c>
      <c r="F71" s="383">
        <f t="shared" ca="1" si="34"/>
        <v>2.5000000000000001E-2</v>
      </c>
      <c r="G71" s="383">
        <f t="shared" ca="1" si="34"/>
        <v>1.6666666666666666E-2</v>
      </c>
      <c r="H71" s="431">
        <f ca="1">INDEX(INDIRECT("SSW_WTPCore2_"&amp;$B71&amp;"_LevelValues"),2,MATCH("S1 MEAN",WTPCore2_LevelValues,0))</f>
        <v>1.0363458862342743E-3</v>
      </c>
      <c r="I71" s="431">
        <f ca="1">INDEX(INDIRECT("SSW_WTPCore2_"&amp;$B71&amp;"_LevelValues"),2,MATCH("S2 MEAN",WTPCore2_LevelValues,0))</f>
        <v>6.2724159084084235E-4</v>
      </c>
      <c r="J71" s="431">
        <f ca="1">SUM(H71:I71)</f>
        <v>1.6635874770751166E-3</v>
      </c>
      <c r="K71" s="213">
        <f ca="1">E71*(F71-G71)</f>
        <v>5.616666666666668</v>
      </c>
      <c r="L71" s="605">
        <f ca="1">INDEX(INDIRECT("SSW_WTPCore_DCE_"&amp;$C71&amp;"_UnitValues"),MATCH("COMBINED-NHH",WTPCore_Group,0),MATCH("MEAN",LMH,0))</f>
        <v>159200.29439999998</v>
      </c>
      <c r="M71" s="429">
        <f ca="1">L71*(F71-G71)/NHHProps_SSW*100</f>
        <v>4.4240000000000004</v>
      </c>
      <c r="N71" s="245">
        <f ca="1">INDEX(INDIRECT("SSW_WTPCore2_"&amp;$C71&amp;"_UnitValues"),2,MATCH("MEAN",LMH,0))</f>
        <v>264843.61611051176</v>
      </c>
      <c r="O71" s="429">
        <f ca="1">N71*(F71-G71)/NHHProps_SSW*100</f>
        <v>7.3597109985803169</v>
      </c>
      <c r="P71" s="16">
        <f t="shared" ca="1" si="36"/>
        <v>7.3816618168155417</v>
      </c>
      <c r="Q71" s="477" t="s">
        <v>145</v>
      </c>
      <c r="R71" s="391">
        <f ca="1">P71*NHHProps_SSW/((F71-G71)*100)</f>
        <v>265633.52947519731</v>
      </c>
      <c r="S71" s="383">
        <f t="shared" ca="1" si="35"/>
        <v>0.02</v>
      </c>
      <c r="T71" s="383">
        <f t="shared" ca="1" si="35"/>
        <v>1.3333333333333334E-2</v>
      </c>
      <c r="U71" s="431">
        <f ca="1">INDEX(INDIRECT("CAM_WTPCore2_"&amp;$B71&amp;"_LevelValues"),2,MATCH("S1 MEAN",WTPCore2_LevelValues,0))</f>
        <v>1.3694025744847137E-3</v>
      </c>
      <c r="V71" s="431">
        <f ca="1">INDEX(INDIRECT("CAM_WTPCore2_"&amp;$B71&amp;"_LevelValues"),2,MATCH("S2 MEAN",WTPCore2_LevelValues,0))</f>
        <v>1.1073984405910726E-3</v>
      </c>
      <c r="W71" s="431">
        <f t="shared" ca="1" si="37"/>
        <v>2.4768010150757864E-3</v>
      </c>
      <c r="X71" s="213">
        <f t="shared" ca="1" si="38"/>
        <v>4.4933333333333332</v>
      </c>
      <c r="Y71" s="429">
        <f ca="1">INDEX(INDIRECT("CAM_WTPCore_"&amp;$C71&amp;"_UnitValues"),MATCH("COMBINED-NHH",WTPCore_Group,0),MATCH("MEAN",LMH,0))</f>
        <v>950206.4639999998</v>
      </c>
      <c r="Z71" s="429">
        <f ca="1">Y71*(S71-T71)/NHHProps_CAM*100</f>
        <v>73.727999999999966</v>
      </c>
      <c r="AA71" s="89">
        <f ca="1">INDEX(INDIRECT("CAM_WTPCore2_"&amp;$B71&amp;"_UnitValues"),2,MATCH("MEAN",LMH,0))</f>
        <v>163435.57878935931</v>
      </c>
      <c r="AB71" s="429">
        <f ca="1">AA71*(S71-T71)/NHHProps_CAM*100</f>
        <v>12.681221197188025</v>
      </c>
      <c r="AC71" s="16">
        <f t="shared" ca="1" si="39"/>
        <v>40.103178891270666</v>
      </c>
      <c r="AD71" s="243" t="str">
        <f>Q71</f>
        <v>1% change in risk</v>
      </c>
      <c r="AE71" s="668">
        <f ca="1">(AC71*NHHProps_CAM)/((S71-T71)*100)</f>
        <v>516849.76955069636</v>
      </c>
    </row>
    <row r="72" spans="1:31" x14ac:dyDescent="0.35">
      <c r="A72" s="7" t="s">
        <v>929</v>
      </c>
      <c r="B72" s="7" t="s">
        <v>140</v>
      </c>
      <c r="C72" s="7" t="str">
        <f>B72</f>
        <v>LowPressure</v>
      </c>
      <c r="D72" s="377" t="s">
        <v>127</v>
      </c>
      <c r="E72" s="124">
        <f ca="1">INDEX(INDIRECT("ExtWTP_"&amp;$C72&amp;"_UnitValues"),MATCH(A$67, INDIRECT("ExtWTP_Comps_"&amp;C72),0),MATCH("NHH",ExtWTP_Group,0))</f>
        <v>246</v>
      </c>
      <c r="F72" s="383">
        <f t="shared" ca="1" si="34"/>
        <v>0.1</v>
      </c>
      <c r="G72" s="383">
        <f t="shared" ca="1" si="34"/>
        <v>6.6666666666666666E-2</v>
      </c>
      <c r="H72" s="431">
        <f ca="1">INDEX(INDIRECT("SSW_WTPCore2_"&amp;$B72&amp;"_LevelValues"),2,MATCH("S1 MEAN",WTPCore2_LevelValues,0))</f>
        <v>6.9813125314618224E-5</v>
      </c>
      <c r="I72" s="431">
        <f ca="1">INDEX(INDIRECT("SSW_WTPCore2_"&amp;$B72&amp;"_LevelValues"),2,MATCH("S2 MEAN",WTPCore2_LevelValues,0))</f>
        <v>4.2539865887973236E-4</v>
      </c>
      <c r="J72" s="431">
        <f ca="1">SUM(H72:I72)</f>
        <v>4.9521178419435058E-4</v>
      </c>
      <c r="K72" s="213">
        <f ca="1">E72*(F72-G72)</f>
        <v>8.2000000000000011</v>
      </c>
      <c r="L72" s="429">
        <f ca="1">INDEX(INDIRECT("SSW_WTPCore_DCE_"&amp;$C72&amp;"_UnitValues"),MATCH("COMBINED-NHH",WTPCore_Group,0),MATCH("MEAN",LMH,0))</f>
        <v>32.097263297522041</v>
      </c>
      <c r="M72" s="429">
        <f ca="1">L72*(F72-G72)*(AllProps_SSW/NHHProps_SSW)</f>
        <v>20.315886524822698</v>
      </c>
      <c r="N72" s="89">
        <f ca="1">INDEX(INDIRECT("SSW_WTPCore2_"&amp;$C72&amp;"_UnitValues"),2,MATCH("MEAN",LMH,0))</f>
        <v>3.461292612463883</v>
      </c>
      <c r="O72" s="429">
        <f ca="1">N72*($F72-$G72)*(AllProps_SSW/NHHProps_SSW)</f>
        <v>2.1908169332758067</v>
      </c>
      <c r="P72" s="16">
        <f t="shared" ca="1" si="36"/>
        <v>10.776788171730702</v>
      </c>
      <c r="Q72" s="377" t="s">
        <v>127</v>
      </c>
      <c r="R72" s="391">
        <f ca="1">P72*NHHProps_SSW/((F72-G72)*AllProps_SSW)</f>
        <v>17.026350635844594</v>
      </c>
      <c r="S72" s="383">
        <f t="shared" ca="1" si="35"/>
        <v>9.0909090909090912E-2</v>
      </c>
      <c r="T72" s="383">
        <f t="shared" ca="1" si="35"/>
        <v>6.6666666666666666E-2</v>
      </c>
      <c r="U72" s="431">
        <f ca="1">INDEX(INDIRECT("CAM_WTPCore2_"&amp;$B72&amp;"_LevelValues"),2,MATCH("S1 MEAN",WTPCore2_LevelValues,0))</f>
        <v>4.8585541264324922E-5</v>
      </c>
      <c r="V72" s="431">
        <f ca="1">INDEX(INDIRECT("CAM_WTPCore2_"&amp;$B72&amp;"_LevelValues"),2,MATCH("S2 MEAN",WTPCore2_LevelValues,0))</f>
        <v>4.7427328754792901E-3</v>
      </c>
      <c r="W72" s="431">
        <f t="shared" ca="1" si="37"/>
        <v>4.7913184167436155E-3</v>
      </c>
      <c r="X72" s="213">
        <f t="shared" ca="1" si="38"/>
        <v>5.9636363636363647</v>
      </c>
      <c r="Y72" s="429">
        <f ca="1">INDEX(INDIRECT("CAM_WTPCore_"&amp;$C72&amp;"_UnitValues"),MATCH("COMBINED-NHH",WTPCore_Group,0),MATCH("MEAN",LMH,0))</f>
        <v>19.435598954858694</v>
      </c>
      <c r="Z72" s="429">
        <f ca="1">Y72*(S72-T72)*(AllProps_CAM/NHHProps_CAM)</f>
        <v>7.9226305609284342</v>
      </c>
      <c r="AA72" s="89">
        <f ca="1">INDEX(INDIRECT("CAM_WTPCore2_"&amp;$B72&amp;"_UnitValues"),2,MATCH("MEAN",LMH,0))</f>
        <v>60.18018505130911</v>
      </c>
      <c r="AB72" s="429">
        <f ca="1">AA72*($S72-$T72)*(AllProps_CAM/NHHProps_CAM)</f>
        <v>24.531550293727314</v>
      </c>
      <c r="AC72" s="16">
        <f t="shared" ca="1" si="39"/>
        <v>53.225691973307718</v>
      </c>
      <c r="AD72" s="243" t="str">
        <f>Q72</f>
        <v>Property affected</v>
      </c>
      <c r="AE72" s="668">
        <f ca="1">(AC72*NHHProps_CAM)/((S72-T72)*AllProps_SSW)</f>
        <v>33.128594194458827</v>
      </c>
    </row>
    <row r="73" spans="1:31" x14ac:dyDescent="0.35">
      <c r="D73" s="377"/>
      <c r="E73" s="124"/>
      <c r="F73" s="16"/>
      <c r="G73" s="16"/>
      <c r="H73" s="16"/>
      <c r="I73" s="16"/>
      <c r="J73" s="330">
        <f ca="1">SUM(J68:J72)*AvgNHHBill_SSW</f>
        <v>116.67239966960673</v>
      </c>
      <c r="K73" s="331">
        <f ca="1">SUM(K68:K72)</f>
        <v>71.177222222222213</v>
      </c>
      <c r="L73" s="331"/>
      <c r="M73" s="331">
        <f ca="1">SUM(M68:M72)</f>
        <v>70.415855584318109</v>
      </c>
      <c r="N73" s="331"/>
      <c r="O73" s="331">
        <f ca="1">SUM(O68:O72)</f>
        <v>116.67239966960673</v>
      </c>
      <c r="P73" s="331">
        <f ca="1">SUM(P68:P72)</f>
        <v>93.544127626962421</v>
      </c>
      <c r="R73" s="466"/>
      <c r="S73" s="16"/>
      <c r="T73" s="16"/>
      <c r="U73" s="16"/>
      <c r="V73" s="16"/>
      <c r="W73" s="610">
        <f ca="1">SUM(W68:W72)*AvgNHHBill_CAM</f>
        <v>602.38102870789339</v>
      </c>
      <c r="X73" s="331">
        <f ca="1">SUM(X68:X72)</f>
        <v>41.102146742146743</v>
      </c>
      <c r="Y73" s="331"/>
      <c r="Z73" s="331">
        <f ca="1">SUM(Z68:Z72)</f>
        <v>131.29556340586123</v>
      </c>
      <c r="AA73" s="331"/>
      <c r="AB73" s="331">
        <f ca="1">SUM(AB68:AB72)</f>
        <v>602.38102870789339</v>
      </c>
      <c r="AC73" s="331">
        <f ca="1">SUM(AC68:AC72)</f>
        <v>366.83829605687737</v>
      </c>
      <c r="AE73" s="668"/>
    </row>
    <row r="74" spans="1:31" x14ac:dyDescent="0.35">
      <c r="A74" s="50"/>
      <c r="B74" s="50"/>
      <c r="C74" s="50"/>
      <c r="D74" s="379"/>
      <c r="E74" s="14"/>
      <c r="F74" s="384"/>
      <c r="G74" s="384"/>
      <c r="H74" s="384"/>
      <c r="I74" s="384"/>
      <c r="J74" s="384"/>
      <c r="K74" s="25"/>
      <c r="L74" s="25"/>
      <c r="M74" s="39" t="s">
        <v>361</v>
      </c>
      <c r="N74" s="546">
        <f ca="1">AVERAGE(M73,O73)</f>
        <v>93.544127626962421</v>
      </c>
      <c r="O74" s="39"/>
      <c r="P74" s="410"/>
      <c r="Q74" s="50"/>
      <c r="R74" s="467"/>
      <c r="S74" s="384"/>
      <c r="T74" s="384"/>
      <c r="U74" s="384"/>
      <c r="V74" s="384"/>
      <c r="W74" s="384"/>
      <c r="X74" s="25"/>
      <c r="Y74" s="25"/>
      <c r="Z74" s="39" t="s">
        <v>361</v>
      </c>
      <c r="AA74" s="609">
        <f ca="1">AVERAGE(Z73,AB73)</f>
        <v>366.83829605687731</v>
      </c>
      <c r="AB74" s="39"/>
      <c r="AC74" s="410"/>
      <c r="AD74" s="50"/>
      <c r="AE74" s="669"/>
    </row>
    <row r="75" spans="1:31" x14ac:dyDescent="0.35">
      <c r="A75" s="51" t="s">
        <v>101</v>
      </c>
      <c r="B75" s="51"/>
      <c r="D75" s="378"/>
      <c r="E75" s="218"/>
      <c r="F75" s="218"/>
      <c r="G75" s="218"/>
      <c r="H75" s="330"/>
      <c r="I75" s="330"/>
      <c r="J75" s="330"/>
      <c r="K75" s="389"/>
      <c r="L75" s="389"/>
      <c r="M75" s="389"/>
      <c r="N75" s="389"/>
      <c r="O75" s="389"/>
      <c r="P75"/>
      <c r="Q75" s="193"/>
      <c r="R75" s="468"/>
      <c r="S75" s="218"/>
      <c r="T75" s="218"/>
      <c r="U75" s="330"/>
      <c r="V75" s="330"/>
      <c r="W75" s="330"/>
      <c r="X75" s="389"/>
      <c r="Y75" s="389"/>
      <c r="Z75" s="389"/>
      <c r="AA75" s="389"/>
      <c r="AB75" s="389"/>
      <c r="AC75"/>
      <c r="AE75" s="670"/>
    </row>
    <row r="76" spans="1:31" x14ac:dyDescent="0.35">
      <c r="A76" s="7" t="s">
        <v>129</v>
      </c>
      <c r="B76" s="7" t="s">
        <v>130</v>
      </c>
      <c r="C76" s="7" t="str">
        <f>B76</f>
        <v>Discolour</v>
      </c>
      <c r="D76" s="377" t="s">
        <v>127</v>
      </c>
      <c r="E76" s="124">
        <f ca="1">INDEX(INDIRECT("ExtWTP_"&amp;$C76&amp;"_UnitValues"),MATCH(A$75, INDIRECT("ExtWTP_Comps_"&amp;C76),0),MATCH("NHH",ExtWTP_Group,0))</f>
        <v>720</v>
      </c>
      <c r="F76" s="383">
        <f t="shared" ref="F76:G79" ca="1" si="40">INDEX(INDIRECT("SSW_WTPCore2_"&amp;$B76&amp;"_Levels"),2,MATCH(F$4,WTPCore2_AttLevels,0))</f>
        <v>6.6666666666666666E-2</v>
      </c>
      <c r="G76" s="383">
        <f t="shared" ca="1" si="40"/>
        <v>0.04</v>
      </c>
      <c r="H76" s="431">
        <f ca="1">INDEX(INDIRECT("SSW_WTPCore2_"&amp;$B76&amp;"_LevelValues"),2,MATCH("S1 MEAN",WTPCore2_LevelValues,0))</f>
        <v>1.9376915692789636E-2</v>
      </c>
      <c r="I76" s="431">
        <f ca="1">INDEX(INDIRECT("SSW_WTPCore2_"&amp;$B76&amp;"_LevelValues"),2,MATCH("S2 MEAN",WTPCore2_LevelValues,0))</f>
        <v>4.9841954334050795E-4</v>
      </c>
      <c r="J76" s="431">
        <f ca="1">SUM(H76:I76)</f>
        <v>1.9875335236130144E-2</v>
      </c>
      <c r="K76" s="213">
        <f ca="1">E76*(F76-G76)</f>
        <v>19.2</v>
      </c>
      <c r="L76" s="429">
        <f ca="1">INDEX(INDIRECT("SSW_WTPCore_DCE_"&amp;$C76&amp;"_UnitValues"),MATCH("COMBINED-NHH",WTPCore_Group,0),MATCH("MEAN",LMH,0))</f>
        <v>37.156930418313699</v>
      </c>
      <c r="M76" s="429">
        <f ca="1">L76*(F76-G76)*(AllProps_SSW/NHHProps_SSW)</f>
        <v>18.814712643678163</v>
      </c>
      <c r="N76" s="89">
        <f ca="1">INDEX(INDIRECT("SSW_WTPCore2_"&amp;$C76&amp;"_UnitValues"),2,MATCH("MEAN",LMH,0))</f>
        <v>173.64881354494736</v>
      </c>
      <c r="O76" s="429">
        <f ca="1">N76*($F76-$G76)*(AllProps_SSW/NHHProps_SSW)</f>
        <v>87.928483084639765</v>
      </c>
      <c r="P76" s="16">
        <f ca="1">K76*N$81/K$80</f>
        <v>52.09450409913228</v>
      </c>
      <c r="Q76" s="377" t="s">
        <v>127</v>
      </c>
      <c r="R76" s="391">
        <f ca="1">P76*NHHProps_SSW/((F76-G76)*AllProps_SSW)</f>
        <v>102.88075617452554</v>
      </c>
      <c r="S76" s="383">
        <f t="shared" ref="S76:T79" ca="1" si="41">INDEX(INDIRECT("CAM_WTPCore2_"&amp;$B76&amp;"_Levels"),2,MATCH(S$4,WTPCore2_AttLevels,0))</f>
        <v>2.2222222222222223E-2</v>
      </c>
      <c r="T76" s="383">
        <f t="shared" ca="1" si="41"/>
        <v>1.5384615384615385E-2</v>
      </c>
      <c r="U76" s="431">
        <f ca="1">INDEX(INDIRECT("CAM_WTPCore2_"&amp;$B76&amp;"_LevelValues"),2,MATCH("S1 MEAN",WTPCore2_LevelValues,0))</f>
        <v>5.6414013673365619E-2</v>
      </c>
      <c r="V76" s="431">
        <f ca="1">INDEX(INDIRECT("CAM_WTPCore2_"&amp;$B76&amp;"_LevelValues"),2,MATCH("S2 MEAN",WTPCore2_LevelValues,0))</f>
        <v>1.4754621463399648E-4</v>
      </c>
      <c r="W76" s="431">
        <f ca="1">SUM(U76:V76)</f>
        <v>5.6561559887999616E-2</v>
      </c>
      <c r="X76" s="213">
        <f ca="1">E76*(S76-T76)</f>
        <v>4.9230769230769234</v>
      </c>
      <c r="Y76" s="429">
        <f ca="1">INDEX(INDIRECT("CAM_WTPCore_"&amp;$C76&amp;"_UnitValues"),MATCH("COMBINED-NHH",WTPCore_Group,0),MATCH("MEAN",LMH,0))</f>
        <v>243.59284023422896</v>
      </c>
      <c r="Z76" s="429">
        <f ca="1">Y76*(S76-T76)*(AllProps_CAM/NHHProps_CAM)</f>
        <v>28.006837606837603</v>
      </c>
      <c r="AA76" s="89">
        <f ca="1">INDEX(INDIRECT("CAM_WTPCore2_"&amp;$B76&amp;"_UnitValues"),2,MATCH("MEAN",LMH,0))</f>
        <v>2518.7889835624424</v>
      </c>
      <c r="AB76" s="429">
        <f ca="1">AA76*($S76-$T76)*(AllProps_CAM/NHHProps_CAM)</f>
        <v>289.59518662655807</v>
      </c>
      <c r="AC76" s="16">
        <f ca="1">X76*AA$81/X$80</f>
        <v>78.70895471787324</v>
      </c>
      <c r="AD76" s="243" t="str">
        <f>Q76</f>
        <v>Property affected</v>
      </c>
      <c r="AE76" s="668">
        <f ca="1">(AC76*NHHProps_CAM)/((S76-T76)*AllProps_CAM)</f>
        <v>684.58060494888457</v>
      </c>
    </row>
    <row r="77" spans="1:31" x14ac:dyDescent="0.35">
      <c r="A77" s="7" t="s">
        <v>131</v>
      </c>
      <c r="B77" s="7" t="s">
        <v>132</v>
      </c>
      <c r="C77" s="7" t="str">
        <f>B77</f>
        <v>TasteSmell</v>
      </c>
      <c r="D77" s="377" t="s">
        <v>127</v>
      </c>
      <c r="E77" s="124">
        <f ca="1">INDEX(INDIRECT("ExtWTP_"&amp;$C77&amp;"_UnitValues"),MATCH(A$75, INDIRECT("ExtWTP_Comps_"&amp;C77),0),MATCH("NHH",ExtWTP_Group,0))</f>
        <v>450</v>
      </c>
      <c r="F77" s="383">
        <f t="shared" ca="1" si="40"/>
        <v>1.6666666666666666E-2</v>
      </c>
      <c r="G77" s="383">
        <f t="shared" ca="1" si="40"/>
        <v>1.1111111111111112E-2</v>
      </c>
      <c r="H77" s="431">
        <f ca="1">INDEX(INDIRECT("SSW_WTPCore2_"&amp;$B77&amp;"_LevelValues"),2,MATCH("S1 MEAN",WTPCore2_LevelValues,0))</f>
        <v>3.6865032727528453E-3</v>
      </c>
      <c r="I77" s="431">
        <f ca="1">INDEX(INDIRECT("SSW_WTPCore2_"&amp;$B77&amp;"_LevelValues"),2,MATCH("S2 MEAN",WTPCore2_LevelValues,0))</f>
        <v>5.1592292451456759E-6</v>
      </c>
      <c r="J77" s="431">
        <f ca="1">SUM(H77:I77)</f>
        <v>3.691662501997991E-3</v>
      </c>
      <c r="K77" s="213">
        <f ca="1">E77*(F77-G77)</f>
        <v>2.4999999999999996</v>
      </c>
      <c r="L77" s="429">
        <f ca="1">INDEX(INDIRECT("SSW_WTPCore_DCE_"&amp;$B77&amp;"_UnitValues"),MATCH("COMBINED-NHH",WTPCore_Group,0),MATCH("MEAN",LMH,0))</f>
        <v>59.451088669301917</v>
      </c>
      <c r="M77" s="429">
        <f ca="1">L77*(F77-G77)*(AllProps_SSW/NHHProps_SSW)</f>
        <v>6.2715708812260536</v>
      </c>
      <c r="N77" s="89">
        <f ca="1">INDEX(INDIRECT("SSW_WTPCore2_"&amp;$B77&amp;"_UnitValues"),2,MATCH("MEAN",LMH,0))</f>
        <v>154.81769077846621</v>
      </c>
      <c r="O77" s="429">
        <f ca="1">N77*($F77-$G77)*(AllProps_SSW/NHHProps_SSW)</f>
        <v>16.331914908839114</v>
      </c>
      <c r="P77" s="16">
        <f t="shared" ref="P77:P79" ca="1" si="42">K77*N$81/K$80</f>
        <v>6.7831385545745144</v>
      </c>
      <c r="Q77" s="377" t="s">
        <v>127</v>
      </c>
      <c r="R77" s="391">
        <f ca="1">P77*NHHProps_SSW/((F77-G77)*AllProps_SSW)</f>
        <v>64.300472609078454</v>
      </c>
      <c r="S77" s="383">
        <f t="shared" ca="1" si="41"/>
        <v>1.4285714285714285E-2</v>
      </c>
      <c r="T77" s="383">
        <f t="shared" ca="1" si="41"/>
        <v>0.01</v>
      </c>
      <c r="U77" s="431">
        <f ca="1">INDEX(INDIRECT("CAM_WTPCore2_"&amp;$B77&amp;"_LevelValues"),2,MATCH("S1 MEAN",WTPCore2_LevelValues,0))</f>
        <v>4.257264223936371E-2</v>
      </c>
      <c r="V77" s="431">
        <f ca="1">INDEX(INDIRECT("CAM_WTPCore2_"&amp;$B77&amp;"_LevelValues"),2,MATCH("S2 MEAN",WTPCore2_LevelValues,0))</f>
        <v>1.0971349631991048E-2</v>
      </c>
      <c r="W77" s="431">
        <f t="shared" ref="W77:W79" ca="1" si="43">SUM(U77:V77)</f>
        <v>5.3543991871354758E-2</v>
      </c>
      <c r="X77" s="213">
        <f t="shared" ref="X77:X79" ca="1" si="44">E77*(S77-T77)</f>
        <v>1.9285714285714284</v>
      </c>
      <c r="Y77" s="429">
        <f ca="1">INDEX(INDIRECT("CAM_WTPCore_"&amp;$C77&amp;"_UnitValues"),MATCH("COMBINED-NHH",WTPCore_Group,0),MATCH("MEAN",LMH,0))</f>
        <v>152.24552514639311</v>
      </c>
      <c r="Z77" s="429">
        <f ca="1">Y77*(S77-T77)*(AllProps_CAM/NHHProps_CAM)</f>
        <v>10.97142857142857</v>
      </c>
      <c r="AA77" s="89">
        <f ca="1">INDEX(INDIRECT("CAM_WTPCore2_"&amp;$B77&amp;"_UnitValues"),2,MATCH("MEAN",LMH,0))</f>
        <v>3804.1888084146854</v>
      </c>
      <c r="AB77" s="429">
        <f ca="1">AA77*($S77-$T77)*(AllProps_CAM/NHHProps_CAM)</f>
        <v>274.14523838133641</v>
      </c>
      <c r="AC77" s="16">
        <f t="shared" ref="AC77:AC79" ca="1" si="45">X77*AA$81/X$80</f>
        <v>30.833530252202568</v>
      </c>
      <c r="AD77" s="243" t="str">
        <f>Q77</f>
        <v>Property affected</v>
      </c>
      <c r="AE77" s="668">
        <f ca="1">(AC77*NHHProps_CAM)/((S77-T77)*AllProps_CAM)</f>
        <v>427.86287809305287</v>
      </c>
    </row>
    <row r="78" spans="1:31" x14ac:dyDescent="0.35">
      <c r="A78" s="7" t="s">
        <v>890</v>
      </c>
      <c r="B78" s="7" t="s">
        <v>138</v>
      </c>
      <c r="C78" s="7" t="s">
        <v>1011</v>
      </c>
      <c r="D78" s="377" t="s">
        <v>127</v>
      </c>
      <c r="E78" s="124">
        <f ca="1">INDEX(INDIRECT("ExtWTP_"&amp;$C78&amp;"_UnitValues"),MATCH(A$75, INDIRECT("ExtWTP_Comps_"&amp;C78),0),MATCH("NHH",ExtWTP_Group,0))</f>
        <v>1635</v>
      </c>
      <c r="F78" s="383">
        <f t="shared" ca="1" si="40"/>
        <v>1.2500000000000001E-2</v>
      </c>
      <c r="G78" s="383">
        <f t="shared" ca="1" si="40"/>
        <v>8.3333333333333332E-3</v>
      </c>
      <c r="H78" s="431">
        <f ca="1">INDEX(INDIRECT("SSW_WTPCore2_"&amp;$B78&amp;"_LevelValues"),2,MATCH("S1 MEAN",WTPCore2_LevelValues,0))</f>
        <v>2.3562800507588295E-4</v>
      </c>
      <c r="I78" s="431">
        <f ca="1">INDEX(INDIRECT("SSW_WTPCore2_"&amp;$B78&amp;"_LevelValues"),2,MATCH("S2 MEAN",WTPCore2_LevelValues,0))</f>
        <v>4.1117889914467278E-4</v>
      </c>
      <c r="J78" s="431">
        <f ca="1">SUM(H78:I78)</f>
        <v>6.4680690422055573E-4</v>
      </c>
      <c r="K78" s="213">
        <f ca="1">E78*(F78-G78)</f>
        <v>6.8125000000000009</v>
      </c>
      <c r="L78" s="429">
        <f ca="1">INDEX(INDIRECT("SSW_WTPCore_DCE_"&amp;$B78&amp;"_UnitValues"),MATCH("COMBINED-NHH",WTPCore_Group,0),MATCH("MEAN",LMH,0))</f>
        <v>260.23872775996313</v>
      </c>
      <c r="M78" s="429">
        <f ca="1">L78*(F78-G78)*(AllProps_SSW/NHHProps_SSW)</f>
        <v>20.589685534591201</v>
      </c>
      <c r="N78" s="89">
        <f ca="1">INDEX(INDIRECT("SSW_WTPCore2_"&amp;$B78&amp;"_UnitValues"),2,MATCH("MEAN",LMH,0))</f>
        <v>36.166957745748803</v>
      </c>
      <c r="O78" s="429">
        <f ca="1">N78*($F78-$G78)*(AllProps_SSW/NHHProps_SSW)</f>
        <v>2.8614737442717386</v>
      </c>
      <c r="P78" s="16">
        <f t="shared" ca="1" si="42"/>
        <v>18.48405256121556</v>
      </c>
      <c r="Q78" s="377" t="s">
        <v>127</v>
      </c>
      <c r="R78" s="391">
        <f ca="1">P78*NHHProps_SSW/((F78-G78)*AllProps_SSW)</f>
        <v>233.62505047965178</v>
      </c>
      <c r="S78" s="383">
        <f t="shared" ca="1" si="41"/>
        <v>2.5000000000000001E-2</v>
      </c>
      <c r="T78" s="383">
        <f t="shared" ca="1" si="41"/>
        <v>1.6666666666666666E-2</v>
      </c>
      <c r="U78" s="431">
        <f ca="1">INDEX(INDIRECT("CAM_WTPCore2_"&amp;$B78&amp;"_LevelValues"),2,MATCH("S1 MEAN",WTPCore2_LevelValues,0))</f>
        <v>2.654718763279678E-4</v>
      </c>
      <c r="V78" s="431">
        <f ca="1">INDEX(INDIRECT("CAM_WTPCore2_"&amp;$B78&amp;"_LevelValues"),2,MATCH("S2 MEAN",WTPCore2_LevelValues,0))</f>
        <v>1.3401602008677625E-5</v>
      </c>
      <c r="W78" s="431">
        <f t="shared" ca="1" si="43"/>
        <v>2.7887347833664542E-4</v>
      </c>
      <c r="X78" s="213">
        <f t="shared" ca="1" si="44"/>
        <v>13.625000000000002</v>
      </c>
      <c r="Y78" s="429">
        <f ca="1">INDEX(INDIRECT("CAM_WTPCore_"&amp;$B78&amp;"_UnitValues"),MATCH("COMBINED-NHH",WTPCore_Group,0),MATCH("MEAN",LMH,0))</f>
        <v>76.122762573196539</v>
      </c>
      <c r="Z78" s="429">
        <f ca="1">Y78*(S78-T78)*(AllProps_CAM/NHHProps_CAM)</f>
        <v>10.666666666666668</v>
      </c>
      <c r="AA78" s="89">
        <f ca="1">INDEX(INDIRECT("CAM_WTPCore2_"&amp;$B78&amp;"_UnitValues"),2,MATCH("MEAN",LMH,0))</f>
        <v>10.189737398103325</v>
      </c>
      <c r="AB78" s="429">
        <f ca="1">AA78*($S78-$T78)*(AllProps_CAM/NHHProps_CAM)</f>
        <v>1.4278322090836246</v>
      </c>
      <c r="AC78" s="16">
        <f t="shared" ca="1" si="45"/>
        <v>217.83318131880154</v>
      </c>
      <c r="AD78" s="243" t="str">
        <f>Q78</f>
        <v>Property affected</v>
      </c>
      <c r="AE78" s="668">
        <f ca="1">(AC78*NHHProps_CAM)/((S78-T78)*AllProps_CAM)</f>
        <v>1554.5684570714252</v>
      </c>
    </row>
    <row r="79" spans="1:31" x14ac:dyDescent="0.35">
      <c r="A79" s="7" t="s">
        <v>1010</v>
      </c>
      <c r="B79" s="7" t="s">
        <v>144</v>
      </c>
      <c r="C79" s="7" t="str">
        <f>B79</f>
        <v>TempBan</v>
      </c>
      <c r="D79" s="377" t="s">
        <v>127</v>
      </c>
      <c r="E79" s="124">
        <f ca="1">INDEX(INDIRECT("ExtWTP_"&amp;$C79&amp;"_UnitValues"),MATCH(A$75, INDIRECT("ExtWTP_Comps_"&amp;C79),0),MATCH("NHH",ExtWTP_Group,0))</f>
        <v>218</v>
      </c>
      <c r="F79" s="383">
        <f t="shared" ca="1" si="40"/>
        <v>2.5000000000000001E-2</v>
      </c>
      <c r="G79" s="383">
        <f t="shared" ca="1" si="40"/>
        <v>1.6666666666666666E-2</v>
      </c>
      <c r="H79" s="431">
        <f ca="1">INDEX(INDIRECT("SSW_WTPCore2_"&amp;$B79&amp;"_LevelValues"),2,MATCH("S1 MEAN",WTPCore2_LevelValues,0))</f>
        <v>1.0363458862342743E-3</v>
      </c>
      <c r="I79" s="431">
        <f ca="1">INDEX(INDIRECT("SSW_WTPCore2_"&amp;$B79&amp;"_LevelValues"),2,MATCH("S2 MEAN",WTPCore2_LevelValues,0))</f>
        <v>6.2724159084084235E-4</v>
      </c>
      <c r="J79" s="431">
        <f ca="1">SUM(H79:I79)</f>
        <v>1.6635874770751166E-3</v>
      </c>
      <c r="K79" s="213">
        <f ca="1">E79*(F79-G79)</f>
        <v>1.8166666666666671</v>
      </c>
      <c r="L79" s="605">
        <f ca="1">INDEX(INDIRECT("SSW_WTPCore_DCE_"&amp;$C79&amp;"_UnitValues"),MATCH("COMBINED-NHH",WTPCore_Group,0),MATCH("MEAN",LMH,0))</f>
        <v>159200.29439999998</v>
      </c>
      <c r="M79" s="429">
        <f ca="1">L79*(F79-G79)/NHHProps_SSW*100</f>
        <v>4.4240000000000004</v>
      </c>
      <c r="N79" s="245">
        <f ca="1">INDEX(INDIRECT("SSW_WTPCore2_"&amp;$C79&amp;"_UnitValues"),2,MATCH("MEAN",LMH,0))</f>
        <v>264843.61611051176</v>
      </c>
      <c r="O79" s="429">
        <f ca="1">N79*(F79-G79)/NHHProps_SSW*100</f>
        <v>7.3597109985803169</v>
      </c>
      <c r="P79" s="16">
        <f t="shared" ca="1" si="42"/>
        <v>4.9290806829908158</v>
      </c>
      <c r="Q79" s="477" t="s">
        <v>145</v>
      </c>
      <c r="R79" s="391">
        <f ca="1">P79*NHHProps_SSW/((F79-G79)*100)</f>
        <v>177375.92582583425</v>
      </c>
      <c r="S79" s="383">
        <f t="shared" ca="1" si="41"/>
        <v>0.02</v>
      </c>
      <c r="T79" s="383">
        <f t="shared" ca="1" si="41"/>
        <v>1.3333333333333334E-2</v>
      </c>
      <c r="U79" s="431">
        <f ca="1">INDEX(INDIRECT("CAM_WTPCore2_"&amp;$B79&amp;"_LevelValues"),2,MATCH("S1 MEAN",WTPCore2_LevelValues,0))</f>
        <v>1.3694025744847137E-3</v>
      </c>
      <c r="V79" s="431">
        <f ca="1">INDEX(INDIRECT("CAM_WTPCore2_"&amp;$B79&amp;"_LevelValues"),2,MATCH("S2 MEAN",WTPCore2_LevelValues,0))</f>
        <v>1.1073984405910726E-3</v>
      </c>
      <c r="W79" s="431">
        <f t="shared" ca="1" si="43"/>
        <v>2.4768010150757864E-3</v>
      </c>
      <c r="X79" s="213">
        <f t="shared" ca="1" si="44"/>
        <v>1.4533333333333331</v>
      </c>
      <c r="Y79" s="429">
        <f ca="1">INDEX(INDIRECT("CAM_WTPCore_"&amp;$C79&amp;"_UnitValues"),MATCH("COMBINED-NHH",WTPCore_Group,0),MATCH("MEAN",LMH,0))</f>
        <v>950206.4639999998</v>
      </c>
      <c r="Z79" s="429">
        <f ca="1">Y79*(S79-T79)/NHHProps_CAM*100</f>
        <v>73.727999999999966</v>
      </c>
      <c r="AA79" s="89">
        <f ca="1">INDEX(INDIRECT("CAM_WTPCore2_"&amp;$B79&amp;"_UnitValues"),2,MATCH("MEAN",LMH,0))</f>
        <v>163435.57878935931</v>
      </c>
      <c r="AB79" s="429">
        <f ca="1">AA79*(S79-T79)/NHHProps_CAM*100</f>
        <v>12.681221197188025</v>
      </c>
      <c r="AC79" s="16">
        <f t="shared" ca="1" si="45"/>
        <v>23.235539340672155</v>
      </c>
      <c r="AD79" s="243" t="str">
        <f>Q79</f>
        <v>1% change in risk</v>
      </c>
      <c r="AE79" s="668">
        <f ca="1">(AC79*NHHProps_CAM)/((S79-T79)*100)</f>
        <v>299459.63102258276</v>
      </c>
    </row>
    <row r="80" spans="1:31" x14ac:dyDescent="0.35">
      <c r="D80" s="377"/>
      <c r="E80" s="124"/>
      <c r="F80" s="16"/>
      <c r="G80" s="16"/>
      <c r="H80" s="16"/>
      <c r="I80" s="16"/>
      <c r="J80" s="330">
        <f ca="1">SUM(J76:J79)*AvgNHHBill_SSW</f>
        <v>114.48158273633092</v>
      </c>
      <c r="K80" s="331">
        <f ca="1">SUM(K76:K79)</f>
        <v>30.329166666666666</v>
      </c>
      <c r="L80" s="331"/>
      <c r="M80" s="331">
        <f ca="1">SUM(M75:M79)</f>
        <v>50.099969059495415</v>
      </c>
      <c r="N80" s="331"/>
      <c r="O80" s="331">
        <f ca="1">SUM(O75:O79)</f>
        <v>114.48158273633092</v>
      </c>
      <c r="P80" s="331">
        <f ca="1">SUM(P75:P79)</f>
        <v>82.290775897913164</v>
      </c>
      <c r="R80" s="466"/>
      <c r="S80" s="16"/>
      <c r="T80" s="16"/>
      <c r="U80" s="16"/>
      <c r="V80" s="16"/>
      <c r="W80" s="610">
        <f ca="1">SUM(W76:W79)*AvgNHHBill_CAM</f>
        <v>577.84947841416613</v>
      </c>
      <c r="X80" s="331">
        <f ca="1">SUM(X76:X79)</f>
        <v>21.929981684981687</v>
      </c>
      <c r="Y80" s="331"/>
      <c r="Z80" s="331">
        <f ca="1">SUM(Z75:Z79)</f>
        <v>123.37293284493281</v>
      </c>
      <c r="AA80" s="331"/>
      <c r="AB80" s="331">
        <f ca="1">SUM(AB75:AB79)</f>
        <v>577.84947841416613</v>
      </c>
      <c r="AC80" s="223">
        <f ca="1">SUM(AC75:AC79)</f>
        <v>350.61120562954954</v>
      </c>
      <c r="AE80" s="668"/>
    </row>
    <row r="81" spans="1:31" x14ac:dyDescent="0.35">
      <c r="A81" s="50"/>
      <c r="B81" s="50"/>
      <c r="C81" s="50"/>
      <c r="D81" s="379"/>
      <c r="E81" s="14"/>
      <c r="F81" s="384"/>
      <c r="G81" s="384"/>
      <c r="H81" s="384"/>
      <c r="I81" s="384"/>
      <c r="J81" s="384"/>
      <c r="K81" s="25"/>
      <c r="L81" s="25"/>
      <c r="M81" s="39" t="s">
        <v>361</v>
      </c>
      <c r="N81" s="546">
        <f ca="1">AVERAGE(M80,O80)</f>
        <v>82.290775897913164</v>
      </c>
      <c r="O81" s="39"/>
      <c r="P81" s="384"/>
      <c r="Q81" s="50"/>
      <c r="R81" s="467"/>
      <c r="S81" s="384"/>
      <c r="T81" s="384"/>
      <c r="U81" s="384"/>
      <c r="V81" s="384"/>
      <c r="W81" s="384"/>
      <c r="X81" s="25"/>
      <c r="Y81" s="25"/>
      <c r="Z81" s="39" t="s">
        <v>361</v>
      </c>
      <c r="AA81" s="546">
        <f ca="1">AVERAGE(Z80,AB80)</f>
        <v>350.61120562954949</v>
      </c>
      <c r="AB81" s="39"/>
      <c r="AC81" s="384"/>
      <c r="AD81" s="50"/>
      <c r="AE81" s="669"/>
    </row>
    <row r="82" spans="1:31" x14ac:dyDescent="0.35">
      <c r="A82" s="51" t="s">
        <v>102</v>
      </c>
      <c r="B82" s="51"/>
      <c r="D82" s="378"/>
      <c r="E82" s="218"/>
      <c r="F82" s="218"/>
      <c r="G82" s="218"/>
      <c r="H82" s="330"/>
      <c r="I82" s="330"/>
      <c r="J82" s="330"/>
      <c r="K82" s="389"/>
      <c r="L82" s="389"/>
      <c r="M82" s="389"/>
      <c r="N82" s="389"/>
      <c r="O82" s="389"/>
      <c r="P82" s="330"/>
      <c r="Q82" s="193"/>
      <c r="R82" s="468"/>
      <c r="S82" s="218"/>
      <c r="T82" s="218"/>
      <c r="U82" s="330"/>
      <c r="V82" s="330"/>
      <c r="W82" s="330"/>
      <c r="X82" s="389"/>
      <c r="Y82" s="389"/>
      <c r="Z82" s="389"/>
      <c r="AA82" s="389"/>
      <c r="AB82" s="389"/>
      <c r="AC82" s="330"/>
      <c r="AE82" s="670"/>
    </row>
    <row r="83" spans="1:31" x14ac:dyDescent="0.35">
      <c r="A83" s="7" t="s">
        <v>876</v>
      </c>
      <c r="B83" s="7" t="s">
        <v>138</v>
      </c>
      <c r="C83" s="7" t="s">
        <v>1007</v>
      </c>
      <c r="D83" s="377" t="s">
        <v>127</v>
      </c>
      <c r="E83" s="124">
        <f ca="1">INDEX(INDIRECT("ExtWTP_"&amp;$C83&amp;"_UnitValues"),4,2)</f>
        <v>4409</v>
      </c>
      <c r="F83" s="383">
        <f t="shared" ref="F83:G86" ca="1" si="46">INDEX(INDIRECT("SSW_WTPCore2_"&amp;$B83&amp;"_Levels"),2,MATCH(F$4,WTPCore2_AttLevels,0))</f>
        <v>1.2500000000000001E-2</v>
      </c>
      <c r="G83" s="383">
        <f t="shared" ca="1" si="46"/>
        <v>8.3333333333333332E-3</v>
      </c>
      <c r="H83" s="431">
        <f ca="1">INDEX(INDIRECT("SSW_WTPCore2_"&amp;$B83&amp;"_LevelValues"),2,MATCH("S1 MEAN",WTPCore2_LevelValues,0))</f>
        <v>2.3562800507588295E-4</v>
      </c>
      <c r="I83" s="431">
        <f ca="1">INDEX(INDIRECT("SSW_WTPCore2_"&amp;$B83&amp;"_LevelValues"),2,MATCH("S2 MEAN",WTPCore2_LevelValues,0))</f>
        <v>4.1117889914467278E-4</v>
      </c>
      <c r="J83" s="431">
        <f ca="1">SUM(H83:I83)</f>
        <v>6.4680690422055573E-4</v>
      </c>
      <c r="K83" s="213">
        <f ca="1">E83*(F83-G83)</f>
        <v>18.370833333333337</v>
      </c>
      <c r="L83" s="429">
        <f ca="1">INDEX(INDIRECT("SSW_WTPCore_DCE_"&amp;$B83&amp;"_UnitValues"),MATCH("COMBINED-NHH",WTPCore_Group,0),MATCH("MEAN",LMH,0))</f>
        <v>260.23872775996313</v>
      </c>
      <c r="M83" s="429">
        <f ca="1">L83*($F83-$G83)*(AllProps_SSW/NHHProps_SSW)</f>
        <v>20.589685534591201</v>
      </c>
      <c r="N83" s="89">
        <f ca="1">INDEX(INDIRECT("SSW_WTPCore2_"&amp;$B83&amp;"_UnitValues"),2,MATCH("MEAN",LMH,0))</f>
        <v>36.166957745748803</v>
      </c>
      <c r="O83" s="429">
        <f ca="1">N83*($F83-$G83)*(AllProps_SSW/NHHProps_SSW)</f>
        <v>2.8614737442717386</v>
      </c>
      <c r="P83" s="16">
        <f ca="1">K83*N$88/K$87</f>
        <v>44.406681762443519</v>
      </c>
      <c r="Q83" s="377" t="s">
        <v>127</v>
      </c>
      <c r="R83" s="391">
        <f ca="1">P83*NHHProps_SSW/((F83-G83)*AllProps_SSW)</f>
        <v>561.26832760436844</v>
      </c>
      <c r="S83" s="383">
        <f t="shared" ref="S83:T86" ca="1" si="47">INDEX(INDIRECT("CAM_WTPCore2_"&amp;$B83&amp;"_Levels"),2,MATCH(S$4,WTPCore2_AttLevels,0))</f>
        <v>2.5000000000000001E-2</v>
      </c>
      <c r="T83" s="383">
        <f t="shared" ca="1" si="47"/>
        <v>1.6666666666666666E-2</v>
      </c>
      <c r="U83" s="431">
        <f ca="1">INDEX(INDIRECT("CAM_WTPCore2_"&amp;$B83&amp;"_LevelValues"),2,MATCH("S1 MEAN",WTPCore2_LevelValues,0))</f>
        <v>2.654718763279678E-4</v>
      </c>
      <c r="V83" s="431">
        <f ca="1">INDEX(INDIRECT("CAM_WTPCore2_"&amp;$B83&amp;"_LevelValues"),2,MATCH("S2 MEAN",WTPCore2_LevelValues,0))</f>
        <v>1.3401602008677625E-5</v>
      </c>
      <c r="W83" s="431">
        <f ca="1">SUM(U83:V83)</f>
        <v>2.7887347833664542E-4</v>
      </c>
      <c r="X83" s="213">
        <f ca="1">E83*(S83-T83)</f>
        <v>36.741666666666674</v>
      </c>
      <c r="Y83" s="429">
        <f ca="1">INDEX(INDIRECT("CAM_WTPCore_"&amp;$B83&amp;"_UnitValues"),MATCH("COMBINED-NHH",WTPCore_Group,0),MATCH("MEAN",LMH,0))</f>
        <v>76.122762573196539</v>
      </c>
      <c r="Z83" s="429">
        <f ca="1">Y83*(S83-T83)*(AllProps_CAM/NHHProps_CAM)</f>
        <v>10.666666666666668</v>
      </c>
      <c r="AA83" s="89">
        <f ca="1">INDEX(INDIRECT("CAM_WTPCore2_"&amp;$B83&amp;"_UnitValues"),2,MATCH("MEAN",LMH,0))</f>
        <v>10.189737398103325</v>
      </c>
      <c r="AB83" s="429">
        <f ca="1">AA83*($S83-$T83)*(AllProps_CAM/NHHProps_CAM)</f>
        <v>1.4278322090836246</v>
      </c>
      <c r="AC83" s="16">
        <f ca="1">X83*AA$88/X$87</f>
        <v>4.24324962104684E-2</v>
      </c>
      <c r="AD83" s="243" t="str">
        <f>Q83</f>
        <v>Property affected</v>
      </c>
      <c r="AE83" s="672">
        <f ca="1">(AC83*NHHProps_CAM)/((S83-T83)*AllProps_CAM)</f>
        <v>0.30281989072664517</v>
      </c>
    </row>
    <row r="84" spans="1:31" x14ac:dyDescent="0.35">
      <c r="A84" s="7" t="s">
        <v>1010</v>
      </c>
      <c r="B84" s="7" t="s">
        <v>144</v>
      </c>
      <c r="C84" s="7" t="str">
        <f>B84</f>
        <v>TempBan</v>
      </c>
      <c r="D84" s="377" t="s">
        <v>127</v>
      </c>
      <c r="E84" s="124">
        <f ca="1">INDEX(INDIRECT("ExtWTP_"&amp;$B84&amp;"_UnitValues"),12,2)</f>
        <v>1690</v>
      </c>
      <c r="F84" s="383">
        <f t="shared" ca="1" si="46"/>
        <v>2.5000000000000001E-2</v>
      </c>
      <c r="G84" s="383">
        <f t="shared" ca="1" si="46"/>
        <v>1.6666666666666666E-2</v>
      </c>
      <c r="H84" s="431">
        <f ca="1">INDEX(INDIRECT("SSW_WTPCore2_"&amp;$B84&amp;"_LevelValues"),2,MATCH("S1 MEAN",WTPCore2_LevelValues,0))</f>
        <v>1.0363458862342743E-3</v>
      </c>
      <c r="I84" s="431">
        <f ca="1">INDEX(INDIRECT("SSW_WTPCore2_"&amp;$B84&amp;"_LevelValues"),2,MATCH("S2 MEAN",WTPCore2_LevelValues,0))</f>
        <v>6.2724159084084235E-4</v>
      </c>
      <c r="J84" s="431">
        <f ca="1">SUM(H84:I84)</f>
        <v>1.6635874770751166E-3</v>
      </c>
      <c r="K84" s="213">
        <f ca="1">E84*(F84-G84)</f>
        <v>14.083333333333336</v>
      </c>
      <c r="L84" s="605">
        <f ca="1">INDEX(INDIRECT("SSW_WTPCore_DCE_"&amp;$C84&amp;"_UnitValues"),MATCH("COMBINED-NHH",WTPCore_Group,0),MATCH("MEAN",LMH,0))</f>
        <v>159200.29439999998</v>
      </c>
      <c r="M84" s="429">
        <f ca="1">L84*(F84-G84)/NHHProps_SSW*100</f>
        <v>4.4240000000000004</v>
      </c>
      <c r="N84" s="245">
        <f ca="1">INDEX(INDIRECT("SSW_WTPCore2_"&amp;$C84&amp;"_UnitValues"),2,MATCH("MEAN",LMH,0))</f>
        <v>264843.61611051176</v>
      </c>
      <c r="O84" s="429">
        <f ca="1">N84*(F84-G84)/NHHProps_SSW*100</f>
        <v>7.3597109985803169</v>
      </c>
      <c r="P84" s="16">
        <f t="shared" ref="P84:P86" ca="1" si="48">K84*N$88/K$87</f>
        <v>34.042772591757561</v>
      </c>
      <c r="Q84" s="477" t="s">
        <v>145</v>
      </c>
      <c r="R84" s="391">
        <f ca="1">P84*NHHProps_SSW/((F84-G84)*100)</f>
        <v>1225049.5973779508</v>
      </c>
      <c r="S84" s="383">
        <f t="shared" ca="1" si="47"/>
        <v>0.02</v>
      </c>
      <c r="T84" s="383">
        <f t="shared" ca="1" si="47"/>
        <v>1.3333333333333334E-2</v>
      </c>
      <c r="U84" s="431">
        <f ca="1">INDEX(INDIRECT("CAM_WTPCore2_"&amp;$B84&amp;"_LevelValues"),2,MATCH("S1 MEAN",WTPCore2_LevelValues,0))</f>
        <v>1.3694025744847137E-3</v>
      </c>
      <c r="V84" s="431">
        <f ca="1">INDEX(INDIRECT("CAM_WTPCore2_"&amp;$B84&amp;"_LevelValues"),2,MATCH("S2 MEAN",WTPCore2_LevelValues,0))</f>
        <v>1.1073984405910726E-3</v>
      </c>
      <c r="W84" s="431">
        <f t="shared" ref="W84:W86" ca="1" si="49">SUM(U84:V84)</f>
        <v>2.4768010150757864E-3</v>
      </c>
      <c r="X84" s="213">
        <f t="shared" ref="X84:X86" ca="1" si="50">E84*(S84-T84)</f>
        <v>11.266666666666666</v>
      </c>
      <c r="Y84" s="429">
        <f ca="1">INDEX(INDIRECT("CAM_WTPCore_"&amp;$C84&amp;"_UnitValues"),MATCH("COMBINED-NHH",WTPCore_Group,0),MATCH("MEAN",LMH,0))</f>
        <v>950206.4639999998</v>
      </c>
      <c r="Z84" s="429">
        <f ca="1">Y84*(S84-T84)/NHHProps_CAM*100</f>
        <v>73.727999999999966</v>
      </c>
      <c r="AA84" s="89">
        <f ca="1">INDEX(INDIRECT("CAM_WTPCore2_"&amp;$B84&amp;"_UnitValues"),2,MATCH("MEAN",LMH,0))</f>
        <v>163435.57878935931</v>
      </c>
      <c r="AB84" s="429">
        <f ca="1">AA84*(S84-T84)/NHHProps_CAM*100</f>
        <v>12.681221197188025</v>
      </c>
      <c r="AC84" s="16">
        <f t="shared" ref="AC84:AC86" ca="1" si="51">X84*AA$88/X$87</f>
        <v>1.301173392527858E-2</v>
      </c>
      <c r="AD84" s="243" t="str">
        <f>Q84</f>
        <v>1% change in risk</v>
      </c>
      <c r="AE84" s="668">
        <f ca="1">(AC84*NHHProps_CAM)/((S84-T84)*100)</f>
        <v>167.69522682899034</v>
      </c>
    </row>
    <row r="85" spans="1:31" x14ac:dyDescent="0.35">
      <c r="A85" s="7" t="s">
        <v>949</v>
      </c>
      <c r="B85" s="7" t="s">
        <v>136</v>
      </c>
      <c r="C85" s="7" t="str">
        <f>B85</f>
        <v>Hardness</v>
      </c>
      <c r="D85" s="377" t="s">
        <v>127</v>
      </c>
      <c r="E85" s="124">
        <f ca="1">INDEX(INDIRECT("ExtWTP_"&amp;$B85&amp;"_UnitValues"),4,2)</f>
        <v>25</v>
      </c>
      <c r="F85" s="444">
        <f t="shared" ca="1" si="46"/>
        <v>0</v>
      </c>
      <c r="G85" s="444">
        <f t="shared" ca="1" si="46"/>
        <v>4000</v>
      </c>
      <c r="H85" s="431">
        <f ca="1">INDEX(INDIRECT("SSW_WTPCore2_"&amp;$B85&amp;"_LevelValues"),2,MATCH("S1 MEAN",WTPCore2_LevelValues,0))</f>
        <v>4.1590321254674992E-3</v>
      </c>
      <c r="I85" s="431">
        <f ca="1">INDEX(INDIRECT("SSW_WTPCore2_"&amp;$B85&amp;"_LevelValues"),2,MATCH("S2 MEAN",WTPCore2_LevelValues,0))</f>
        <v>5.1578958405461544E-4</v>
      </c>
      <c r="J85" s="431">
        <f ca="1">SUM(H85:I85)</f>
        <v>4.6748217095221147E-3</v>
      </c>
      <c r="K85" s="213">
        <f ca="1">-E85*(F85-G85)/NHHProps_SSW</f>
        <v>3.3346672002134188</v>
      </c>
      <c r="L85" s="429">
        <f ca="1">INDEX(INDIRECT("SSW_WTPCore_DCE_"&amp;$C85&amp;"_UnitValues"),MATCH("COMBINED-NHH",WTPCore_Group,0),MATCH("MEAN",LMH,0))</f>
        <v>8.1544398647758722</v>
      </c>
      <c r="M85" s="429">
        <f ca="1">-L85*(F85-G85)/NHHProps_SSW</f>
        <v>1.0876937261272339</v>
      </c>
      <c r="N85" s="89">
        <f ca="1">INDEX(INDIRECT("SSW_WTPCore2_"&amp;$C85&amp;"_UnitValues"),2,MATCH("MEAN",LMH,0))</f>
        <v>155.04854008821499</v>
      </c>
      <c r="O85" s="429">
        <f ca="1">-N85*(F85-G85)/NHHProps_SSW</f>
        <v>20.681411242925837</v>
      </c>
      <c r="P85" s="16">
        <f t="shared" ca="1" si="48"/>
        <v>8.0606852425603517</v>
      </c>
      <c r="Q85" s="377" t="s">
        <v>127</v>
      </c>
      <c r="R85" s="391">
        <f ca="1">-P85*NHHProps_SSW/((F85-G85))</f>
        <v>60.430957263474959</v>
      </c>
      <c r="S85" s="444">
        <f t="shared" ca="1" si="47"/>
        <v>0</v>
      </c>
      <c r="T85" s="444">
        <f t="shared" ca="1" si="47"/>
        <v>1350</v>
      </c>
      <c r="U85" s="431">
        <f ca="1">INDEX(INDIRECT("CAM_WTPCore2_"&amp;$B85&amp;"_LevelValues"),2,MATCH("S1 MEAN",WTPCore2_LevelValues,0))</f>
        <v>5.8970314160098417E-2</v>
      </c>
      <c r="V85" s="431">
        <f ca="1">INDEX(INDIRECT("CAM_WTPCore2_"&amp;$B85&amp;"_LevelValues"),2,MATCH("S2 MEAN",WTPCore2_LevelValues,0))</f>
        <v>4.2450333610873081E-4</v>
      </c>
      <c r="W85" s="431">
        <f t="shared" ca="1" si="49"/>
        <v>5.9394817496207147E-2</v>
      </c>
      <c r="X85" s="213">
        <f ca="1">-E85*(S85-T85)</f>
        <v>33750</v>
      </c>
      <c r="Y85" s="429">
        <f ca="1">INDEX(INDIRECT("CAM_WTPCore_"&amp;$C85&amp;"_UnitValues"),MATCH("COMBINED-NHH",WTPCore_Group,0),MATCH("MEAN",LMH,0))</f>
        <v>4.8718568046845796</v>
      </c>
      <c r="Z85" s="429">
        <f ca="1">-Y85*(S85-T85)/NHHProps_CAM</f>
        <v>0.76548029403214413</v>
      </c>
      <c r="AA85" s="89">
        <f ca="1">INDEX(INDIRECT("CAM_WTPCore2_"&amp;$B85&amp;"_UnitValues"),2,MATCH("MEAN",LMH,0))</f>
        <v>1935.4368831617396</v>
      </c>
      <c r="AB85" s="429">
        <f ca="1">-AA85*(S85-T85)/NHHProps_CAM</f>
        <v>304.10146558058057</v>
      </c>
      <c r="AC85" s="16">
        <f t="shared" ca="1" si="51"/>
        <v>38.977457394510552</v>
      </c>
      <c r="AD85" s="243" t="str">
        <f>Q85</f>
        <v>Property affected</v>
      </c>
      <c r="AE85" s="673">
        <f ca="1">-(AC85*NHHProps_CAM)/((S85-T85)*AllProps_CAM)</f>
        <v>1.7170554021696826E-3</v>
      </c>
    </row>
    <row r="86" spans="1:31" x14ac:dyDescent="0.35">
      <c r="A86" s="7" t="s">
        <v>40</v>
      </c>
      <c r="B86" s="7" t="s">
        <v>40</v>
      </c>
      <c r="C86" s="7" t="s">
        <v>40</v>
      </c>
      <c r="D86" s="377" t="s">
        <v>728</v>
      </c>
      <c r="E86" s="124">
        <f ca="1">INDEX(INDIRECT("ExtWTP_"&amp;$B86&amp;"_UnitValues"),3,2)</f>
        <v>56612</v>
      </c>
      <c r="F86" s="444">
        <f t="shared" ca="1" si="46"/>
        <v>70.5</v>
      </c>
      <c r="G86" s="444">
        <f t="shared" ca="1" si="46"/>
        <v>35.25</v>
      </c>
      <c r="H86" s="431">
        <f ca="1">INDEX(INDIRECT("SSW_WTPCore2_"&amp;$B86&amp;"_LevelValues"),2,MATCH("S1 MEAN",WTPCore2_LevelValues,0))</f>
        <v>1.8366495603833657E-2</v>
      </c>
      <c r="I86" s="431">
        <f ca="1">INDEX(INDIRECT("SSW_WTPCore2_"&amp;$B86&amp;"_LevelValues"),2,MATCH("S2 MEAN",WTPCore2_LevelValues,0))</f>
        <v>6.6875105310339848E-3</v>
      </c>
      <c r="J86" s="431">
        <f ca="1">SUM(H86:I86)</f>
        <v>2.5054006134867642E-2</v>
      </c>
      <c r="K86" s="213">
        <f ca="1">E86*(F86-G86)/AllProps_SSW</f>
        <v>3.5045405452869121</v>
      </c>
      <c r="L86" s="429">
        <f ca="1">INDEX(INDIRECT("SSW_WTPCore_DCE_"&amp;$C86&amp;"_UnitValues"),MATCH("COMBINED-NHH",WTPCore_Group,0),MATCH("MEAN",LMH,0))</f>
        <v>18818.001702127662</v>
      </c>
      <c r="M86" s="429">
        <f ca="1">L86*(F86-G86)/NHHProps_SSW</f>
        <v>22.12</v>
      </c>
      <c r="N86" s="89">
        <f ca="1">INDEX(INDIRECT("SSW_WTPCore2_"&amp;$C86&amp;"_UnitValues"),2,MATCH("MEAN",LMH,0))</f>
        <v>94293.266018211216</v>
      </c>
      <c r="O86" s="429">
        <f ca="1">N86*(F86-G86)/NHHProps_SSW</f>
        <v>110.83892314065444</v>
      </c>
      <c r="P86" s="16">
        <f t="shared" ca="1" si="48"/>
        <v>8.4713095968139438</v>
      </c>
      <c r="Q86" s="377" t="s">
        <v>728</v>
      </c>
      <c r="R86" s="391">
        <f ca="1">P86*NHHProps_SSW/((F86-G86))</f>
        <v>7206.7413387023134</v>
      </c>
      <c r="S86" s="444">
        <f t="shared" ca="1" si="47"/>
        <v>13.5</v>
      </c>
      <c r="T86" s="444">
        <f t="shared" ca="1" si="47"/>
        <v>6.75</v>
      </c>
      <c r="U86" s="431">
        <f ca="1">INDEX(INDIRECT("CAM_WTPCore2_"&amp;$B86&amp;"_LevelValues"),2,MATCH("S1 MEAN",WTPCore2_LevelValues,0))</f>
        <v>7.1569068986342493E-2</v>
      </c>
      <c r="V86" s="431">
        <f ca="1">INDEX(INDIRECT("CAM_WTPCore2_"&amp;$B86&amp;"_LevelValues"),2,MATCH("S2 MEAN",WTPCore2_LevelValues,0))</f>
        <v>3.5284810800562588E-2</v>
      </c>
      <c r="W86" s="431">
        <f t="shared" ca="1" si="49"/>
        <v>0.10685387978690508</v>
      </c>
      <c r="X86" s="213">
        <f t="shared" ca="1" si="50"/>
        <v>382131</v>
      </c>
      <c r="Y86" s="429">
        <f ca="1">INDEX(INDIRECT("CAM_WTPCore_"&amp;$C86&amp;"_UnitValues"),MATCH("COMBINED-NHH",WTPCore_Group,0),MATCH("MEAN",LMH,0))</f>
        <v>13034.382222222222</v>
      </c>
      <c r="Z86" s="429">
        <f ca="1">Y86*(S86-T86)/NHHProps_CAM</f>
        <v>10.24</v>
      </c>
      <c r="AA86" s="89">
        <f ca="1">INDEX(INDIRECT("CAM_WTPCore2_"&amp;$B86&amp;"_UnitValues"),2,MATCH("MEAN",LMH,0))</f>
        <v>696387.155534953</v>
      </c>
      <c r="AB86" s="429">
        <f ca="1">AA86*(S86-T86)/NHHProps_CAM</f>
        <v>547.09186450895402</v>
      </c>
      <c r="AC86" s="16">
        <f t="shared" ca="1" si="51"/>
        <v>441.31836360360626</v>
      </c>
      <c r="AD86" s="243" t="s">
        <v>728</v>
      </c>
      <c r="AE86" s="668">
        <f ca="1">AC86*NHHProps_CAM/((S86-T86))</f>
        <v>561749.241493657</v>
      </c>
    </row>
    <row r="87" spans="1:31" x14ac:dyDescent="0.35">
      <c r="D87" s="377"/>
      <c r="E87" s="124"/>
      <c r="F87" s="16"/>
      <c r="G87" s="16"/>
      <c r="H87" s="16"/>
      <c r="I87" s="16"/>
      <c r="J87" s="330">
        <f ca="1">SUM(J83:J86)*AvgNHHBill_SSW</f>
        <v>141.74151912643234</v>
      </c>
      <c r="K87" s="331">
        <f ca="1">SUM(K83:K86)</f>
        <v>39.293374412167005</v>
      </c>
      <c r="L87" s="331"/>
      <c r="M87" s="331">
        <f ca="1">SUM(M82:M86)</f>
        <v>48.221379260718436</v>
      </c>
      <c r="N87" s="331"/>
      <c r="O87" s="331">
        <f ca="1">SUM(O82:O86)</f>
        <v>141.74151912643234</v>
      </c>
      <c r="P87" s="331">
        <f ca="1">SUM(P82:P86)</f>
        <v>94.981449193575372</v>
      </c>
      <c r="R87" s="466"/>
      <c r="S87" s="16"/>
      <c r="T87" s="16"/>
      <c r="U87" s="16"/>
      <c r="V87" s="16"/>
      <c r="W87" s="610">
        <f ca="1">SUM(W83:W86)*AvgNHHBill_CAM</f>
        <v>865.30238349580623</v>
      </c>
      <c r="X87" s="331">
        <f ca="1">SUM(X83:X86)</f>
        <v>415929.0083333333</v>
      </c>
      <c r="Y87" s="331"/>
      <c r="Z87" s="331">
        <f ca="1">SUM(Z82:Z86)</f>
        <v>95.400146960698777</v>
      </c>
      <c r="AA87" s="331"/>
      <c r="AB87" s="331">
        <f ca="1">SUM(AB82:AB86)</f>
        <v>865.30238349580623</v>
      </c>
      <c r="AC87" s="331">
        <f ca="1">SUM(AC82:AC86)</f>
        <v>480.35126522825254</v>
      </c>
      <c r="AE87" s="668"/>
    </row>
    <row r="88" spans="1:31" x14ac:dyDescent="0.35">
      <c r="A88" s="50"/>
      <c r="B88" s="50"/>
      <c r="C88" s="50"/>
      <c r="D88" s="379"/>
      <c r="E88" s="14"/>
      <c r="F88" s="384"/>
      <c r="G88" s="384"/>
      <c r="H88" s="384"/>
      <c r="I88" s="384"/>
      <c r="J88" s="384"/>
      <c r="K88" s="25"/>
      <c r="L88" s="25"/>
      <c r="M88" s="39" t="s">
        <v>361</v>
      </c>
      <c r="N88" s="546">
        <f ca="1">AVERAGE(M87,O87)</f>
        <v>94.981449193575386</v>
      </c>
      <c r="O88" s="39"/>
      <c r="P88" s="384"/>
      <c r="Q88" s="50"/>
      <c r="R88" s="467"/>
      <c r="S88" s="384"/>
      <c r="T88" s="384"/>
      <c r="U88" s="384"/>
      <c r="V88" s="384"/>
      <c r="W88" s="384"/>
      <c r="X88" s="25"/>
      <c r="Y88" s="25"/>
      <c r="Z88" s="39" t="s">
        <v>361</v>
      </c>
      <c r="AA88" s="609">
        <f ca="1">AVERAGE(Z87,AB87)</f>
        <v>480.35126522825249</v>
      </c>
      <c r="AB88" s="39"/>
      <c r="AC88" s="384"/>
      <c r="AD88" s="50"/>
      <c r="AE88" s="669"/>
    </row>
    <row r="89" spans="1:31" x14ac:dyDescent="0.35">
      <c r="A89" s="51" t="s">
        <v>103</v>
      </c>
      <c r="D89" s="377"/>
      <c r="E89" s="124"/>
      <c r="F89" s="16"/>
      <c r="G89" s="16"/>
      <c r="H89" s="16"/>
      <c r="I89" s="16"/>
      <c r="J89" s="16"/>
      <c r="K89" s="169"/>
      <c r="L89" s="169"/>
      <c r="M89" s="169"/>
      <c r="N89" s="169"/>
      <c r="O89" s="169"/>
      <c r="P89" s="330"/>
      <c r="R89" s="466"/>
      <c r="S89" s="16"/>
      <c r="T89" s="16"/>
      <c r="U89" s="16"/>
      <c r="V89" s="16"/>
      <c r="W89" s="16"/>
      <c r="X89" s="169"/>
      <c r="Y89" s="169"/>
      <c r="Z89" s="169"/>
      <c r="AA89" s="169"/>
      <c r="AB89" s="169"/>
      <c r="AC89" s="330"/>
      <c r="AE89" s="668"/>
    </row>
    <row r="90" spans="1:31" x14ac:dyDescent="0.35">
      <c r="A90" s="7" t="s">
        <v>129</v>
      </c>
      <c r="B90" s="7" t="s">
        <v>130</v>
      </c>
      <c r="C90" s="7" t="str">
        <f>B90</f>
        <v>Discolour</v>
      </c>
      <c r="D90" s="377" t="s">
        <v>127</v>
      </c>
      <c r="E90" s="124">
        <f ca="1">INDEX(INDIRECT("ExtWTP_"&amp;$B90&amp;"_UnitValues"),12,2)</f>
        <v>320</v>
      </c>
      <c r="F90" s="383">
        <f t="shared" ref="F90:G95" ca="1" si="52">INDEX(INDIRECT("SSW_WTPCore2_"&amp;$B90&amp;"_Levels"),2,MATCH(F$4,WTPCore2_AttLevels,0))</f>
        <v>6.6666666666666666E-2</v>
      </c>
      <c r="G90" s="383">
        <f t="shared" ca="1" si="52"/>
        <v>0.04</v>
      </c>
      <c r="H90" s="431">
        <f t="shared" ref="H90:H95" ca="1" si="53">INDEX(INDIRECT("SSW_WTPCore2_"&amp;$B90&amp;"_LevelValues"),2,MATCH("S1 MEAN",WTPCore2_LevelValues,0))</f>
        <v>1.9376915692789636E-2</v>
      </c>
      <c r="I90" s="431">
        <f t="shared" ref="I90:I95" ca="1" si="54">INDEX(INDIRECT("SSW_WTPCore2_"&amp;$B90&amp;"_LevelValues"),2,MATCH("S2 MEAN",WTPCore2_LevelValues,0))</f>
        <v>4.9841954334050795E-4</v>
      </c>
      <c r="J90" s="431">
        <f t="shared" ref="J90:J95" ca="1" si="55">SUM(H90:I90)</f>
        <v>1.9875335236130144E-2</v>
      </c>
      <c r="K90" s="213">
        <f ca="1">E90*(F90-G90)</f>
        <v>8.5333333333333332</v>
      </c>
      <c r="L90" s="429">
        <f ca="1">INDEX(INDIRECT("SSW_WTPCore_DCE_"&amp;$C90&amp;"_UnitValues"),MATCH("COMBINED-NHH",WTPCore_Group,0),MATCH("MEAN",LMH,0))</f>
        <v>37.156930418313699</v>
      </c>
      <c r="M90" s="429">
        <f ca="1">L90*(F90-G90)*(AllProps_SSW/NHHProps_SSW)</f>
        <v>18.814712643678163</v>
      </c>
      <c r="N90" s="89">
        <f ca="1">INDEX(INDIRECT("SSW_WTPCore2_"&amp;$C90&amp;"_UnitValues"),2,MATCH("MEAN",LMH,0))</f>
        <v>173.64881354494736</v>
      </c>
      <c r="O90" s="429">
        <f ca="1">N90*($F90-$G90)*(AllProps_SSW/NHHProps_SSW)</f>
        <v>87.928483084639765</v>
      </c>
      <c r="P90" s="16">
        <f ca="1">K90*N$97/K$96</f>
        <v>87.918569869400272</v>
      </c>
      <c r="Q90" s="377" t="s">
        <v>127</v>
      </c>
      <c r="R90" s="391">
        <f ca="1">P90*NHHProps_SSW/((F90-G90)*AllProps_SSW)</f>
        <v>173.62923606556453</v>
      </c>
      <c r="S90" s="383">
        <f t="shared" ref="S90:T95" ca="1" si="56">INDEX(INDIRECT("CAM_WTPCore2_"&amp;$B90&amp;"_Levels"),2,MATCH(S$4,WTPCore2_AttLevels,0))</f>
        <v>2.2222222222222223E-2</v>
      </c>
      <c r="T90" s="383">
        <f t="shared" ca="1" si="56"/>
        <v>1.5384615384615385E-2</v>
      </c>
      <c r="U90" s="431">
        <f t="shared" ref="U90:U95" ca="1" si="57">INDEX(INDIRECT("CAM_WTPCore2_"&amp;$B90&amp;"_LevelValues"),2,MATCH("S1 MEAN",WTPCore2_LevelValues,0))</f>
        <v>5.6414013673365619E-2</v>
      </c>
      <c r="V90" s="431">
        <f t="shared" ref="V90:V95" ca="1" si="58">INDEX(INDIRECT("CAM_WTPCore2_"&amp;$B90&amp;"_LevelValues"),2,MATCH("S2 MEAN",WTPCore2_LevelValues,0))</f>
        <v>1.4754621463399648E-4</v>
      </c>
      <c r="W90" s="431">
        <f ca="1">SUM(U90:V90)</f>
        <v>5.6561559887999616E-2</v>
      </c>
      <c r="X90" s="213">
        <f ca="1">E90*(S90-T90)</f>
        <v>2.1880341880341883</v>
      </c>
      <c r="Y90" s="429">
        <f ca="1">INDEX(INDIRECT("CAM_WTPCore_"&amp;$C90&amp;"_UnitValues"),MATCH("COMBINED-NHH",WTPCore_Group,0),MATCH("MEAN",LMH,0))</f>
        <v>243.59284023422896</v>
      </c>
      <c r="Z90" s="429">
        <f ca="1">Y90*(S90-T90)*(AllProps_CAM/NHHProps_CAM)</f>
        <v>28.006837606837603</v>
      </c>
      <c r="AA90" s="89">
        <f t="shared" ref="AA90:AA95" ca="1" si="59">INDEX(INDIRECT("CAM_WTPCore2_"&amp;$B90&amp;"_UnitValues"),2,MATCH("MEAN",LMH,0))</f>
        <v>2518.7889835624424</v>
      </c>
      <c r="AB90" s="429">
        <f ca="1">AA90*($S90-$T90)*(AllProps_CAM/NHHProps_CAM)</f>
        <v>289.59518662655807</v>
      </c>
      <c r="AC90" s="16">
        <f ca="1">X90*AA$97/X$96</f>
        <v>6.0755925711445044E-3</v>
      </c>
      <c r="AD90" s="243" t="str">
        <f>Q90</f>
        <v>Property affected</v>
      </c>
      <c r="AE90" s="672">
        <f ca="1">(AC90*NHHProps_CAM)/((S90-T90)*AllProps_CAM)</f>
        <v>5.2843197482237363E-2</v>
      </c>
    </row>
    <row r="91" spans="1:31" x14ac:dyDescent="0.35">
      <c r="A91" s="7" t="s">
        <v>131</v>
      </c>
      <c r="B91" s="7" t="s">
        <v>132</v>
      </c>
      <c r="C91" s="7" t="str">
        <f>B91</f>
        <v>TasteSmell</v>
      </c>
      <c r="D91" s="377" t="s">
        <v>127</v>
      </c>
      <c r="E91" s="124">
        <f ca="1">INDEX(INDIRECT("ExtWTP_"&amp;$B91&amp;"_UnitValues"),8,2)</f>
        <v>216</v>
      </c>
      <c r="F91" s="383">
        <f t="shared" ca="1" si="52"/>
        <v>1.6666666666666666E-2</v>
      </c>
      <c r="G91" s="383">
        <f t="shared" ca="1" si="52"/>
        <v>1.1111111111111112E-2</v>
      </c>
      <c r="H91" s="431">
        <f t="shared" ca="1" si="53"/>
        <v>3.6865032727528453E-3</v>
      </c>
      <c r="I91" s="431">
        <f t="shared" ca="1" si="54"/>
        <v>5.1592292451456759E-6</v>
      </c>
      <c r="J91" s="431">
        <f t="shared" ca="1" si="55"/>
        <v>3.691662501997991E-3</v>
      </c>
      <c r="K91" s="213">
        <f ca="1">E91*(F91-G91)</f>
        <v>1.2</v>
      </c>
      <c r="L91" s="429">
        <f ca="1">INDEX(INDIRECT("SSW_WTPCore_DCE_"&amp;$B91&amp;"_UnitValues"),MATCH("COMBINED-NHH",WTPCore_Group,0),MATCH("MEAN",LMH,0))</f>
        <v>59.451088669301917</v>
      </c>
      <c r="M91" s="429">
        <f ca="1">L91*(F91-G91)*(AllProps_SSW/NHHProps_SSW)</f>
        <v>6.2715708812260536</v>
      </c>
      <c r="N91" s="89">
        <f ca="1">INDEX(INDIRECT("SSW_WTPCore2_"&amp;$B91&amp;"_UnitValues"),2,MATCH("MEAN",LMH,0))</f>
        <v>154.81769077846621</v>
      </c>
      <c r="O91" s="429">
        <f ca="1">N91*($F91-$G91)*(AllProps_SSW/NHHProps_SSW)</f>
        <v>16.331914908839114</v>
      </c>
      <c r="P91" s="16">
        <f t="shared" ref="P91:P95" ca="1" si="60">K91*N$97/K$96</f>
        <v>12.363548887884413</v>
      </c>
      <c r="Q91" s="377" t="s">
        <v>127</v>
      </c>
      <c r="R91" s="391">
        <f ca="1">P91*NHHProps_SSW/((F91-G91)*AllProps_SSW)</f>
        <v>117.19973434425607</v>
      </c>
      <c r="S91" s="383">
        <f t="shared" ca="1" si="56"/>
        <v>1.4285714285714285E-2</v>
      </c>
      <c r="T91" s="383">
        <f t="shared" ca="1" si="56"/>
        <v>0.01</v>
      </c>
      <c r="U91" s="431">
        <f t="shared" ca="1" si="57"/>
        <v>4.257264223936371E-2</v>
      </c>
      <c r="V91" s="431">
        <f t="shared" ca="1" si="58"/>
        <v>1.0971349631991048E-2</v>
      </c>
      <c r="W91" s="431">
        <f t="shared" ref="W91:W95" ca="1" si="61">SUM(U91:V91)</f>
        <v>5.3543991871354758E-2</v>
      </c>
      <c r="X91" s="213">
        <f t="shared" ref="X91:X95" ca="1" si="62">E91*(S91-T91)</f>
        <v>0.9257142857142856</v>
      </c>
      <c r="Y91" s="429">
        <f ca="1">INDEX(INDIRECT("CAM_WTPCore_"&amp;$C91&amp;"_UnitValues"),MATCH("COMBINED-NHH",WTPCore_Group,0),MATCH("MEAN",LMH,0))</f>
        <v>152.24552514639311</v>
      </c>
      <c r="Z91" s="429">
        <f ca="1">Y91*(S91-T91)*(AllProps_CAM/NHHProps_CAM)</f>
        <v>10.97142857142857</v>
      </c>
      <c r="AA91" s="89">
        <f t="shared" ca="1" si="59"/>
        <v>3804.1888084146854</v>
      </c>
      <c r="AB91" s="429">
        <f ca="1">AA91*($S91-$T91)*(AllProps_CAM/NHHProps_CAM)</f>
        <v>274.14523838133641</v>
      </c>
      <c r="AC91" s="16">
        <f t="shared" ref="AC91:AC94" ca="1" si="63">X91*AA$97/X$96</f>
        <v>2.570463874854306E-3</v>
      </c>
      <c r="AD91" s="243" t="str">
        <f>Q91</f>
        <v>Property affected</v>
      </c>
      <c r="AE91" s="672">
        <f ca="1">(AC91*NHHProps_CAM)/((S91-T91)*AllProps_CAM)</f>
        <v>3.566915830051022E-2</v>
      </c>
    </row>
    <row r="92" spans="1:31" x14ac:dyDescent="0.35">
      <c r="A92" s="7" t="s">
        <v>876</v>
      </c>
      <c r="B92" s="7" t="s">
        <v>138</v>
      </c>
      <c r="C92" s="7" t="s">
        <v>1007</v>
      </c>
      <c r="D92" s="377" t="s">
        <v>127</v>
      </c>
      <c r="E92" s="124">
        <f ca="1">INDEX(INDIRECT("ExtWTP_"&amp;$C92&amp;"_UnitValues"),5,2)</f>
        <v>249</v>
      </c>
      <c r="F92" s="383">
        <f t="shared" ca="1" si="52"/>
        <v>1.2500000000000001E-2</v>
      </c>
      <c r="G92" s="383">
        <f t="shared" ca="1" si="52"/>
        <v>8.3333333333333332E-3</v>
      </c>
      <c r="H92" s="431">
        <f t="shared" ca="1" si="53"/>
        <v>2.3562800507588295E-4</v>
      </c>
      <c r="I92" s="431">
        <f t="shared" ca="1" si="54"/>
        <v>4.1117889914467278E-4</v>
      </c>
      <c r="J92" s="431">
        <f t="shared" ca="1" si="55"/>
        <v>6.4680690422055573E-4</v>
      </c>
      <c r="K92" s="213">
        <f ca="1">E92*(F92-G92)</f>
        <v>1.0375000000000003</v>
      </c>
      <c r="L92" s="429">
        <f ca="1">INDEX(INDIRECT("SSW_WTPCore_DCE_"&amp;$B92&amp;"_UnitValues"),MATCH("COMBINED-NHH",WTPCore_Group,0),MATCH("MEAN",LMH,0))</f>
        <v>260.23872775996313</v>
      </c>
      <c r="M92" s="429">
        <f ca="1">L92*(F92-G92)*(AllProps_SSW/NHHProps_SSW)</f>
        <v>20.589685534591201</v>
      </c>
      <c r="N92" s="89">
        <f ca="1">INDEX(INDIRECT("SSW_WTPCore2_"&amp;$B92&amp;"_UnitValues"),2,MATCH("MEAN",LMH,0))</f>
        <v>36.166957745748803</v>
      </c>
      <c r="O92" s="429">
        <f ca="1">N92*($F92-$G92)*(AllProps_SSW/NHHProps_SSW)</f>
        <v>2.8614737442717386</v>
      </c>
      <c r="P92" s="16">
        <f t="shared" ca="1" si="60"/>
        <v>10.689318309316736</v>
      </c>
      <c r="Q92" s="377" t="s">
        <v>127</v>
      </c>
      <c r="R92" s="391">
        <f ca="1">P92*NHHProps_SSW/((F92-G92)*AllProps_SSW)</f>
        <v>135.10524931351742</v>
      </c>
      <c r="S92" s="383">
        <f t="shared" ca="1" si="56"/>
        <v>2.5000000000000001E-2</v>
      </c>
      <c r="T92" s="383">
        <f t="shared" ca="1" si="56"/>
        <v>1.6666666666666666E-2</v>
      </c>
      <c r="U92" s="431">
        <f t="shared" ca="1" si="57"/>
        <v>2.654718763279678E-4</v>
      </c>
      <c r="V92" s="431">
        <f t="shared" ca="1" si="58"/>
        <v>1.3401602008677625E-5</v>
      </c>
      <c r="W92" s="431">
        <f t="shared" ca="1" si="61"/>
        <v>2.7887347833664542E-4</v>
      </c>
      <c r="X92" s="213">
        <f t="shared" ca="1" si="62"/>
        <v>2.0750000000000006</v>
      </c>
      <c r="Y92" s="429">
        <f ca="1">INDEX(INDIRECT("CAM_WTPCore_"&amp;$B92&amp;"_UnitValues"),MATCH("COMBINED-NHH",WTPCore_Group,0),MATCH("MEAN",LMH,0))</f>
        <v>76.122762573196539</v>
      </c>
      <c r="Z92" s="429">
        <f ca="1">Y92*(S92-T92)*(AllProps_CAM/NHHProps_CAM)</f>
        <v>10.666666666666668</v>
      </c>
      <c r="AA92" s="89">
        <f t="shared" ca="1" si="59"/>
        <v>10.189737398103325</v>
      </c>
      <c r="AB92" s="429">
        <f ca="1">AA92*($S92-$T92)*(AllProps_CAM/NHHProps_CAM)</f>
        <v>1.4278322090836246</v>
      </c>
      <c r="AC92" s="16">
        <f t="shared" ca="1" si="63"/>
        <v>5.7617265096078412E-3</v>
      </c>
      <c r="AD92" s="243" t="str">
        <f>Q92</f>
        <v>Property affected</v>
      </c>
      <c r="AE92" s="672">
        <f ca="1">(AC92*NHHProps_CAM)/((S92-T92)*AllProps_CAM)</f>
        <v>4.1118613040865948E-2</v>
      </c>
    </row>
    <row r="93" spans="1:31" x14ac:dyDescent="0.35">
      <c r="A93" s="7" t="s">
        <v>1010</v>
      </c>
      <c r="B93" s="7" t="s">
        <v>144</v>
      </c>
      <c r="C93" s="7" t="str">
        <f>B93</f>
        <v>TempBan</v>
      </c>
      <c r="D93" s="377" t="s">
        <v>127</v>
      </c>
      <c r="E93" s="433">
        <f ca="1">INDEX(INDIRECT("ExtWTP_NEUseBan_UnitValues"),4,2)</f>
        <v>112</v>
      </c>
      <c r="F93" s="383">
        <f t="shared" ca="1" si="52"/>
        <v>2.5000000000000001E-2</v>
      </c>
      <c r="G93" s="383">
        <f t="shared" ca="1" si="52"/>
        <v>1.6666666666666666E-2</v>
      </c>
      <c r="H93" s="431">
        <f t="shared" ca="1" si="53"/>
        <v>1.0363458862342743E-3</v>
      </c>
      <c r="I93" s="431">
        <f t="shared" ca="1" si="54"/>
        <v>6.2724159084084235E-4</v>
      </c>
      <c r="J93" s="431">
        <f t="shared" ca="1" si="55"/>
        <v>1.6635874770751166E-3</v>
      </c>
      <c r="K93" s="213">
        <f ca="1">E93*(F93-G93)</f>
        <v>0.93333333333333357</v>
      </c>
      <c r="L93" s="605">
        <f ca="1">INDEX(INDIRECT("SSW_WTPCore_DCE_"&amp;$C93&amp;"_UnitValues"),MATCH("COMBINED-NHH",WTPCore_Group,0),MATCH("MEAN",LMH,0))</f>
        <v>159200.29439999998</v>
      </c>
      <c r="M93" s="429">
        <f ca="1">L93*(F93-G93)/NHHProps_SSW*100</f>
        <v>4.4240000000000004</v>
      </c>
      <c r="N93" s="245">
        <f ca="1">INDEX(INDIRECT("SSW_WTPCore2_"&amp;$C93&amp;"_UnitValues"),2,MATCH("MEAN",LMH,0))</f>
        <v>264843.61611051176</v>
      </c>
      <c r="O93" s="429">
        <f ca="1">N93*(F93-G93)/NHHProps_SSW*100</f>
        <v>7.3597109985803169</v>
      </c>
      <c r="P93" s="16">
        <f t="shared" ca="1" si="60"/>
        <v>9.616093579465657</v>
      </c>
      <c r="Q93" s="477" t="s">
        <v>145</v>
      </c>
      <c r="R93" s="391">
        <f ca="1">P93*NHHProps_SSW/((F93-G93)*100)</f>
        <v>346040.89711321931</v>
      </c>
      <c r="S93" s="383">
        <f t="shared" ca="1" si="56"/>
        <v>0.02</v>
      </c>
      <c r="T93" s="383">
        <f t="shared" ca="1" si="56"/>
        <v>1.3333333333333334E-2</v>
      </c>
      <c r="U93" s="431">
        <f t="shared" ca="1" si="57"/>
        <v>1.3694025744847137E-3</v>
      </c>
      <c r="V93" s="431">
        <f t="shared" ca="1" si="58"/>
        <v>1.1073984405910726E-3</v>
      </c>
      <c r="W93" s="431">
        <f t="shared" ca="1" si="61"/>
        <v>2.4768010150757864E-3</v>
      </c>
      <c r="X93" s="213">
        <f t="shared" ca="1" si="62"/>
        <v>0.74666666666666659</v>
      </c>
      <c r="Y93" s="429">
        <f ca="1">INDEX(INDIRECT("CAM_WTPCore_"&amp;$C93&amp;"_UnitValues"),MATCH("COMBINED-NHH",WTPCore_Group,0),MATCH("MEAN",LMH,0))</f>
        <v>950206.4639999998</v>
      </c>
      <c r="Z93" s="429">
        <f ca="1">Y93*(S93-T93)/NHHProps_CAM*100</f>
        <v>73.727999999999966</v>
      </c>
      <c r="AA93" s="89">
        <f t="shared" ca="1" si="59"/>
        <v>163435.57878935931</v>
      </c>
      <c r="AB93" s="429">
        <f ca="1">AA93*(S93-T93)/NHHProps_CAM*100</f>
        <v>12.681221197188025</v>
      </c>
      <c r="AC93" s="16">
        <f t="shared" ca="1" si="63"/>
        <v>2.0732959649030613E-3</v>
      </c>
      <c r="AD93" s="243" t="str">
        <f>Q93</f>
        <v>1% change in risk</v>
      </c>
      <c r="AE93" s="668">
        <f ca="1">(AC93*NHHProps_CAM)/((S93-T93)*100)</f>
        <v>26.720638395670651</v>
      </c>
    </row>
    <row r="94" spans="1:31" x14ac:dyDescent="0.35">
      <c r="A94" s="7" t="s">
        <v>949</v>
      </c>
      <c r="B94" s="7" t="s">
        <v>136</v>
      </c>
      <c r="C94" s="7" t="str">
        <f>B94</f>
        <v>Hardness</v>
      </c>
      <c r="D94" s="377" t="s">
        <v>127</v>
      </c>
      <c r="E94" s="124">
        <f ca="1">INDEX(INDIRECT("ExtWTP_"&amp;$B94&amp;"_UnitValues"),5,2)</f>
        <v>10</v>
      </c>
      <c r="F94" s="444">
        <f t="shared" ca="1" si="52"/>
        <v>0</v>
      </c>
      <c r="G94" s="444">
        <f t="shared" ca="1" si="52"/>
        <v>4000</v>
      </c>
      <c r="H94" s="431">
        <f t="shared" ca="1" si="53"/>
        <v>4.1590321254674992E-3</v>
      </c>
      <c r="I94" s="431">
        <f t="shared" ca="1" si="54"/>
        <v>5.1578958405461544E-4</v>
      </c>
      <c r="J94" s="431">
        <f t="shared" ca="1" si="55"/>
        <v>4.6748217095221147E-3</v>
      </c>
      <c r="K94" s="213">
        <f ca="1">-E94*(F94-G94)/NHHProps_SSW</f>
        <v>1.3338668800853675</v>
      </c>
      <c r="L94" s="429">
        <f ca="1">INDEX(INDIRECT("SSW_WTPCore_DCE_"&amp;$C94&amp;"_UnitValues"),MATCH("COMBINED-NHH",WTPCore_Group,0),MATCH("MEAN",LMH,0))</f>
        <v>8.1544398647758722</v>
      </c>
      <c r="M94" s="429">
        <f ca="1">-L94*(F94-G94)/NHHProps_SSW</f>
        <v>1.0876937261272339</v>
      </c>
      <c r="N94" s="89">
        <f ca="1">INDEX(INDIRECT("SSW_WTPCore2_"&amp;$C94&amp;"_UnitValues"),2,MATCH("MEAN",LMH,0))</f>
        <v>155.04854008821499</v>
      </c>
      <c r="O94" s="429">
        <f ca="1">-N94*(F94-G94)/NHHProps_SSW</f>
        <v>20.681411242925837</v>
      </c>
      <c r="P94" s="16">
        <f t="shared" ca="1" si="60"/>
        <v>13.742773651554415</v>
      </c>
      <c r="Q94" s="377" t="s">
        <v>127</v>
      </c>
      <c r="R94" s="391">
        <f ca="1">-P94*NHHProps_SSW/((F94-G94))</f>
        <v>103.02957406570344</v>
      </c>
      <c r="S94" s="444">
        <f t="shared" ca="1" si="56"/>
        <v>0</v>
      </c>
      <c r="T94" s="444">
        <f t="shared" ca="1" si="56"/>
        <v>1350</v>
      </c>
      <c r="U94" s="431">
        <f t="shared" ca="1" si="57"/>
        <v>5.8970314160098417E-2</v>
      </c>
      <c r="V94" s="431">
        <f t="shared" ca="1" si="58"/>
        <v>4.2450333610873081E-4</v>
      </c>
      <c r="W94" s="431">
        <f t="shared" ca="1" si="61"/>
        <v>5.9394817496207147E-2</v>
      </c>
      <c r="X94" s="213">
        <f ca="1">-E94*(S94-T94)</f>
        <v>13500</v>
      </c>
      <c r="Y94" s="429">
        <f ca="1">INDEX(INDIRECT("CAM_WTPCore_"&amp;$C94&amp;"_UnitValues"),MATCH("COMBINED-NHH",WTPCore_Group,0),MATCH("MEAN",LMH,0))</f>
        <v>4.8718568046845796</v>
      </c>
      <c r="Z94" s="429">
        <f ca="1">-Y94*(S94-T94)/NHHProps_CAM</f>
        <v>0.76548029403214413</v>
      </c>
      <c r="AA94" s="89">
        <f t="shared" ca="1" si="59"/>
        <v>1935.4368831617396</v>
      </c>
      <c r="AB94" s="429">
        <f ca="1">-AA94*(S94-T94)/NHHProps_CAM</f>
        <v>304.10146558058057</v>
      </c>
      <c r="AC94" s="16">
        <f t="shared" ca="1" si="63"/>
        <v>37.485931508291962</v>
      </c>
      <c r="AD94" s="243" t="str">
        <f>Q94</f>
        <v>Property affected</v>
      </c>
      <c r="AE94" s="673">
        <f ca="1">-(AC94*NHHProps_CAM)/((S94-T94)*AllProps_CAM)</f>
        <v>1.6513499213199174E-3</v>
      </c>
    </row>
    <row r="95" spans="1:31" x14ac:dyDescent="0.35">
      <c r="A95" s="7" t="s">
        <v>40</v>
      </c>
      <c r="B95" s="7" t="s">
        <v>40</v>
      </c>
      <c r="C95" s="7" t="s">
        <v>40</v>
      </c>
      <c r="D95" s="377" t="s">
        <v>728</v>
      </c>
      <c r="E95" s="124">
        <f ca="1">INDEX(INDIRECT("ExtWTP_"&amp;$B95&amp;"_UnitValues"),4,2)</f>
        <v>39706</v>
      </c>
      <c r="F95" s="444">
        <f t="shared" ca="1" si="52"/>
        <v>70.5</v>
      </c>
      <c r="G95" s="444">
        <f t="shared" ca="1" si="52"/>
        <v>35.25</v>
      </c>
      <c r="H95" s="431">
        <f t="shared" ca="1" si="53"/>
        <v>1.8366495603833657E-2</v>
      </c>
      <c r="I95" s="431">
        <f t="shared" ca="1" si="54"/>
        <v>6.6875105310339848E-3</v>
      </c>
      <c r="J95" s="431">
        <f t="shared" ca="1" si="55"/>
        <v>2.5054006134867642E-2</v>
      </c>
      <c r="K95" s="213">
        <f ca="1">E95*(F95-G95)/AllProps_SSW</f>
        <v>2.4579821750010975</v>
      </c>
      <c r="L95" s="429">
        <f ca="1">INDEX(INDIRECT("SSW_WTPCore_DCE_"&amp;$C95&amp;"_UnitValues"),MATCH("COMBINED-NHH",WTPCore_Group,0),MATCH("MEAN",LMH,0))</f>
        <v>18818.001702127662</v>
      </c>
      <c r="M95" s="429">
        <f ca="1">L95*(F95-G95)/NHHProps_SSW</f>
        <v>22.12</v>
      </c>
      <c r="N95" s="89">
        <f ca="1">INDEX(INDIRECT("SSW_WTPCore2_"&amp;$C95&amp;"_UnitValues"),2,MATCH("MEAN",LMH,0))</f>
        <v>94293.266018211216</v>
      </c>
      <c r="O95" s="429">
        <f ca="1">N95*(F95-G95)/NHHProps_SSW</f>
        <v>110.83892314065444</v>
      </c>
      <c r="P95" s="16">
        <f t="shared" ca="1" si="60"/>
        <v>25.324485655145445</v>
      </c>
      <c r="Q95" s="377" t="s">
        <v>728</v>
      </c>
      <c r="R95" s="391">
        <f ca="1">P95*NHHProps_SSW/((F95-G95))</f>
        <v>21544.132647560327</v>
      </c>
      <c r="S95" s="444">
        <f t="shared" ca="1" si="56"/>
        <v>13.5</v>
      </c>
      <c r="T95" s="444">
        <f t="shared" ca="1" si="56"/>
        <v>6.75</v>
      </c>
      <c r="U95" s="431">
        <f t="shared" ca="1" si="57"/>
        <v>7.1569068986342493E-2</v>
      </c>
      <c r="V95" s="431">
        <f t="shared" ca="1" si="58"/>
        <v>3.5284810800562588E-2</v>
      </c>
      <c r="W95" s="431">
        <f t="shared" ca="1" si="61"/>
        <v>0.10685387978690508</v>
      </c>
      <c r="X95" s="213">
        <f t="shared" ca="1" si="62"/>
        <v>268015.5</v>
      </c>
      <c r="Y95" s="429">
        <f ca="1">INDEX(INDIRECT("CAM_WTPCore_"&amp;$C95&amp;"_UnitValues"),MATCH("COMBINED-NHH",WTPCore_Group,0),MATCH("MEAN",LMH,0))</f>
        <v>13034.382222222222</v>
      </c>
      <c r="Z95" s="429">
        <f ca="1">Y95*(S95-T95)/NHHProps_CAM</f>
        <v>10.24</v>
      </c>
      <c r="AA95" s="89">
        <f t="shared" ca="1" si="59"/>
        <v>696387.155534953</v>
      </c>
      <c r="AB95" s="429">
        <f ca="1">AA95*(S95-T95)/NHHProps_CAM</f>
        <v>547.09186450895402</v>
      </c>
      <c r="AC95" s="16">
        <f ca="1">X95*AA$97/X$96</f>
        <v>744.20819823412035</v>
      </c>
      <c r="AD95" s="243" t="s">
        <v>728</v>
      </c>
      <c r="AE95" s="668">
        <f ca="1">AC95*NHHProps_CAM/((S95-T95))</f>
        <v>947294.34655223135</v>
      </c>
    </row>
    <row r="96" spans="1:31" ht="15" thickBot="1" x14ac:dyDescent="0.4">
      <c r="D96" s="432"/>
      <c r="E96" s="387" t="s">
        <v>1017</v>
      </c>
      <c r="F96" s="16"/>
      <c r="G96" s="16"/>
      <c r="H96" s="16"/>
      <c r="I96" s="16"/>
      <c r="J96" s="330">
        <f ca="1">SUM(J90:J95)*AvgNHHBill_SSW</f>
        <v>246.00191711991121</v>
      </c>
      <c r="K96" s="331">
        <f ca="1">SUM(K90:K95)</f>
        <v>15.49601572175313</v>
      </c>
      <c r="L96" s="331"/>
      <c r="M96" s="331">
        <f ca="1">SUM(M90:M95)</f>
        <v>73.307662785622654</v>
      </c>
      <c r="N96" s="331"/>
      <c r="O96" s="331">
        <f ca="1">SUM(O90:O95)</f>
        <v>246.00191711991118</v>
      </c>
      <c r="P96" s="331">
        <f ca="1">SUM(P90:P95)</f>
        <v>159.65478995276692</v>
      </c>
      <c r="Q96"/>
      <c r="R96" s="667"/>
      <c r="S96" s="16"/>
      <c r="T96" s="16"/>
      <c r="U96" s="16"/>
      <c r="V96" s="16"/>
      <c r="W96" s="611">
        <f ca="1">SUM(W90:W95)*AvgNHHBill_CAM</f>
        <v>1429.0428085037006</v>
      </c>
      <c r="X96" s="331">
        <f ca="1">SUM(X90:X95)</f>
        <v>281521.43541514041</v>
      </c>
      <c r="Y96" s="331"/>
      <c r="Z96" s="331">
        <f ca="1">SUM(Z90:Z95)</f>
        <v>134.37841313896496</v>
      </c>
      <c r="AA96" s="331"/>
      <c r="AB96" s="331">
        <f ca="1">SUM(AB90:AB95)</f>
        <v>1429.0428085037006</v>
      </c>
      <c r="AC96" s="331">
        <f ca="1">SUM(AC90:AC95)</f>
        <v>781.71061082133281</v>
      </c>
      <c r="AE96" s="671"/>
    </row>
    <row r="97" spans="1:31" x14ac:dyDescent="0.35">
      <c r="A97" s="50"/>
      <c r="B97" s="50"/>
      <c r="C97" s="50"/>
      <c r="D97" s="380"/>
      <c r="E97" s="371"/>
      <c r="F97" s="352"/>
      <c r="G97" s="352"/>
      <c r="H97" s="352"/>
      <c r="I97" s="352"/>
      <c r="J97" s="352"/>
      <c r="K97" s="50"/>
      <c r="L97" s="50"/>
      <c r="M97" s="39" t="s">
        <v>361</v>
      </c>
      <c r="N97" s="546">
        <f ca="1">AVERAGE(M96,O96)</f>
        <v>159.65478995276692</v>
      </c>
      <c r="O97" s="39"/>
      <c r="P97" s="384"/>
      <c r="Q97" s="50"/>
      <c r="R97" s="50"/>
      <c r="S97" s="352"/>
      <c r="T97" s="352"/>
      <c r="U97" s="352"/>
      <c r="V97" s="352"/>
      <c r="W97" s="352"/>
      <c r="X97" s="50"/>
      <c r="Y97" s="50"/>
      <c r="Z97" s="39" t="s">
        <v>361</v>
      </c>
      <c r="AA97" s="546">
        <f ca="1">AVERAGE(Z96,AB96)</f>
        <v>781.71061082133281</v>
      </c>
      <c r="AB97" s="39"/>
      <c r="AC97" s="384"/>
      <c r="AD97" s="50"/>
      <c r="AE97" s="50"/>
    </row>
    <row r="98" spans="1:31" x14ac:dyDescent="0.35">
      <c r="J98" s="434" t="s">
        <v>551</v>
      </c>
      <c r="P98" s="330"/>
      <c r="W98" s="434" t="s">
        <v>1018</v>
      </c>
    </row>
    <row r="99" spans="1:31" x14ac:dyDescent="0.35"/>
    <row r="100" spans="1:31" x14ac:dyDescent="0.35"/>
    <row r="101" spans="1:31" x14ac:dyDescent="0.35"/>
    <row r="102" spans="1:31" x14ac:dyDescent="0.3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theme="6"/>
  </sheetPr>
  <dimension ref="A1:BL198"/>
  <sheetViews>
    <sheetView zoomScale="70" zoomScaleNormal="70" workbookViewId="0">
      <pane xSplit="1" ySplit="5" topLeftCell="B6" activePane="bottomRight" state="frozen"/>
      <selection pane="topRight"/>
      <selection pane="bottomLeft"/>
      <selection pane="bottomRight"/>
    </sheetView>
  </sheetViews>
  <sheetFormatPr defaultColWidth="0" defaultRowHeight="14.5" zeroHeight="1" x14ac:dyDescent="0.35"/>
  <cols>
    <col min="1" max="1" width="58.26953125" style="7" customWidth="1"/>
    <col min="2" max="2" width="63.453125" style="7" customWidth="1"/>
    <col min="3" max="3" width="93.54296875" style="7" bestFit="1" customWidth="1"/>
    <col min="4" max="6" width="17.1796875" style="361" customWidth="1"/>
    <col min="7" max="7" width="175" style="7" customWidth="1"/>
    <col min="8" max="21" width="57.54296875" style="7" customWidth="1"/>
    <col min="22" max="22" width="9.1796875" style="7" customWidth="1"/>
    <col min="23" max="64" width="0" style="7" hidden="1" customWidth="1"/>
    <col min="65" max="16384" width="9.1796875" style="7" hidden="1"/>
  </cols>
  <sheetData>
    <row r="1" spans="1:60" ht="28.5" x14ac:dyDescent="0.65">
      <c r="A1" s="76" t="s">
        <v>1019</v>
      </c>
      <c r="B1" s="76"/>
      <c r="C1" s="76"/>
      <c r="D1" s="76"/>
      <c r="E1" s="76"/>
      <c r="F1" s="76"/>
      <c r="G1" s="76"/>
      <c r="H1" s="76"/>
      <c r="I1" s="76"/>
      <c r="J1" s="76"/>
      <c r="K1" s="76"/>
      <c r="L1" s="76"/>
      <c r="M1" s="76"/>
      <c r="N1" s="76"/>
      <c r="O1" s="76"/>
      <c r="P1" s="76"/>
      <c r="Q1" s="76"/>
      <c r="R1" s="76"/>
      <c r="S1" s="76"/>
      <c r="T1" s="76"/>
      <c r="U1" s="76"/>
    </row>
    <row r="2" spans="1:60" x14ac:dyDescent="0.35">
      <c r="A2" s="82"/>
      <c r="B2" s="52"/>
      <c r="C2" s="52"/>
      <c r="D2" s="52"/>
      <c r="E2" s="52"/>
      <c r="F2" s="52"/>
      <c r="G2" s="52"/>
      <c r="H2" s="52"/>
      <c r="I2" s="52"/>
      <c r="J2" s="52"/>
      <c r="K2" s="52"/>
      <c r="L2" s="52"/>
      <c r="M2" s="52"/>
      <c r="N2" s="52"/>
      <c r="O2" s="52"/>
      <c r="P2" s="52"/>
      <c r="Q2" s="52"/>
      <c r="R2" s="52"/>
      <c r="S2" s="52"/>
      <c r="T2" s="52"/>
      <c r="U2" s="52"/>
    </row>
    <row r="3" spans="1:60" s="368" customFormat="1" ht="21" customHeight="1" x14ac:dyDescent="0.35">
      <c r="A3" s="52"/>
      <c r="B3" s="52"/>
      <c r="C3" s="52" t="s">
        <v>1020</v>
      </c>
      <c r="D3" s="52"/>
      <c r="E3" s="52"/>
      <c r="F3" s="52"/>
      <c r="G3" s="52"/>
      <c r="H3" s="52"/>
      <c r="I3" s="52"/>
      <c r="J3" s="52"/>
      <c r="K3" s="52"/>
      <c r="L3" s="52"/>
      <c r="M3" s="52"/>
      <c r="N3" s="52"/>
      <c r="O3" s="52"/>
      <c r="P3" s="52"/>
      <c r="Q3" s="52"/>
      <c r="R3" s="52"/>
      <c r="S3" s="52"/>
      <c r="T3" s="52"/>
      <c r="U3" s="52"/>
    </row>
    <row r="4" spans="1:60" x14ac:dyDescent="0.35">
      <c r="A4" s="52" t="s">
        <v>796</v>
      </c>
      <c r="B4" s="86" t="s">
        <v>797</v>
      </c>
      <c r="C4" s="52" t="s">
        <v>417</v>
      </c>
      <c r="D4" s="370" t="s">
        <v>1021</v>
      </c>
      <c r="E4" s="370"/>
      <c r="F4" s="370"/>
      <c r="G4" s="52" t="s">
        <v>210</v>
      </c>
      <c r="H4" s="52"/>
      <c r="I4" s="52"/>
      <c r="J4" s="52"/>
      <c r="K4" s="52"/>
      <c r="L4" s="52"/>
      <c r="M4" s="52"/>
      <c r="N4" s="52"/>
      <c r="O4" s="52"/>
      <c r="P4" s="52"/>
      <c r="Q4" s="52"/>
      <c r="R4" s="52"/>
      <c r="S4" s="52"/>
      <c r="T4" s="52"/>
      <c r="U4" s="52"/>
    </row>
    <row r="5" spans="1:60" x14ac:dyDescent="0.35">
      <c r="A5" s="52"/>
      <c r="B5" s="369"/>
      <c r="C5" s="52"/>
      <c r="D5" s="369" t="s">
        <v>21</v>
      </c>
      <c r="E5" s="369" t="s">
        <v>22</v>
      </c>
      <c r="F5" s="369" t="s">
        <v>799</v>
      </c>
      <c r="G5" s="52"/>
      <c r="H5" s="52"/>
      <c r="I5" s="52"/>
      <c r="J5" s="52"/>
      <c r="K5" s="52"/>
      <c r="L5" s="52"/>
      <c r="M5" s="52"/>
      <c r="N5" s="52"/>
      <c r="O5" s="52"/>
      <c r="P5" s="52"/>
      <c r="Q5" s="52"/>
      <c r="R5" s="52"/>
      <c r="S5" s="52"/>
      <c r="T5" s="52"/>
      <c r="U5" s="52"/>
    </row>
    <row r="6" spans="1:60" s="317" customFormat="1" ht="18.5" x14ac:dyDescent="0.45">
      <c r="A6" s="372" t="s">
        <v>129</v>
      </c>
      <c r="B6" s="373"/>
      <c r="C6" s="51"/>
      <c r="D6" s="373"/>
      <c r="E6" s="373"/>
      <c r="F6" s="373"/>
      <c r="G6" s="374"/>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row>
    <row r="7" spans="1:60" x14ac:dyDescent="0.35">
      <c r="A7" s="7" t="s">
        <v>89</v>
      </c>
      <c r="B7" s="7" t="s">
        <v>1022</v>
      </c>
      <c r="C7" s="7" t="s">
        <v>1023</v>
      </c>
      <c r="D7" s="361">
        <v>314</v>
      </c>
      <c r="E7" s="361">
        <v>873</v>
      </c>
      <c r="F7" s="361">
        <v>340</v>
      </c>
      <c r="G7" s="7" t="s">
        <v>1024</v>
      </c>
    </row>
    <row r="8" spans="1:60" x14ac:dyDescent="0.35">
      <c r="A8" s="7" t="s">
        <v>91</v>
      </c>
      <c r="B8" s="7" t="s">
        <v>1025</v>
      </c>
      <c r="C8" s="7" t="s">
        <v>1026</v>
      </c>
      <c r="D8" s="361">
        <v>75</v>
      </c>
      <c r="E8" s="361">
        <v>963</v>
      </c>
      <c r="F8" s="361">
        <v>131</v>
      </c>
      <c r="G8" s="7" t="s">
        <v>1027</v>
      </c>
    </row>
    <row r="9" spans="1:60" x14ac:dyDescent="0.35">
      <c r="A9" s="7" t="s">
        <v>92</v>
      </c>
      <c r="B9" s="7" t="s">
        <v>1025</v>
      </c>
      <c r="C9" s="7" t="s">
        <v>1026</v>
      </c>
      <c r="D9" s="361">
        <v>231</v>
      </c>
      <c r="E9" s="361">
        <v>9635</v>
      </c>
      <c r="F9" s="361">
        <v>898</v>
      </c>
      <c r="G9" s="7" t="s">
        <v>1027</v>
      </c>
    </row>
    <row r="10" spans="1:60" x14ac:dyDescent="0.35">
      <c r="A10" s="7" t="s">
        <v>100</v>
      </c>
      <c r="B10" s="7" t="s">
        <v>1028</v>
      </c>
      <c r="C10" s="7" t="s">
        <v>1029</v>
      </c>
      <c r="D10" s="361">
        <v>60</v>
      </c>
      <c r="E10" s="361">
        <v>353</v>
      </c>
      <c r="F10" s="361">
        <v>74</v>
      </c>
      <c r="G10" s="7" t="s">
        <v>1030</v>
      </c>
    </row>
    <row r="11" spans="1:60" x14ac:dyDescent="0.35">
      <c r="A11" s="7" t="s">
        <v>101</v>
      </c>
      <c r="B11" s="7" t="s">
        <v>1031</v>
      </c>
      <c r="C11" s="7" t="s">
        <v>1029</v>
      </c>
      <c r="D11" s="361">
        <v>139</v>
      </c>
      <c r="E11" s="361">
        <v>953</v>
      </c>
      <c r="F11" s="361">
        <v>182</v>
      </c>
      <c r="G11" s="7" t="s">
        <v>1032</v>
      </c>
    </row>
    <row r="12" spans="1:60" x14ac:dyDescent="0.35">
      <c r="A12" s="7" t="s">
        <v>1033</v>
      </c>
      <c r="B12" s="7" t="s">
        <v>1034</v>
      </c>
      <c r="C12" s="7" t="s">
        <v>1029</v>
      </c>
      <c r="D12" s="361">
        <v>90</v>
      </c>
      <c r="G12" s="7" t="s">
        <v>1035</v>
      </c>
    </row>
    <row r="13" spans="1:60" s="317" customFormat="1" ht="18.5" x14ac:dyDescent="0.45">
      <c r="A13" s="372" t="s">
        <v>131</v>
      </c>
      <c r="B13" s="7"/>
      <c r="C13" s="7"/>
      <c r="D13" s="361"/>
      <c r="E13" s="361"/>
      <c r="F13" s="361"/>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row>
    <row r="14" spans="1:60" x14ac:dyDescent="0.35">
      <c r="A14" s="7" t="s">
        <v>91</v>
      </c>
      <c r="B14" s="7" t="s">
        <v>1036</v>
      </c>
      <c r="C14" s="7" t="s">
        <v>1037</v>
      </c>
      <c r="D14" s="361">
        <v>231</v>
      </c>
      <c r="E14" s="361">
        <v>2812</v>
      </c>
      <c r="F14" s="361">
        <v>393</v>
      </c>
      <c r="G14" s="7" t="s">
        <v>442</v>
      </c>
    </row>
    <row r="15" spans="1:60" x14ac:dyDescent="0.35">
      <c r="A15" s="7" t="s">
        <v>92</v>
      </c>
      <c r="B15" s="7" t="s">
        <v>1036</v>
      </c>
      <c r="C15" s="7" t="s">
        <v>1037</v>
      </c>
      <c r="D15" s="361">
        <v>255</v>
      </c>
      <c r="E15" s="361">
        <v>14953</v>
      </c>
      <c r="F15" s="361">
        <v>1298</v>
      </c>
      <c r="G15" s="7" t="s">
        <v>442</v>
      </c>
    </row>
    <row r="16" spans="1:60" x14ac:dyDescent="0.35">
      <c r="A16" s="7" t="s">
        <v>95</v>
      </c>
      <c r="B16" s="7" t="s">
        <v>1038</v>
      </c>
      <c r="C16" s="7" t="s">
        <v>1039</v>
      </c>
      <c r="D16" s="361">
        <v>38235</v>
      </c>
      <c r="E16" s="361">
        <v>234737</v>
      </c>
      <c r="F16" s="361">
        <v>48929</v>
      </c>
      <c r="G16" s="7" t="s">
        <v>1040</v>
      </c>
    </row>
    <row r="17" spans="1:60" x14ac:dyDescent="0.35">
      <c r="A17" s="7" t="s">
        <v>98</v>
      </c>
      <c r="B17" s="7" t="s">
        <v>1041</v>
      </c>
      <c r="C17" s="7" t="s">
        <v>1039</v>
      </c>
      <c r="D17" s="361">
        <v>1455</v>
      </c>
      <c r="E17" s="361">
        <v>3325</v>
      </c>
      <c r="F17" s="361">
        <v>1567</v>
      </c>
      <c r="G17" s="7" t="s">
        <v>1042</v>
      </c>
    </row>
    <row r="18" spans="1:60" x14ac:dyDescent="0.35">
      <c r="A18" s="7" t="s">
        <v>100</v>
      </c>
      <c r="B18" s="7" t="s">
        <v>1043</v>
      </c>
      <c r="C18" s="7" t="s">
        <v>1039</v>
      </c>
      <c r="D18" s="361">
        <v>147</v>
      </c>
      <c r="E18" s="361">
        <v>804</v>
      </c>
      <c r="F18" s="361">
        <v>178</v>
      </c>
      <c r="G18" s="7" t="s">
        <v>1044</v>
      </c>
    </row>
    <row r="19" spans="1:60" x14ac:dyDescent="0.35">
      <c r="A19" s="7" t="s">
        <v>101</v>
      </c>
      <c r="B19" s="7" t="s">
        <v>1045</v>
      </c>
      <c r="C19" s="7" t="s">
        <v>1046</v>
      </c>
      <c r="D19" s="361">
        <v>266</v>
      </c>
      <c r="E19" s="361">
        <v>1643</v>
      </c>
      <c r="F19" s="361">
        <v>338</v>
      </c>
      <c r="G19" s="7" t="s">
        <v>1044</v>
      </c>
    </row>
    <row r="20" spans="1:60" x14ac:dyDescent="0.35">
      <c r="A20" s="7" t="s">
        <v>1033</v>
      </c>
      <c r="B20" s="7" t="s">
        <v>1047</v>
      </c>
      <c r="C20" s="7" t="s">
        <v>1046</v>
      </c>
      <c r="D20" s="361">
        <v>2132</v>
      </c>
      <c r="G20" s="7" t="s">
        <v>1042</v>
      </c>
    </row>
    <row r="21" spans="1:60" s="317" customFormat="1" ht="18.5" x14ac:dyDescent="0.45">
      <c r="A21" s="372" t="s">
        <v>843</v>
      </c>
      <c r="B21" s="7"/>
      <c r="C21" s="7"/>
      <c r="D21" s="361"/>
      <c r="E21" s="361"/>
      <c r="F21" s="361"/>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row>
    <row r="22" spans="1:60" x14ac:dyDescent="0.35">
      <c r="A22" s="7" t="s">
        <v>90</v>
      </c>
      <c r="B22" s="7" t="s">
        <v>1048</v>
      </c>
      <c r="C22" s="7" t="s">
        <v>828</v>
      </c>
      <c r="D22" s="361">
        <v>3234</v>
      </c>
      <c r="E22" s="361">
        <v>43069</v>
      </c>
      <c r="F22" s="361">
        <v>5262</v>
      </c>
      <c r="G22" s="7" t="s">
        <v>840</v>
      </c>
    </row>
    <row r="23" spans="1:60" s="317" customFormat="1" ht="18.5" x14ac:dyDescent="0.45">
      <c r="A23" s="372" t="s">
        <v>849</v>
      </c>
      <c r="B23" s="7"/>
      <c r="C23" s="7"/>
      <c r="D23" s="361"/>
      <c r="E23" s="361"/>
      <c r="F23" s="361"/>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row>
    <row r="24" spans="1:60" x14ac:dyDescent="0.35">
      <c r="A24" s="7" t="s">
        <v>95</v>
      </c>
      <c r="B24" s="7" t="s">
        <v>1049</v>
      </c>
      <c r="C24" s="7" t="s">
        <v>1050</v>
      </c>
      <c r="D24" s="361">
        <v>132</v>
      </c>
      <c r="E24" s="361">
        <v>961</v>
      </c>
      <c r="F24" s="361">
        <v>177</v>
      </c>
      <c r="G24" s="7" t="s">
        <v>1051</v>
      </c>
    </row>
    <row r="25" spans="1:60" x14ac:dyDescent="0.35">
      <c r="A25" s="7" t="s">
        <v>97</v>
      </c>
      <c r="B25" s="7" t="s">
        <v>1052</v>
      </c>
      <c r="C25" s="7" t="s">
        <v>1053</v>
      </c>
      <c r="D25" s="361">
        <v>1312</v>
      </c>
      <c r="E25" s="361">
        <v>5161</v>
      </c>
      <c r="F25" s="361">
        <v>1528</v>
      </c>
      <c r="G25" s="7" t="s">
        <v>1054</v>
      </c>
    </row>
    <row r="26" spans="1:60" x14ac:dyDescent="0.35">
      <c r="A26" s="7" t="s">
        <v>1033</v>
      </c>
      <c r="B26" s="7" t="s">
        <v>1055</v>
      </c>
      <c r="C26" s="7" t="s">
        <v>1056</v>
      </c>
      <c r="D26" s="361">
        <v>632</v>
      </c>
      <c r="G26" s="7" t="s">
        <v>1057</v>
      </c>
    </row>
    <row r="27" spans="1:60" s="317" customFormat="1" ht="18.5" x14ac:dyDescent="0.45">
      <c r="A27" s="372" t="s">
        <v>855</v>
      </c>
      <c r="B27" s="7"/>
      <c r="C27" s="7"/>
      <c r="D27" s="361"/>
      <c r="E27" s="361"/>
      <c r="F27" s="361"/>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row>
    <row r="28" spans="1:60" x14ac:dyDescent="0.35">
      <c r="A28" s="23" t="s">
        <v>93</v>
      </c>
      <c r="B28" s="23" t="s">
        <v>1058</v>
      </c>
      <c r="C28" s="23" t="s">
        <v>1059</v>
      </c>
      <c r="D28" s="439">
        <v>310</v>
      </c>
      <c r="E28" s="439">
        <v>701</v>
      </c>
      <c r="F28" s="439">
        <v>329</v>
      </c>
      <c r="G28" s="7" t="s">
        <v>1060</v>
      </c>
    </row>
    <row r="29" spans="1:60" x14ac:dyDescent="0.35">
      <c r="A29" s="23" t="s">
        <v>98</v>
      </c>
      <c r="B29" s="23" t="s">
        <v>1061</v>
      </c>
      <c r="C29" s="23" t="s">
        <v>1062</v>
      </c>
      <c r="D29" s="439">
        <v>515</v>
      </c>
      <c r="E29" s="439">
        <v>2524</v>
      </c>
      <c r="F29" s="439">
        <v>636</v>
      </c>
      <c r="G29" s="7" t="s">
        <v>840</v>
      </c>
    </row>
    <row r="30" spans="1:60" x14ac:dyDescent="0.35">
      <c r="A30" s="23" t="s">
        <v>100</v>
      </c>
      <c r="B30" s="23" t="s">
        <v>1063</v>
      </c>
      <c r="C30" s="23" t="s">
        <v>1064</v>
      </c>
      <c r="D30" s="439">
        <v>136</v>
      </c>
      <c r="E30" s="439">
        <v>1565</v>
      </c>
      <c r="F30" s="439">
        <v>203</v>
      </c>
      <c r="G30" s="7" t="s">
        <v>1065</v>
      </c>
    </row>
    <row r="31" spans="1:60" x14ac:dyDescent="0.35">
      <c r="A31" s="23" t="s">
        <v>101</v>
      </c>
      <c r="B31" s="23" t="s">
        <v>1066</v>
      </c>
      <c r="C31" s="23" t="s">
        <v>1067</v>
      </c>
      <c r="D31" s="439">
        <v>282</v>
      </c>
      <c r="E31" s="439">
        <v>4224</v>
      </c>
      <c r="F31" s="439">
        <v>488</v>
      </c>
      <c r="G31" s="7" t="s">
        <v>1068</v>
      </c>
    </row>
    <row r="32" spans="1:60" x14ac:dyDescent="0.35">
      <c r="A32" s="23" t="s">
        <v>105</v>
      </c>
      <c r="B32" s="23" t="s">
        <v>1069</v>
      </c>
      <c r="C32" s="23" t="s">
        <v>1070</v>
      </c>
      <c r="D32" s="439">
        <v>319</v>
      </c>
      <c r="E32" s="439">
        <v>10840</v>
      </c>
      <c r="F32" s="439">
        <v>895</v>
      </c>
      <c r="G32" s="7" t="s">
        <v>1071</v>
      </c>
    </row>
    <row r="33" spans="1:60" ht="18.5" x14ac:dyDescent="0.45">
      <c r="A33" s="440" t="s">
        <v>1072</v>
      </c>
      <c r="B33" s="23"/>
      <c r="C33" s="23"/>
      <c r="D33" s="439"/>
      <c r="E33" s="439"/>
      <c r="F33" s="439"/>
    </row>
    <row r="34" spans="1:60" x14ac:dyDescent="0.35">
      <c r="A34" s="23" t="s">
        <v>90</v>
      </c>
      <c r="B34" s="23" t="s">
        <v>1073</v>
      </c>
      <c r="C34" s="23" t="s">
        <v>1074</v>
      </c>
      <c r="D34" s="439">
        <v>3822</v>
      </c>
      <c r="E34" s="439">
        <v>65629</v>
      </c>
      <c r="F34" s="439">
        <v>6969</v>
      </c>
      <c r="G34" s="7" t="s">
        <v>840</v>
      </c>
    </row>
    <row r="35" spans="1:60" s="317" customFormat="1" ht="18.5" x14ac:dyDescent="0.45">
      <c r="A35" s="372" t="s">
        <v>876</v>
      </c>
      <c r="B35" s="7"/>
      <c r="C35" s="7"/>
      <c r="D35" s="361"/>
      <c r="E35" s="361"/>
      <c r="F35" s="361"/>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row>
    <row r="36" spans="1:60" x14ac:dyDescent="0.35">
      <c r="A36" s="7" t="s">
        <v>89</v>
      </c>
      <c r="B36" s="7" t="s">
        <v>1075</v>
      </c>
      <c r="C36" s="7" t="s">
        <v>1076</v>
      </c>
      <c r="D36" s="361">
        <v>943</v>
      </c>
      <c r="E36" s="361">
        <v>2182</v>
      </c>
      <c r="F36" s="361">
        <v>1000</v>
      </c>
      <c r="G36" s="7" t="s">
        <v>840</v>
      </c>
    </row>
    <row r="37" spans="1:60" x14ac:dyDescent="0.35">
      <c r="A37" s="7" t="s">
        <v>93</v>
      </c>
      <c r="B37" s="7" t="s">
        <v>1077</v>
      </c>
      <c r="C37" s="7" t="s">
        <v>1078</v>
      </c>
      <c r="D37" s="361">
        <v>174</v>
      </c>
      <c r="E37" s="361">
        <v>371</v>
      </c>
      <c r="F37" s="361">
        <v>184</v>
      </c>
      <c r="G37" s="7" t="s">
        <v>1079</v>
      </c>
    </row>
    <row r="38" spans="1:60" x14ac:dyDescent="0.35">
      <c r="A38" s="7" t="s">
        <v>98</v>
      </c>
      <c r="B38" s="7" t="s">
        <v>1080</v>
      </c>
      <c r="C38" s="7" t="s">
        <v>1081</v>
      </c>
      <c r="D38" s="361">
        <v>579</v>
      </c>
      <c r="E38" s="361">
        <v>2620</v>
      </c>
      <c r="F38" s="361">
        <v>702</v>
      </c>
      <c r="G38" s="7" t="s">
        <v>840</v>
      </c>
    </row>
    <row r="39" spans="1:60" x14ac:dyDescent="0.35">
      <c r="A39" s="7" t="s">
        <v>100</v>
      </c>
      <c r="B39" s="7" t="s">
        <v>1082</v>
      </c>
      <c r="C39" s="7" t="s">
        <v>1083</v>
      </c>
      <c r="D39" s="361">
        <v>287</v>
      </c>
      <c r="E39" s="361">
        <v>1941</v>
      </c>
      <c r="F39" s="361">
        <v>365</v>
      </c>
      <c r="G39" s="7" t="s">
        <v>1065</v>
      </c>
    </row>
    <row r="40" spans="1:60" x14ac:dyDescent="0.35">
      <c r="A40" s="7" t="s">
        <v>101</v>
      </c>
      <c r="B40" s="7" t="s">
        <v>1084</v>
      </c>
      <c r="C40" s="7" t="s">
        <v>1085</v>
      </c>
      <c r="D40" s="361">
        <v>515</v>
      </c>
      <c r="E40" s="361">
        <v>4699</v>
      </c>
      <c r="F40" s="361">
        <v>734</v>
      </c>
      <c r="G40" s="7" t="s">
        <v>840</v>
      </c>
    </row>
    <row r="41" spans="1:60" x14ac:dyDescent="0.35">
      <c r="A41" s="7" t="s">
        <v>106</v>
      </c>
      <c r="B41" s="7" t="s">
        <v>1086</v>
      </c>
      <c r="C41" s="7" t="s">
        <v>1087</v>
      </c>
      <c r="D41" s="361">
        <v>2495</v>
      </c>
      <c r="E41" s="361">
        <v>1663</v>
      </c>
      <c r="F41" s="361">
        <v>2379</v>
      </c>
      <c r="G41" s="7" t="s">
        <v>1088</v>
      </c>
    </row>
    <row r="42" spans="1:60" s="317" customFormat="1" ht="18.5" x14ac:dyDescent="0.45">
      <c r="A42" s="372" t="s">
        <v>890</v>
      </c>
      <c r="B42" s="7"/>
      <c r="C42" s="7"/>
      <c r="D42" s="361"/>
      <c r="E42" s="361"/>
      <c r="F42" s="361"/>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row>
    <row r="43" spans="1:60" s="317" customFormat="1" ht="18.5" x14ac:dyDescent="0.45">
      <c r="A43" s="441" t="s">
        <v>91</v>
      </c>
      <c r="B43" s="7"/>
      <c r="C43" s="7" t="s">
        <v>1089</v>
      </c>
      <c r="D43" s="361">
        <v>295</v>
      </c>
      <c r="E43" s="361">
        <v>12997</v>
      </c>
      <c r="F43" s="361">
        <v>1093</v>
      </c>
      <c r="G43" s="7" t="s">
        <v>840</v>
      </c>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row>
    <row r="44" spans="1:60" s="317" customFormat="1" ht="18.5" x14ac:dyDescent="0.45">
      <c r="A44" s="441" t="s">
        <v>92</v>
      </c>
      <c r="B44" s="7"/>
      <c r="C44" s="7" t="s">
        <v>1089</v>
      </c>
      <c r="D44" s="361">
        <v>90</v>
      </c>
      <c r="E44" s="361">
        <v>3686</v>
      </c>
      <c r="F44" s="361">
        <v>345</v>
      </c>
      <c r="G44" s="7" t="s">
        <v>840</v>
      </c>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row>
    <row r="45" spans="1:60" s="317" customFormat="1" ht="18.5" x14ac:dyDescent="0.45">
      <c r="A45" s="441" t="s">
        <v>100</v>
      </c>
      <c r="B45" s="7" t="s">
        <v>1090</v>
      </c>
      <c r="C45" s="7" t="s">
        <v>1091</v>
      </c>
      <c r="D45" s="361">
        <v>293</v>
      </c>
      <c r="E45" s="361">
        <v>2661</v>
      </c>
      <c r="F45" s="361">
        <v>404</v>
      </c>
      <c r="G45" s="7" t="s">
        <v>1065</v>
      </c>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row>
    <row r="46" spans="1:60" s="317" customFormat="1" ht="18.5" x14ac:dyDescent="0.45">
      <c r="A46" s="372" t="s">
        <v>893</v>
      </c>
      <c r="B46" s="7"/>
      <c r="C46" s="7"/>
      <c r="D46" s="361"/>
      <c r="E46" s="361"/>
      <c r="F46" s="361"/>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row>
    <row r="47" spans="1:60" x14ac:dyDescent="0.35">
      <c r="A47" s="7" t="s">
        <v>90</v>
      </c>
      <c r="B47" s="7" t="s">
        <v>143</v>
      </c>
      <c r="C47" s="7" t="s">
        <v>1092</v>
      </c>
      <c r="D47" s="361">
        <v>105</v>
      </c>
      <c r="E47" s="361">
        <v>30486</v>
      </c>
      <c r="F47" s="361">
        <v>1652</v>
      </c>
      <c r="G47" s="7" t="s">
        <v>1093</v>
      </c>
    </row>
    <row r="48" spans="1:60" x14ac:dyDescent="0.35">
      <c r="A48" s="7" t="s">
        <v>91</v>
      </c>
      <c r="B48" s="7" t="s">
        <v>183</v>
      </c>
      <c r="C48" s="7" t="s">
        <v>1094</v>
      </c>
      <c r="D48" s="361">
        <v>108</v>
      </c>
      <c r="E48" s="361">
        <v>3097</v>
      </c>
      <c r="F48" s="361">
        <v>296</v>
      </c>
      <c r="G48" s="7" t="s">
        <v>447</v>
      </c>
    </row>
    <row r="49" spans="1:60" x14ac:dyDescent="0.35">
      <c r="A49" s="7" t="s">
        <v>92</v>
      </c>
      <c r="B49" s="7" t="s">
        <v>183</v>
      </c>
      <c r="C49" s="7" t="s">
        <v>1094</v>
      </c>
      <c r="D49" s="361">
        <v>155</v>
      </c>
      <c r="E49" s="361">
        <v>4506</v>
      </c>
      <c r="F49" s="361">
        <v>464</v>
      </c>
      <c r="G49" s="7" t="s">
        <v>447</v>
      </c>
    </row>
    <row r="50" spans="1:60" x14ac:dyDescent="0.35">
      <c r="A50" s="7" t="s">
        <v>95</v>
      </c>
      <c r="B50" s="7" t="s">
        <v>1095</v>
      </c>
      <c r="C50" s="7" t="s">
        <v>1096</v>
      </c>
      <c r="D50" s="361">
        <v>32</v>
      </c>
      <c r="G50" s="7" t="s">
        <v>1097</v>
      </c>
    </row>
    <row r="51" spans="1:60" x14ac:dyDescent="0.35">
      <c r="A51" s="7" t="s">
        <v>97</v>
      </c>
      <c r="B51" s="7" t="s">
        <v>1098</v>
      </c>
      <c r="C51" s="7" t="s">
        <v>1099</v>
      </c>
      <c r="D51" s="361">
        <v>0</v>
      </c>
      <c r="G51" s="7" t="s">
        <v>1100</v>
      </c>
    </row>
    <row r="52" spans="1:60" x14ac:dyDescent="0.35">
      <c r="A52" s="7" t="s">
        <v>98</v>
      </c>
      <c r="B52" s="7" t="s">
        <v>1101</v>
      </c>
      <c r="C52" s="7" t="s">
        <v>1102</v>
      </c>
      <c r="D52" s="361">
        <v>325</v>
      </c>
      <c r="G52" s="7" t="s">
        <v>1103</v>
      </c>
    </row>
    <row r="53" spans="1:60" x14ac:dyDescent="0.35">
      <c r="A53" s="7" t="s">
        <v>100</v>
      </c>
      <c r="B53" s="7" t="s">
        <v>1104</v>
      </c>
      <c r="C53" s="7" t="s">
        <v>1105</v>
      </c>
      <c r="D53" s="361">
        <v>38</v>
      </c>
      <c r="E53" s="361">
        <v>211</v>
      </c>
      <c r="F53" s="361">
        <v>46</v>
      </c>
      <c r="G53" s="7" t="s">
        <v>1103</v>
      </c>
    </row>
    <row r="54" spans="1:60" x14ac:dyDescent="0.35">
      <c r="A54" s="7" t="s">
        <v>101</v>
      </c>
      <c r="B54" s="7" t="s">
        <v>1106</v>
      </c>
      <c r="C54" s="7" t="s">
        <v>1105</v>
      </c>
      <c r="D54" s="361">
        <v>97</v>
      </c>
      <c r="E54" s="361">
        <v>342</v>
      </c>
      <c r="F54" s="361">
        <v>110</v>
      </c>
      <c r="G54" s="7" t="s">
        <v>1103</v>
      </c>
    </row>
    <row r="55" spans="1:60" x14ac:dyDescent="0.35">
      <c r="A55" s="7" t="s">
        <v>104</v>
      </c>
      <c r="B55" s="7" t="s">
        <v>1107</v>
      </c>
      <c r="C55" s="7" t="s">
        <v>1108</v>
      </c>
      <c r="D55" s="361">
        <v>36</v>
      </c>
      <c r="E55" s="361">
        <v>128</v>
      </c>
      <c r="F55" s="361">
        <v>41</v>
      </c>
      <c r="G55" s="7" t="s">
        <v>1109</v>
      </c>
    </row>
    <row r="56" spans="1:60" x14ac:dyDescent="0.35">
      <c r="A56" s="7" t="s">
        <v>1033</v>
      </c>
      <c r="B56" s="7" t="s">
        <v>1110</v>
      </c>
      <c r="C56" s="7" t="s">
        <v>1102</v>
      </c>
      <c r="D56" s="361">
        <v>54</v>
      </c>
      <c r="G56" s="7" t="s">
        <v>1111</v>
      </c>
    </row>
    <row r="57" spans="1:60" s="317" customFormat="1" ht="18.5" x14ac:dyDescent="0.45">
      <c r="A57" s="372" t="s">
        <v>766</v>
      </c>
      <c r="B57" s="7"/>
      <c r="C57" s="7"/>
      <c r="D57" s="361"/>
      <c r="E57" s="361"/>
      <c r="F57" s="361"/>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row>
    <row r="58" spans="1:60" x14ac:dyDescent="0.35">
      <c r="A58" s="7" t="s">
        <v>95</v>
      </c>
      <c r="B58" s="7" t="s">
        <v>1112</v>
      </c>
      <c r="C58" s="7" t="s">
        <v>1113</v>
      </c>
      <c r="E58" s="361">
        <v>346</v>
      </c>
      <c r="G58" s="7" t="s">
        <v>1114</v>
      </c>
    </row>
    <row r="59" spans="1:60" x14ac:dyDescent="0.35">
      <c r="A59" s="7" t="s">
        <v>97</v>
      </c>
      <c r="B59" s="7" t="s">
        <v>1115</v>
      </c>
      <c r="C59" s="7" t="s">
        <v>922</v>
      </c>
      <c r="E59" s="361">
        <v>0</v>
      </c>
      <c r="G59" s="7" t="s">
        <v>824</v>
      </c>
    </row>
    <row r="60" spans="1:60" x14ac:dyDescent="0.35">
      <c r="A60" s="7" t="s">
        <v>98</v>
      </c>
      <c r="B60" s="7" t="s">
        <v>1116</v>
      </c>
      <c r="C60" s="7" t="s">
        <v>1117</v>
      </c>
      <c r="E60" s="361">
        <v>531</v>
      </c>
      <c r="G60" s="7" t="s">
        <v>840</v>
      </c>
    </row>
    <row r="61" spans="1:60" ht="18.5" x14ac:dyDescent="0.45">
      <c r="A61" s="372" t="s">
        <v>1118</v>
      </c>
    </row>
    <row r="62" spans="1:60" x14ac:dyDescent="0.35">
      <c r="A62" s="7" t="s">
        <v>89</v>
      </c>
      <c r="B62" s="7" t="s">
        <v>1119</v>
      </c>
      <c r="C62" s="7" t="s">
        <v>1120</v>
      </c>
      <c r="D62" s="361">
        <v>112</v>
      </c>
      <c r="E62" s="361">
        <v>467</v>
      </c>
      <c r="F62" s="361">
        <v>128</v>
      </c>
      <c r="G62" s="7" t="s">
        <v>840</v>
      </c>
    </row>
    <row r="63" spans="1:60" x14ac:dyDescent="0.35">
      <c r="A63" s="7" t="s">
        <v>91</v>
      </c>
      <c r="B63" s="7" t="s">
        <v>146</v>
      </c>
      <c r="C63" s="7" t="s">
        <v>1121</v>
      </c>
      <c r="D63" s="361">
        <v>43</v>
      </c>
      <c r="E63" s="361">
        <v>1770</v>
      </c>
      <c r="F63" s="361">
        <v>152</v>
      </c>
      <c r="G63" s="7" t="s">
        <v>1122</v>
      </c>
    </row>
    <row r="64" spans="1:60" x14ac:dyDescent="0.35">
      <c r="A64" s="7" t="s">
        <v>92</v>
      </c>
      <c r="B64" s="7" t="s">
        <v>146</v>
      </c>
      <c r="C64" s="7" t="s">
        <v>1121</v>
      </c>
      <c r="D64" s="361">
        <v>155</v>
      </c>
      <c r="E64" s="361">
        <v>4005</v>
      </c>
      <c r="F64" s="361">
        <v>428</v>
      </c>
      <c r="G64" s="7" t="s">
        <v>1122</v>
      </c>
    </row>
    <row r="65" spans="1:60" x14ac:dyDescent="0.35">
      <c r="A65" s="7" t="s">
        <v>93</v>
      </c>
      <c r="B65" s="7" t="s">
        <v>1123</v>
      </c>
      <c r="C65" s="7" t="s">
        <v>1124</v>
      </c>
      <c r="D65" s="361">
        <v>172</v>
      </c>
      <c r="E65" s="361">
        <v>782</v>
      </c>
      <c r="F65" s="361">
        <v>202</v>
      </c>
      <c r="G65" s="7" t="s">
        <v>1125</v>
      </c>
    </row>
    <row r="66" spans="1:60" s="317" customFormat="1" ht="18.5" x14ac:dyDescent="0.45">
      <c r="A66" s="372" t="s">
        <v>929</v>
      </c>
      <c r="B66" s="7"/>
      <c r="C66" s="7"/>
      <c r="D66" s="361"/>
      <c r="E66" s="361"/>
      <c r="F66" s="361"/>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row>
    <row r="67" spans="1:60" x14ac:dyDescent="0.35">
      <c r="A67" s="7" t="s">
        <v>91</v>
      </c>
      <c r="B67" s="7" t="s">
        <v>1126</v>
      </c>
      <c r="C67" s="7" t="s">
        <v>1127</v>
      </c>
      <c r="D67" s="361">
        <v>70</v>
      </c>
      <c r="E67" s="361">
        <v>1792</v>
      </c>
      <c r="F67" s="361">
        <v>178</v>
      </c>
      <c r="G67" s="7" t="s">
        <v>1128</v>
      </c>
    </row>
    <row r="68" spans="1:60" x14ac:dyDescent="0.35">
      <c r="A68" s="7" t="s">
        <v>92</v>
      </c>
      <c r="B68" s="7" t="s">
        <v>139</v>
      </c>
      <c r="C68" s="7" t="s">
        <v>1127</v>
      </c>
      <c r="D68" s="361">
        <v>21</v>
      </c>
      <c r="E68" s="361">
        <v>683</v>
      </c>
      <c r="F68" s="361">
        <v>68</v>
      </c>
      <c r="G68" s="7" t="s">
        <v>1128</v>
      </c>
    </row>
    <row r="69" spans="1:60" x14ac:dyDescent="0.35">
      <c r="A69" s="7" t="s">
        <v>100</v>
      </c>
      <c r="B69" s="7" t="s">
        <v>1129</v>
      </c>
      <c r="C69" s="7" t="s">
        <v>1130</v>
      </c>
      <c r="D69" s="361">
        <v>80</v>
      </c>
      <c r="E69" s="361">
        <v>338</v>
      </c>
      <c r="F69" s="361">
        <v>92</v>
      </c>
      <c r="G69" s="7" t="s">
        <v>1131</v>
      </c>
    </row>
    <row r="70" spans="1:60" s="317" customFormat="1" ht="18.5" x14ac:dyDescent="0.45">
      <c r="A70" s="372" t="s">
        <v>40</v>
      </c>
      <c r="B70" s="372"/>
      <c r="C70" s="372"/>
      <c r="D70" s="375"/>
      <c r="E70" s="375"/>
      <c r="F70" s="375"/>
      <c r="G70" s="372"/>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row>
    <row r="71" spans="1:60" x14ac:dyDescent="0.35">
      <c r="A71" s="7" t="s">
        <v>89</v>
      </c>
      <c r="B71" s="7" t="s">
        <v>1132</v>
      </c>
      <c r="C71" s="7" t="s">
        <v>1133</v>
      </c>
      <c r="D71" s="361">
        <v>133624</v>
      </c>
      <c r="E71" s="361">
        <v>416722</v>
      </c>
      <c r="F71" s="361">
        <v>146597</v>
      </c>
      <c r="G71" s="7" t="s">
        <v>840</v>
      </c>
    </row>
    <row r="72" spans="1:60" x14ac:dyDescent="0.35">
      <c r="A72" s="7" t="s">
        <v>90</v>
      </c>
      <c r="B72" s="7" t="s">
        <v>1134</v>
      </c>
      <c r="C72" s="7" t="s">
        <v>1135</v>
      </c>
      <c r="D72" s="361">
        <v>559984</v>
      </c>
      <c r="E72" s="361">
        <v>11838937</v>
      </c>
      <c r="F72" s="361">
        <v>1134246</v>
      </c>
      <c r="G72" s="7" t="s">
        <v>840</v>
      </c>
    </row>
    <row r="73" spans="1:60" x14ac:dyDescent="0.35">
      <c r="A73" s="7" t="s">
        <v>91</v>
      </c>
      <c r="B73" s="7" t="s">
        <v>40</v>
      </c>
      <c r="C73" s="7" t="s">
        <v>1135</v>
      </c>
      <c r="D73" s="361">
        <v>44447</v>
      </c>
      <c r="E73" s="361">
        <v>1379870</v>
      </c>
      <c r="F73" s="361">
        <v>128336</v>
      </c>
      <c r="G73" s="7" t="s">
        <v>1136</v>
      </c>
    </row>
    <row r="74" spans="1:60" x14ac:dyDescent="0.35">
      <c r="A74" s="7" t="s">
        <v>92</v>
      </c>
      <c r="B74" s="7" t="s">
        <v>40</v>
      </c>
      <c r="C74" s="7" t="s">
        <v>1135</v>
      </c>
      <c r="D74" s="361">
        <v>104096</v>
      </c>
      <c r="E74" s="361">
        <v>1996421</v>
      </c>
      <c r="F74" s="361">
        <v>238304</v>
      </c>
      <c r="G74" s="7" t="s">
        <v>1136</v>
      </c>
    </row>
    <row r="75" spans="1:60" x14ac:dyDescent="0.35">
      <c r="A75" s="7" t="s">
        <v>93</v>
      </c>
      <c r="B75" s="7" t="s">
        <v>1137</v>
      </c>
      <c r="C75" s="7" t="s">
        <v>1135</v>
      </c>
      <c r="D75" s="361">
        <v>291633</v>
      </c>
      <c r="E75" s="361">
        <v>339374</v>
      </c>
      <c r="F75" s="361">
        <v>293981</v>
      </c>
      <c r="G75" s="7" t="s">
        <v>1138</v>
      </c>
    </row>
    <row r="76" spans="1:60" x14ac:dyDescent="0.35">
      <c r="A76" s="7" t="s">
        <v>95</v>
      </c>
      <c r="B76" s="7" t="s">
        <v>1139</v>
      </c>
      <c r="C76" s="7" t="s">
        <v>1135</v>
      </c>
      <c r="D76" s="361">
        <v>390688</v>
      </c>
      <c r="E76" s="361">
        <v>1969650</v>
      </c>
      <c r="F76" s="361">
        <v>476616</v>
      </c>
      <c r="G76" s="7" t="s">
        <v>1140</v>
      </c>
    </row>
    <row r="77" spans="1:60" x14ac:dyDescent="0.35">
      <c r="A77" s="7" t="s">
        <v>97</v>
      </c>
      <c r="B77" s="7" t="s">
        <v>40</v>
      </c>
      <c r="C77" s="7" t="s">
        <v>1135</v>
      </c>
      <c r="D77" s="361">
        <v>753888</v>
      </c>
      <c r="E77" s="361">
        <v>5694943</v>
      </c>
      <c r="F77" s="361">
        <v>1031525</v>
      </c>
      <c r="G77" s="7" t="s">
        <v>1141</v>
      </c>
    </row>
    <row r="78" spans="1:60" x14ac:dyDescent="0.35">
      <c r="A78" s="7" t="s">
        <v>104</v>
      </c>
      <c r="B78" s="7" t="s">
        <v>40</v>
      </c>
      <c r="C78" s="7" t="s">
        <v>1135</v>
      </c>
      <c r="D78" s="361">
        <v>655153</v>
      </c>
      <c r="E78" s="361">
        <v>686587</v>
      </c>
      <c r="F78" s="361">
        <v>656797</v>
      </c>
      <c r="G78" s="7" t="s">
        <v>1142</v>
      </c>
    </row>
    <row r="79" spans="1:60" x14ac:dyDescent="0.35">
      <c r="A79" s="7" t="s">
        <v>1033</v>
      </c>
      <c r="B79" s="7" t="s">
        <v>1143</v>
      </c>
      <c r="C79" s="7" t="s">
        <v>1135</v>
      </c>
      <c r="D79" s="361">
        <v>24293</v>
      </c>
      <c r="G79" s="7" t="s">
        <v>1144</v>
      </c>
    </row>
    <row r="80" spans="1:60" x14ac:dyDescent="0.35">
      <c r="A80" s="7" t="s">
        <v>106</v>
      </c>
      <c r="B80" s="7" t="s">
        <v>1132</v>
      </c>
      <c r="C80" s="7" t="s">
        <v>1135</v>
      </c>
      <c r="D80" s="361">
        <v>611894</v>
      </c>
      <c r="E80" s="361">
        <v>1553101</v>
      </c>
      <c r="F80" s="361">
        <v>743167</v>
      </c>
      <c r="G80" s="7" t="s">
        <v>1145</v>
      </c>
    </row>
    <row r="81" spans="1:7" ht="18.5" x14ac:dyDescent="0.45">
      <c r="A81" s="372" t="s">
        <v>1146</v>
      </c>
    </row>
    <row r="82" spans="1:7" x14ac:dyDescent="0.35">
      <c r="A82" s="7" t="s">
        <v>91</v>
      </c>
      <c r="B82" s="7" t="s">
        <v>153</v>
      </c>
      <c r="C82" s="7" t="s">
        <v>1147</v>
      </c>
      <c r="D82" s="361">
        <v>11584</v>
      </c>
      <c r="E82" s="361">
        <v>117258</v>
      </c>
      <c r="F82" s="361">
        <v>18222</v>
      </c>
      <c r="G82" s="7" t="s">
        <v>1148</v>
      </c>
    </row>
    <row r="83" spans="1:7" x14ac:dyDescent="0.35">
      <c r="A83" s="7" t="s">
        <v>92</v>
      </c>
      <c r="B83" s="7" t="s">
        <v>153</v>
      </c>
      <c r="C83" s="7" t="s">
        <v>1147</v>
      </c>
      <c r="D83" s="361">
        <v>11703</v>
      </c>
      <c r="E83" s="361">
        <v>162432</v>
      </c>
      <c r="F83" s="361">
        <v>22393</v>
      </c>
      <c r="G83" s="7" t="s">
        <v>1148</v>
      </c>
    </row>
    <row r="84" spans="1:7" x14ac:dyDescent="0.35">
      <c r="A84" s="7" t="s">
        <v>93</v>
      </c>
      <c r="B84" s="7" t="s">
        <v>1149</v>
      </c>
      <c r="C84" s="7" t="s">
        <v>1150</v>
      </c>
      <c r="D84" s="361">
        <v>9092</v>
      </c>
      <c r="E84" s="361">
        <v>45874</v>
      </c>
      <c r="F84" s="361">
        <v>10922</v>
      </c>
      <c r="G84" s="7" t="s">
        <v>1151</v>
      </c>
    </row>
    <row r="85" spans="1:7" x14ac:dyDescent="0.35">
      <c r="A85" s="7" t="s">
        <v>94</v>
      </c>
      <c r="B85" s="7" t="s">
        <v>1149</v>
      </c>
      <c r="C85" s="7" t="s">
        <v>1150</v>
      </c>
      <c r="D85" s="361">
        <v>5838</v>
      </c>
      <c r="G85" s="7" t="s">
        <v>1151</v>
      </c>
    </row>
    <row r="86" spans="1:7" x14ac:dyDescent="0.35">
      <c r="A86" s="7" t="s">
        <v>97</v>
      </c>
      <c r="B86" s="7" t="s">
        <v>1152</v>
      </c>
      <c r="C86" s="7" t="s">
        <v>1153</v>
      </c>
      <c r="D86" s="361">
        <v>61013</v>
      </c>
      <c r="E86" s="361">
        <v>239385</v>
      </c>
      <c r="F86" s="361">
        <v>71036</v>
      </c>
      <c r="G86" s="7" t="s">
        <v>1154</v>
      </c>
    </row>
    <row r="87" spans="1:7" ht="18.5" x14ac:dyDescent="0.45">
      <c r="A87" s="372" t="s">
        <v>158</v>
      </c>
    </row>
    <row r="88" spans="1:7" x14ac:dyDescent="0.35">
      <c r="A88" s="7" t="s">
        <v>91</v>
      </c>
      <c r="B88" s="7" t="s">
        <v>158</v>
      </c>
      <c r="C88" s="7" t="s">
        <v>1155</v>
      </c>
      <c r="D88" s="361">
        <v>839</v>
      </c>
      <c r="E88" s="361">
        <v>14278</v>
      </c>
      <c r="F88" s="361">
        <v>1683</v>
      </c>
      <c r="G88" s="7" t="s">
        <v>467</v>
      </c>
    </row>
    <row r="89" spans="1:7" x14ac:dyDescent="0.35">
      <c r="A89" s="7" t="s">
        <v>92</v>
      </c>
      <c r="B89" s="7" t="s">
        <v>158</v>
      </c>
      <c r="C89" s="7" t="s">
        <v>1155</v>
      </c>
      <c r="D89" s="361">
        <v>417</v>
      </c>
      <c r="E89" s="361">
        <v>23734</v>
      </c>
      <c r="F89" s="361">
        <v>2071</v>
      </c>
      <c r="G89" s="7" t="s">
        <v>467</v>
      </c>
    </row>
    <row r="90" spans="1:7" x14ac:dyDescent="0.35">
      <c r="A90" s="7" t="s">
        <v>100</v>
      </c>
      <c r="B90" s="7" t="s">
        <v>1156</v>
      </c>
      <c r="C90" s="7" t="s">
        <v>1157</v>
      </c>
      <c r="D90" s="361">
        <v>67</v>
      </c>
      <c r="E90" s="361">
        <v>735</v>
      </c>
      <c r="F90" s="361">
        <v>98</v>
      </c>
      <c r="G90" s="7" t="s">
        <v>1158</v>
      </c>
    </row>
    <row r="91" spans="1:7" ht="18.5" x14ac:dyDescent="0.45">
      <c r="A91" s="372" t="s">
        <v>125</v>
      </c>
    </row>
    <row r="92" spans="1:7" x14ac:dyDescent="0.35">
      <c r="A92" s="7" t="s">
        <v>91</v>
      </c>
      <c r="B92" s="7" t="s">
        <v>125</v>
      </c>
      <c r="C92" s="7" t="s">
        <v>1159</v>
      </c>
      <c r="D92" s="361">
        <v>548</v>
      </c>
      <c r="E92" s="361">
        <v>6724</v>
      </c>
      <c r="F92" s="361">
        <v>936</v>
      </c>
      <c r="G92" s="7" t="s">
        <v>431</v>
      </c>
    </row>
    <row r="93" spans="1:7" x14ac:dyDescent="0.35">
      <c r="A93" s="7" t="s">
        <v>92</v>
      </c>
      <c r="B93" s="7" t="s">
        <v>125</v>
      </c>
      <c r="C93" s="7" t="s">
        <v>1159</v>
      </c>
      <c r="D93" s="361">
        <v>431</v>
      </c>
      <c r="E93" s="361">
        <v>26419</v>
      </c>
      <c r="F93" s="361">
        <v>2274</v>
      </c>
      <c r="G93" s="7" t="s">
        <v>431</v>
      </c>
    </row>
    <row r="94" spans="1:7" x14ac:dyDescent="0.35">
      <c r="A94" s="7" t="s">
        <v>105</v>
      </c>
      <c r="B94" s="7" t="s">
        <v>1160</v>
      </c>
      <c r="C94" s="7" t="s">
        <v>1161</v>
      </c>
      <c r="D94" s="361">
        <v>63964</v>
      </c>
      <c r="E94" s="361">
        <v>7981466</v>
      </c>
      <c r="F94" s="361">
        <v>497094</v>
      </c>
      <c r="G94" s="7" t="s">
        <v>1162</v>
      </c>
    </row>
    <row r="95" spans="1:7" ht="18.5" x14ac:dyDescent="0.45">
      <c r="A95" s="372" t="s">
        <v>41</v>
      </c>
    </row>
    <row r="96" spans="1:7" x14ac:dyDescent="0.35">
      <c r="A96" s="7" t="s">
        <v>91</v>
      </c>
      <c r="B96" s="7" t="s">
        <v>41</v>
      </c>
      <c r="C96" s="7" t="s">
        <v>1163</v>
      </c>
      <c r="D96" s="361">
        <v>2</v>
      </c>
      <c r="E96" s="361">
        <v>0</v>
      </c>
      <c r="F96" s="361">
        <v>2</v>
      </c>
      <c r="G96" s="7" t="s">
        <v>1164</v>
      </c>
    </row>
    <row r="97" spans="1:7" x14ac:dyDescent="0.35">
      <c r="A97" s="7" t="s">
        <v>92</v>
      </c>
      <c r="B97" s="7" t="s">
        <v>41</v>
      </c>
      <c r="C97" s="7" t="s">
        <v>1163</v>
      </c>
      <c r="D97" s="361">
        <v>7</v>
      </c>
      <c r="E97" s="361">
        <v>0</v>
      </c>
      <c r="F97" s="361">
        <v>6</v>
      </c>
      <c r="G97" s="7" t="s">
        <v>1164</v>
      </c>
    </row>
    <row r="98" spans="1:7" x14ac:dyDescent="0.35">
      <c r="A98" s="7" t="s">
        <v>104</v>
      </c>
      <c r="B98" s="7" t="s">
        <v>1165</v>
      </c>
      <c r="C98" s="7" t="s">
        <v>1163</v>
      </c>
      <c r="D98" s="361">
        <v>53</v>
      </c>
      <c r="E98" s="361">
        <v>21</v>
      </c>
      <c r="F98" s="361">
        <v>51</v>
      </c>
    </row>
    <row r="99" spans="1:7" x14ac:dyDescent="0.35">
      <c r="A99" s="7" t="s">
        <v>104</v>
      </c>
      <c r="B99" s="7" t="s">
        <v>1165</v>
      </c>
      <c r="C99" s="7" t="s">
        <v>1166</v>
      </c>
      <c r="D99" s="361">
        <v>20</v>
      </c>
      <c r="E99" s="361">
        <v>5</v>
      </c>
      <c r="F99" s="361">
        <v>19</v>
      </c>
    </row>
    <row r="100" spans="1:7" x14ac:dyDescent="0.35"/>
    <row r="101" spans="1:7" x14ac:dyDescent="0.35"/>
    <row r="102" spans="1:7" x14ac:dyDescent="0.35"/>
    <row r="103" spans="1:7" x14ac:dyDescent="0.35"/>
    <row r="104" spans="1:7" x14ac:dyDescent="0.35"/>
    <row r="105" spans="1:7"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sheetData>
  <sortState xmlns:xlrd2="http://schemas.microsoft.com/office/spreadsheetml/2017/richdata2" ref="A24:F26">
    <sortCondition ref="A24:A26"/>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249977111117893"/>
  </sheetPr>
  <dimension ref="A1:Y70"/>
  <sheetViews>
    <sheetView zoomScale="70" zoomScaleNormal="70" workbookViewId="0">
      <selection activeCell="F17" sqref="F17"/>
    </sheetView>
  </sheetViews>
  <sheetFormatPr defaultColWidth="0" defaultRowHeight="14.5" zeroHeight="1" x14ac:dyDescent="0.35"/>
  <cols>
    <col min="1" max="1" width="23" style="133" customWidth="1"/>
    <col min="2" max="4" width="15.81640625" style="133" customWidth="1"/>
    <col min="5" max="5" width="12" style="133" customWidth="1"/>
    <col min="6" max="15" width="9.1796875" style="133" customWidth="1"/>
    <col min="16" max="16384" width="9.1796875" style="133" hidden="1"/>
  </cols>
  <sheetData>
    <row r="1" spans="1:25" ht="28.5" x14ac:dyDescent="0.65">
      <c r="A1" s="76" t="s">
        <v>19</v>
      </c>
      <c r="B1" s="76"/>
      <c r="C1" s="76"/>
      <c r="D1" s="76"/>
      <c r="E1" s="76"/>
      <c r="F1" s="76"/>
      <c r="G1" s="76"/>
      <c r="H1" s="76"/>
      <c r="I1" s="76"/>
      <c r="J1" s="76"/>
      <c r="K1" s="76"/>
      <c r="L1" s="76"/>
      <c r="M1" s="76"/>
      <c r="N1" s="77"/>
      <c r="O1" s="232"/>
      <c r="P1" s="232"/>
      <c r="Q1" s="232"/>
      <c r="R1" s="228"/>
      <c r="S1" s="228"/>
      <c r="T1" s="228"/>
      <c r="U1" s="228"/>
      <c r="V1" s="228"/>
      <c r="W1" s="228"/>
      <c r="X1" s="228"/>
      <c r="Y1" s="228"/>
    </row>
    <row r="2" spans="1:25" x14ac:dyDescent="0.35"/>
    <row r="3" spans="1:25" x14ac:dyDescent="0.35">
      <c r="A3" s="3"/>
      <c r="B3" s="3"/>
    </row>
    <row r="4" spans="1:25" s="360" customFormat="1" ht="20" thickBot="1" x14ac:dyDescent="0.5">
      <c r="A4" s="85" t="s">
        <v>20</v>
      </c>
      <c r="B4" s="85"/>
      <c r="C4" s="85"/>
      <c r="D4" s="85"/>
      <c r="E4" s="85"/>
      <c r="F4" s="85"/>
      <c r="G4" s="85"/>
      <c r="H4" s="85"/>
      <c r="I4" s="85"/>
      <c r="J4" s="85"/>
      <c r="K4" s="85"/>
      <c r="L4" s="85"/>
      <c r="M4" s="85"/>
      <c r="N4" s="85"/>
    </row>
    <row r="5" spans="1:25" x14ac:dyDescent="0.35">
      <c r="A5" s="58"/>
      <c r="B5" s="61" t="s">
        <v>21</v>
      </c>
      <c r="C5" s="61" t="s">
        <v>22</v>
      </c>
      <c r="D5" s="62" t="s">
        <v>23</v>
      </c>
    </row>
    <row r="6" spans="1:25" x14ac:dyDescent="0.35">
      <c r="A6" s="59" t="s">
        <v>24</v>
      </c>
      <c r="B6" s="718">
        <v>539437</v>
      </c>
      <c r="C6" s="718">
        <v>29988</v>
      </c>
      <c r="D6" s="719">
        <v>569425</v>
      </c>
      <c r="E6" s="133" t="s">
        <v>25</v>
      </c>
      <c r="I6" s="954">
        <f>HHProps_SSW*'WTP core_DCE'!E7</f>
        <v>6742.9625000000005</v>
      </c>
      <c r="J6" s="954">
        <f>HHProps_SSW*'WTP core_DCE'!F7</f>
        <v>4495.3083333333334</v>
      </c>
      <c r="K6" s="954">
        <f>I6-J6</f>
        <v>2247.6541666666672</v>
      </c>
    </row>
    <row r="7" spans="1:25" x14ac:dyDescent="0.35">
      <c r="A7" s="59" t="s">
        <v>26</v>
      </c>
      <c r="B7" s="718">
        <v>135882</v>
      </c>
      <c r="C7" s="718">
        <v>8592</v>
      </c>
      <c r="D7" s="719">
        <v>144474</v>
      </c>
    </row>
    <row r="8" spans="1:25" ht="15" thickBot="1" x14ac:dyDescent="0.4">
      <c r="A8" s="60" t="s">
        <v>23</v>
      </c>
      <c r="B8" s="720">
        <v>675319</v>
      </c>
      <c r="C8" s="720">
        <v>38580</v>
      </c>
      <c r="D8" s="721">
        <v>713899</v>
      </c>
    </row>
    <row r="9" spans="1:25" x14ac:dyDescent="0.35"/>
    <row r="10" spans="1:25" s="360" customFormat="1" ht="19.5" x14ac:dyDescent="0.45">
      <c r="A10" s="85" t="s">
        <v>27</v>
      </c>
      <c r="B10" s="85"/>
      <c r="C10" s="85"/>
      <c r="D10" s="85"/>
      <c r="E10" s="85"/>
      <c r="F10" s="85"/>
      <c r="G10" s="85"/>
      <c r="H10" s="85"/>
      <c r="I10" s="85"/>
      <c r="J10" s="85"/>
      <c r="K10" s="85"/>
      <c r="L10" s="85"/>
      <c r="M10" s="85"/>
      <c r="N10" s="85"/>
    </row>
    <row r="11" spans="1:25" x14ac:dyDescent="0.35">
      <c r="A11" s="63"/>
      <c r="B11" s="362"/>
      <c r="C11" s="65" t="s">
        <v>22</v>
      </c>
    </row>
    <row r="12" spans="1:25" x14ac:dyDescent="0.35">
      <c r="A12" s="64" t="s">
        <v>24</v>
      </c>
      <c r="B12" s="767">
        <v>250</v>
      </c>
      <c r="C12" s="363">
        <v>4424</v>
      </c>
    </row>
    <row r="13" spans="1:25" x14ac:dyDescent="0.35">
      <c r="A13" s="64" t="s">
        <v>26</v>
      </c>
      <c r="B13" s="767">
        <v>250</v>
      </c>
      <c r="C13" s="363">
        <v>5120</v>
      </c>
    </row>
    <row r="14" spans="1:25" x14ac:dyDescent="0.35"/>
    <row r="15" spans="1:25" x14ac:dyDescent="0.35"/>
    <row r="16" spans="1:25" s="360" customFormat="1" ht="19.5" x14ac:dyDescent="0.45">
      <c r="A16" s="85" t="s">
        <v>28</v>
      </c>
      <c r="B16" s="85"/>
      <c r="C16" s="85"/>
      <c r="D16" s="85"/>
      <c r="E16" s="85"/>
      <c r="F16" s="85"/>
      <c r="G16" s="85"/>
      <c r="H16" s="85"/>
      <c r="I16" s="85"/>
      <c r="J16" s="85"/>
      <c r="K16" s="85"/>
      <c r="L16" s="85"/>
      <c r="M16" s="85"/>
      <c r="N16" s="85"/>
    </row>
    <row r="17" spans="1:14" ht="15" thickBot="1" x14ac:dyDescent="0.4">
      <c r="F17" s="867">
        <v>1</v>
      </c>
      <c r="G17" s="133" t="s">
        <v>1253</v>
      </c>
    </row>
    <row r="18" spans="1:14" ht="29.5" thickBot="1" x14ac:dyDescent="0.4">
      <c r="A18" s="66" t="s">
        <v>29</v>
      </c>
      <c r="B18" s="67" t="s">
        <v>30</v>
      </c>
      <c r="C18" s="839" t="s">
        <v>30</v>
      </c>
      <c r="D18" s="839" t="s">
        <v>31</v>
      </c>
      <c r="E18" s="840" t="s">
        <v>32</v>
      </c>
      <c r="F18" s="133" t="s">
        <v>30</v>
      </c>
    </row>
    <row r="19" spans="1:14" ht="15" thickBot="1" x14ac:dyDescent="0.4">
      <c r="A19" s="68" t="s">
        <v>33</v>
      </c>
      <c r="B19" s="55">
        <f ca="1">OFFSET(C19,0,$F$17-1)</f>
        <v>1</v>
      </c>
      <c r="C19" s="841">
        <v>1</v>
      </c>
      <c r="D19" s="841">
        <v>1</v>
      </c>
      <c r="E19" s="842">
        <v>1</v>
      </c>
      <c r="F19" s="133" t="s">
        <v>31</v>
      </c>
    </row>
    <row r="20" spans="1:14" ht="15" thickBot="1" x14ac:dyDescent="0.4">
      <c r="A20" s="69" t="s">
        <v>34</v>
      </c>
      <c r="B20" s="56">
        <f t="shared" ref="B20:B23" ca="1" si="0">OFFSET(C20,0,$F$17-1)</f>
        <v>0.5</v>
      </c>
      <c r="C20" s="841">
        <v>0.5</v>
      </c>
      <c r="D20" s="841">
        <v>0.75</v>
      </c>
      <c r="E20" s="842">
        <v>0.5</v>
      </c>
      <c r="F20" s="133" t="s">
        <v>32</v>
      </c>
    </row>
    <row r="21" spans="1:14" ht="15" thickBot="1" x14ac:dyDescent="0.4">
      <c r="A21" s="71" t="s">
        <v>35</v>
      </c>
      <c r="B21" s="56">
        <f t="shared" ca="1" si="0"/>
        <v>0.25</v>
      </c>
      <c r="C21" s="841">
        <v>0.25</v>
      </c>
      <c r="D21" s="841">
        <v>0.5</v>
      </c>
      <c r="E21" s="842">
        <v>0</v>
      </c>
    </row>
    <row r="22" spans="1:14" ht="15" thickBot="1" x14ac:dyDescent="0.4">
      <c r="A22" s="69" t="s">
        <v>36</v>
      </c>
      <c r="B22" s="56">
        <f t="shared" ca="1" si="0"/>
        <v>0.1</v>
      </c>
      <c r="C22" s="841">
        <v>0.1</v>
      </c>
      <c r="D22" s="841">
        <v>0.25</v>
      </c>
      <c r="E22" s="842">
        <v>0</v>
      </c>
    </row>
    <row r="23" spans="1:14" ht="15" thickBot="1" x14ac:dyDescent="0.4">
      <c r="A23" s="70" t="s">
        <v>37</v>
      </c>
      <c r="B23" s="57">
        <f t="shared" ca="1" si="0"/>
        <v>0</v>
      </c>
      <c r="C23" s="841">
        <v>0</v>
      </c>
      <c r="D23" s="841">
        <v>0</v>
      </c>
      <c r="E23" s="842">
        <v>0</v>
      </c>
    </row>
    <row r="24" spans="1:14" x14ac:dyDescent="0.35"/>
    <row r="25" spans="1:14" x14ac:dyDescent="0.35"/>
    <row r="26" spans="1:14" x14ac:dyDescent="0.35"/>
    <row r="27" spans="1:14" ht="19.5" x14ac:dyDescent="0.45">
      <c r="A27" s="85" t="s">
        <v>38</v>
      </c>
      <c r="B27" s="85"/>
      <c r="C27" s="85"/>
      <c r="D27" s="85"/>
      <c r="E27" s="85"/>
      <c r="F27" s="85"/>
      <c r="G27" s="85"/>
      <c r="H27" s="85"/>
      <c r="I27" s="85"/>
      <c r="J27" s="85"/>
      <c r="K27" s="85"/>
      <c r="L27" s="85"/>
      <c r="M27" s="85"/>
      <c r="N27" s="85"/>
    </row>
    <row r="28" spans="1:14" ht="15" thickBot="1" x14ac:dyDescent="0.4">
      <c r="A28" s="7" t="s">
        <v>39</v>
      </c>
    </row>
    <row r="29" spans="1:14" x14ac:dyDescent="0.35">
      <c r="A29" s="58"/>
      <c r="B29" s="403" t="s">
        <v>40</v>
      </c>
      <c r="C29" s="404" t="s">
        <v>41</v>
      </c>
      <c r="D29" s="405" t="s">
        <v>42</v>
      </c>
    </row>
    <row r="30" spans="1:14" x14ac:dyDescent="0.35">
      <c r="A30" s="59" t="s">
        <v>24</v>
      </c>
      <c r="B30" s="407">
        <f>12000000/589000</f>
        <v>20.373514431239389</v>
      </c>
      <c r="C30" s="406">
        <v>5.75</v>
      </c>
      <c r="D30" s="406">
        <v>5.75</v>
      </c>
    </row>
    <row r="31" spans="1:14" x14ac:dyDescent="0.35">
      <c r="A31" s="59" t="s">
        <v>26</v>
      </c>
      <c r="B31" s="408">
        <f>(1.75*1000000)/141000</f>
        <v>12.411347517730496</v>
      </c>
      <c r="C31" s="406">
        <v>0.6</v>
      </c>
      <c r="D31" s="406">
        <v>0.6</v>
      </c>
    </row>
    <row r="32" spans="1:14" x14ac:dyDescent="0.35"/>
    <row r="33" s="133" customFormat="1" hidden="1" x14ac:dyDescent="0.35"/>
    <row r="34" s="133" customFormat="1" hidden="1" x14ac:dyDescent="0.35"/>
    <row r="35" s="133" customFormat="1" hidden="1" x14ac:dyDescent="0.35"/>
    <row r="36" s="133" customFormat="1" hidden="1" x14ac:dyDescent="0.35"/>
    <row r="37" s="133" customFormat="1" hidden="1" x14ac:dyDescent="0.35"/>
    <row r="38" s="133" customFormat="1" hidden="1" x14ac:dyDescent="0.35"/>
    <row r="39" s="133" customFormat="1" hidden="1" x14ac:dyDescent="0.35"/>
    <row r="40" s="133" customFormat="1" hidden="1" x14ac:dyDescent="0.35"/>
    <row r="41" s="133" customFormat="1" hidden="1" x14ac:dyDescent="0.35"/>
    <row r="42" s="133" customFormat="1" hidden="1" x14ac:dyDescent="0.35"/>
    <row r="43" s="133" customFormat="1" hidden="1" x14ac:dyDescent="0.35"/>
    <row r="44" s="133" customFormat="1" hidden="1" x14ac:dyDescent="0.35"/>
    <row r="45" s="133" customFormat="1" hidden="1" x14ac:dyDescent="0.35"/>
    <row r="46" s="133" customFormat="1" hidden="1" x14ac:dyDescent="0.35"/>
    <row r="47" s="133" customFormat="1" hidden="1" x14ac:dyDescent="0.35"/>
    <row r="48" s="133" customFormat="1" hidden="1" x14ac:dyDescent="0.35"/>
    <row r="57" spans="1:2" x14ac:dyDescent="0.35"/>
    <row r="58" spans="1:2" x14ac:dyDescent="0.35">
      <c r="A58" s="133" t="s">
        <v>43</v>
      </c>
      <c r="B58" s="133">
        <f>111*HHProps_All/1000000</f>
        <v>74.960408999999999</v>
      </c>
    </row>
    <row r="59" spans="1:2" x14ac:dyDescent="0.35"/>
    <row r="60" spans="1:2" x14ac:dyDescent="0.35"/>
    <row r="61" spans="1:2" x14ac:dyDescent="0.35"/>
    <row r="62" spans="1:2" x14ac:dyDescent="0.35"/>
    <row r="63" spans="1:2" x14ac:dyDescent="0.35"/>
    <row r="64" spans="1:2" x14ac:dyDescent="0.35"/>
    <row r="65" s="133" customFormat="1" hidden="1" x14ac:dyDescent="0.35"/>
    <row r="66" s="133" customFormat="1" hidden="1" x14ac:dyDescent="0.35"/>
    <row r="67" s="133" customFormat="1" hidden="1" x14ac:dyDescent="0.35"/>
    <row r="68" s="133" customFormat="1" hidden="1" x14ac:dyDescent="0.35"/>
    <row r="69" s="133" customFormat="1" hidden="1" x14ac:dyDescent="0.35"/>
    <row r="70" s="133" customFormat="1" hidden="1" x14ac:dyDescent="0.35"/>
  </sheetData>
  <pageMargins left="0.7" right="0.7" top="0.75" bottom="0.75" header="0.3" footer="0.3"/>
  <pageSetup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theme="6"/>
  </sheetPr>
  <dimension ref="A1:AH138"/>
  <sheetViews>
    <sheetView zoomScale="70" zoomScaleNormal="70" workbookViewId="0">
      <pane xSplit="5" ySplit="4" topLeftCell="R5" activePane="bottomRight" state="frozen"/>
      <selection pane="topRight"/>
      <selection pane="bottomLeft"/>
      <selection pane="bottomRight"/>
    </sheetView>
  </sheetViews>
  <sheetFormatPr defaultColWidth="0" defaultRowHeight="14.5" zeroHeight="1" x14ac:dyDescent="0.35"/>
  <cols>
    <col min="1" max="1" width="48.1796875" style="7" bestFit="1" customWidth="1"/>
    <col min="2" max="3" width="18.26953125" style="7" customWidth="1"/>
    <col min="4" max="4" width="18.26953125" style="31" customWidth="1"/>
    <col min="5" max="5" width="13.26953125" style="31" customWidth="1"/>
    <col min="6" max="10" width="13.26953125" style="43" customWidth="1"/>
    <col min="11" max="15" width="15.26953125" style="7" customWidth="1"/>
    <col min="16" max="16" width="18.54296875" style="7" bestFit="1" customWidth="1"/>
    <col min="17" max="17" width="19" style="23" customWidth="1"/>
    <col min="18" max="18" width="21.1796875" style="201" customWidth="1"/>
    <col min="19" max="23" width="13" style="43" customWidth="1"/>
    <col min="24" max="28" width="20.453125" style="43" customWidth="1"/>
    <col min="29" max="29" width="13" style="7" customWidth="1"/>
    <col min="30" max="30" width="19" style="7" customWidth="1"/>
    <col min="31" max="31" width="20" style="201" customWidth="1"/>
    <col min="32" max="32" width="9.1796875" style="7" customWidth="1"/>
    <col min="33" max="34" width="0" style="7" hidden="1" customWidth="1"/>
    <col min="35" max="16384" width="9.1796875" style="7" hidden="1"/>
  </cols>
  <sheetData>
    <row r="1" spans="1:31" ht="28.5" x14ac:dyDescent="0.65">
      <c r="A1" s="76" t="s">
        <v>1167</v>
      </c>
      <c r="B1" s="76"/>
      <c r="C1" s="76"/>
      <c r="D1" s="76"/>
      <c r="E1" s="76"/>
      <c r="F1" s="76"/>
      <c r="G1" s="76"/>
      <c r="H1" s="76"/>
      <c r="I1" s="76"/>
      <c r="J1" s="76"/>
      <c r="K1" s="446"/>
      <c r="L1" s="446"/>
      <c r="M1" s="446"/>
      <c r="N1" s="446"/>
      <c r="O1" s="446"/>
      <c r="P1" s="446"/>
      <c r="Q1" s="449"/>
      <c r="R1" s="463"/>
      <c r="S1" s="446"/>
      <c r="T1" s="76"/>
      <c r="U1" s="76"/>
      <c r="V1" s="76"/>
      <c r="W1" s="76"/>
      <c r="X1" s="76"/>
      <c r="Y1" s="76"/>
      <c r="Z1" s="76"/>
      <c r="AA1" s="76"/>
      <c r="AB1" s="76"/>
      <c r="AC1" s="76"/>
      <c r="AD1" s="76"/>
      <c r="AE1" s="473"/>
    </row>
    <row r="2" spans="1:31" ht="19.5" x14ac:dyDescent="0.45">
      <c r="A2" s="311"/>
      <c r="B2" s="311"/>
      <c r="C2" s="311"/>
      <c r="D2" s="47"/>
      <c r="E2" s="47"/>
      <c r="F2" s="126" t="s">
        <v>294</v>
      </c>
      <c r="G2" s="126"/>
      <c r="H2" s="126"/>
      <c r="I2" s="126"/>
      <c r="J2" s="447"/>
      <c r="K2" s="447"/>
      <c r="L2" s="447"/>
      <c r="M2" s="447"/>
      <c r="N2" s="447"/>
      <c r="O2" s="447"/>
      <c r="P2" s="447"/>
      <c r="Q2" s="450"/>
      <c r="R2" s="464"/>
      <c r="S2" s="430" t="s">
        <v>295</v>
      </c>
      <c r="T2" s="48"/>
      <c r="U2" s="48"/>
      <c r="V2" s="48"/>
      <c r="W2" s="48"/>
      <c r="X2" s="48"/>
      <c r="Y2" s="48"/>
      <c r="Z2" s="48"/>
      <c r="AA2" s="48"/>
      <c r="AB2" s="48"/>
      <c r="AC2" s="49"/>
      <c r="AD2" s="49"/>
      <c r="AE2" s="474"/>
    </row>
    <row r="3" spans="1:31" ht="15" thickBot="1" x14ac:dyDescent="0.4">
      <c r="A3" s="50"/>
      <c r="B3" s="50"/>
      <c r="C3" s="50"/>
      <c r="D3" s="376" t="s">
        <v>1000</v>
      </c>
      <c r="E3" s="376"/>
      <c r="F3" s="376" t="s">
        <v>1003</v>
      </c>
      <c r="G3" s="376"/>
      <c r="H3" s="376" t="s">
        <v>678</v>
      </c>
      <c r="I3" s="376"/>
      <c r="J3" s="376"/>
      <c r="K3" s="376" t="s">
        <v>1002</v>
      </c>
      <c r="L3" s="376"/>
      <c r="M3" s="376"/>
      <c r="N3" s="376"/>
      <c r="O3" s="376"/>
      <c r="P3" s="376"/>
      <c r="Q3" s="451"/>
      <c r="R3" s="465"/>
      <c r="S3" s="376" t="s">
        <v>1003</v>
      </c>
      <c r="T3" s="376"/>
      <c r="U3" s="376" t="s">
        <v>678</v>
      </c>
      <c r="V3" s="376"/>
      <c r="W3" s="376"/>
      <c r="X3" s="376" t="s">
        <v>1002</v>
      </c>
      <c r="Y3" s="376"/>
      <c r="Z3" s="376"/>
      <c r="AA3" s="376"/>
      <c r="AB3" s="376"/>
      <c r="AC3" s="376"/>
      <c r="AD3" s="376"/>
      <c r="AE3" s="465"/>
    </row>
    <row r="4" spans="1:31" ht="43.5" x14ac:dyDescent="0.35">
      <c r="A4" s="52" t="s">
        <v>89</v>
      </c>
      <c r="B4" s="54" t="s">
        <v>1004</v>
      </c>
      <c r="C4" s="54" t="s">
        <v>1005</v>
      </c>
      <c r="D4" s="319" t="s">
        <v>124</v>
      </c>
      <c r="E4" s="381" t="s">
        <v>1006</v>
      </c>
      <c r="F4" s="205" t="s">
        <v>350</v>
      </c>
      <c r="G4" s="205" t="s">
        <v>352</v>
      </c>
      <c r="H4" s="382" t="s">
        <v>353</v>
      </c>
      <c r="I4" s="382" t="s">
        <v>354</v>
      </c>
      <c r="J4" s="382" t="s">
        <v>355</v>
      </c>
      <c r="K4" s="88" t="s">
        <v>674</v>
      </c>
      <c r="L4" s="598" t="s">
        <v>356</v>
      </c>
      <c r="M4" s="598" t="s">
        <v>357</v>
      </c>
      <c r="N4" s="598" t="s">
        <v>358</v>
      </c>
      <c r="O4" s="598" t="s">
        <v>359</v>
      </c>
      <c r="P4" s="88" t="s">
        <v>346</v>
      </c>
      <c r="Q4" s="452" t="s">
        <v>124</v>
      </c>
      <c r="R4" s="397" t="s">
        <v>681</v>
      </c>
      <c r="S4" s="205" t="s">
        <v>350</v>
      </c>
      <c r="T4" s="205" t="s">
        <v>352</v>
      </c>
      <c r="U4" s="382" t="s">
        <v>353</v>
      </c>
      <c r="V4" s="382" t="s">
        <v>354</v>
      </c>
      <c r="W4" s="382" t="s">
        <v>355</v>
      </c>
      <c r="X4" s="88" t="s">
        <v>674</v>
      </c>
      <c r="Y4" s="598" t="s">
        <v>356</v>
      </c>
      <c r="Z4" s="598" t="s">
        <v>357</v>
      </c>
      <c r="AA4" s="598" t="s">
        <v>358</v>
      </c>
      <c r="AB4" s="598" t="s">
        <v>359</v>
      </c>
      <c r="AC4" s="88" t="s">
        <v>346</v>
      </c>
      <c r="AD4" s="189" t="s">
        <v>124</v>
      </c>
      <c r="AE4" s="397" t="s">
        <v>681</v>
      </c>
    </row>
    <row r="5" spans="1:31" x14ac:dyDescent="0.35">
      <c r="A5" s="7" t="s">
        <v>129</v>
      </c>
      <c r="B5" s="7" t="s">
        <v>130</v>
      </c>
      <c r="C5" s="7" t="str">
        <f>B5</f>
        <v>Discolour</v>
      </c>
      <c r="D5" s="377" t="s">
        <v>127</v>
      </c>
      <c r="E5" s="124">
        <f ca="1">INDEX(INDIRECT("ExtWTP19_"&amp;$C5&amp;"_UnitValues"),MATCH(A$4, INDIRECT("ExtWTP19_Comps_"&amp;C5),0),MATCH("HH",ExtWTP_Group,0))</f>
        <v>314</v>
      </c>
      <c r="F5" s="612">
        <f t="shared" ref="F5:G7" ca="1" si="0">INDEX(INDIRECT("SSW_WTPCore2_"&amp;$B5&amp;"_Levels"),1,MATCH(F$4,WTPCore2_AttLevels,0))</f>
        <v>6.6666666666666666E-2</v>
      </c>
      <c r="G5" s="612">
        <f t="shared" ca="1" si="0"/>
        <v>0.04</v>
      </c>
      <c r="H5" s="324">
        <f ca="1">INDEX(INDIRECT("SSW_WTPCore2_"&amp;$B5&amp;"_LevelValues"),1,MATCH("S1 MEAN",WTPCore2_LevelValues,0))</f>
        <v>3.3679929677046498</v>
      </c>
      <c r="I5" s="324">
        <f ca="1">INDEX(INDIRECT("SSW_WTPCore2_"&amp;$B5&amp;"_LevelValues"),1,MATCH("S2 MEAN",WTPCore2_LevelValues,0))</f>
        <v>0.60669022375558512</v>
      </c>
      <c r="J5" s="324">
        <f ca="1">SUM(H5:I5)</f>
        <v>3.974683191460235</v>
      </c>
      <c r="K5" s="231">
        <f ca="1">E5*(F5-G5)</f>
        <v>8.3733333333333331</v>
      </c>
      <c r="L5" s="89">
        <f ca="1">INDEX(INDIRECT("SSW_WTPCore_DCE_"&amp;$B5&amp;"_UnitValues"),MATCH("COMBINED-HH",WTPCore_Group,0),MATCH("MEAN",LMH,0))</f>
        <v>28.111247840776404</v>
      </c>
      <c r="M5" s="89">
        <f ca="1">L5*($F5-$G5)*(AllProps_SSW/HHProps_SSW)</f>
        <v>0.79130635838150276</v>
      </c>
      <c r="N5" s="89">
        <f ca="1">INDEX(INDIRECT("SSW_WTPCore2_"&amp;$B5&amp;"_UnitValues"),1,MATCH("MEAN",LMH,0))</f>
        <v>141.20106972505607</v>
      </c>
      <c r="O5" s="89">
        <f ca="1">N5*($F5-$G5)*(AllProps_SSW/HHProps_SSW)</f>
        <v>3.9746831914602345</v>
      </c>
      <c r="P5" s="324">
        <f ca="1">K5*N$10/K$9</f>
        <v>2.0015129115700416</v>
      </c>
      <c r="Q5" s="453" t="s">
        <v>127</v>
      </c>
      <c r="R5" s="391">
        <f ca="1">P5*HHProps_SSW/((F5-G5)*AllProps_SSW)</f>
        <v>71.103972459846034</v>
      </c>
      <c r="S5" s="612">
        <f t="shared" ref="S5:T7" ca="1" si="1">INDEX(INDIRECT("CAM_WTPCore2_"&amp;$B5&amp;"_Levels"),1,MATCH(S$4,WTPCore2_AttLevels,0))</f>
        <v>2.2222222222222223E-2</v>
      </c>
      <c r="T5" s="612">
        <f t="shared" ca="1" si="1"/>
        <v>1.5384615384615385E-2</v>
      </c>
      <c r="U5" s="324">
        <f ca="1">INDEX(INDIRECT("CAM_WTPCore2_"&amp;$B5&amp;"_LevelValues"),1,MATCH("S1 MEAN",WTPCore2_LevelValues,0))</f>
        <v>3.1155463151224057</v>
      </c>
      <c r="V5" s="324">
        <f ca="1">INDEX(INDIRECT("CAM_WTPCore2_"&amp;$B5&amp;"_LevelValues"),1,MATCH("S2 MEAN",WTPCore2_LevelValues,0))</f>
        <v>1.3419840000849801</v>
      </c>
      <c r="W5" s="512">
        <f ca="1">SUM(U5:V5)</f>
        <v>4.4575303152073857</v>
      </c>
      <c r="X5" s="221">
        <f ca="1">E5*(S5-T5)</f>
        <v>2.1470085470085469</v>
      </c>
      <c r="Y5" s="89">
        <f ca="1">INDEX(INDIRECT("CAM_WTPCore_"&amp;$B5&amp;"_UnitValues"),MATCH("COMBINED-HH",WTPCore_Group,0),MATCH("MEAN",LMH,0))</f>
        <v>308.90334405201918</v>
      </c>
      <c r="Z5" s="89">
        <f ca="1">Y5*($S5-$T5)*(AllProps_CAM/HHProps_CAM)</f>
        <v>2.2457142857142856</v>
      </c>
      <c r="AA5" s="89">
        <f ca="1">INDEX(INDIRECT("CAM_WTPCore2_"&amp;$B5&amp;"_UnitValues"),1,MATCH("MEAN",LMH,0))</f>
        <v>613.1439022942551</v>
      </c>
      <c r="AB5" s="89">
        <f ca="1">AA5*($S5-$T5)*(AllProps_CAM/HHProps_CAM)</f>
        <v>4.4575303152073857</v>
      </c>
      <c r="AC5" s="512">
        <f ca="1">X5*AA$10/X$9</f>
        <v>1.3311813828388244</v>
      </c>
      <c r="AD5" s="243" t="str">
        <f>Q5</f>
        <v>Property affected</v>
      </c>
      <c r="AE5" s="391">
        <f ca="1">(AC5*HHProps_CAM)/((S5-T5)*AllProps_CAM)</f>
        <v>183.10716697779444</v>
      </c>
    </row>
    <row r="6" spans="1:31" x14ac:dyDescent="0.35">
      <c r="A6" s="7" t="s">
        <v>876</v>
      </c>
      <c r="B6" s="7" t="s">
        <v>138</v>
      </c>
      <c r="C6" s="7" t="s">
        <v>1007</v>
      </c>
      <c r="D6" s="377" t="s">
        <v>127</v>
      </c>
      <c r="E6" s="124">
        <f ca="1">INDEX(INDIRECT("ExtWTP19_"&amp;$C6&amp;"_UnitValues"),MATCH(A$4, INDIRECT("ExtWTP19_Comps_"&amp;C6),0),MATCH("HH",ExtWTP_Group,0))</f>
        <v>943</v>
      </c>
      <c r="F6" s="612">
        <f t="shared" ca="1" si="0"/>
        <v>1.4285714285714285E-2</v>
      </c>
      <c r="G6" s="612">
        <f t="shared" ca="1" si="0"/>
        <v>9.5238095238095247E-3</v>
      </c>
      <c r="H6" s="324">
        <f ca="1">INDEX(INDIRECT("SSW_WTPCore2_"&amp;$B6&amp;"_LevelValues"),1,MATCH("S1 MEAN",WTPCore2_LevelValues,0))</f>
        <v>0.39718669024665654</v>
      </c>
      <c r="I6" s="324">
        <f ca="1">INDEX(INDIRECT("SSW_WTPCore2_"&amp;$B6&amp;"_LevelValues"),1,MATCH("S2 MEAN",WTPCore2_LevelValues,0))</f>
        <v>0.53859352958370721</v>
      </c>
      <c r="J6" s="324">
        <f ca="1">SUM(H6:I6)</f>
        <v>0.93578021983036375</v>
      </c>
      <c r="K6" s="231">
        <f ca="1">E6*(F6-G6)</f>
        <v>4.4904761904761896</v>
      </c>
      <c r="L6" s="89">
        <f ca="1">INDEX(INDIRECT("SSW_WTPCore_DCE_"&amp;$B6&amp;"_UnitValues"),MATCH("COMBINED-HH",WTPCore_Group,0),MATCH("MEAN",LMH,0))</f>
        <v>162.10819588181059</v>
      </c>
      <c r="M6" s="89">
        <f ca="1">L6*($F6-$G6)*(AllProps_SSW/HHProps_SSW)</f>
        <v>0.8148571428571425</v>
      </c>
      <c r="N6" s="89">
        <f ca="1">INDEX(INDIRECT("SSW_WTPCore2_"&amp;$B6&amp;"_UnitValues"),1,MATCH("MEAN",LMH,0))</f>
        <v>186.16470937063306</v>
      </c>
      <c r="O6" s="89">
        <f ca="1">N6*($F6-$G6)*(AllProps_SSW/HHProps_SSW)</f>
        <v>0.93578021983036375</v>
      </c>
      <c r="P6" s="324">
        <f t="shared" ref="P6:P8" ca="1" si="2">K6*N$10/K$9</f>
        <v>1.0733773177948982</v>
      </c>
      <c r="Q6" s="453" t="s">
        <v>127</v>
      </c>
      <c r="R6" s="391">
        <f ca="1">P6*HHProps_SSW/((F6-G6)*AllProps_SSW)</f>
        <v>213.53836315170318</v>
      </c>
      <c r="S6" s="612">
        <f t="shared" ca="1" si="1"/>
        <v>2.5000000000000001E-2</v>
      </c>
      <c r="T6" s="612">
        <f t="shared" ca="1" si="1"/>
        <v>1.6666666666666666E-2</v>
      </c>
      <c r="U6" s="324">
        <f ca="1">INDEX(INDIRECT("CAM_WTPCore2_"&amp;$B6&amp;"_LevelValues"),1,MATCH("S1 MEAN",WTPCore2_LevelValues,0))</f>
        <v>5.3490671066612649E-2</v>
      </c>
      <c r="V6" s="324">
        <f ca="1">INDEX(INDIRECT("CAM_WTPCore2_"&amp;$B6&amp;"_LevelValues"),1,MATCH("S2 MEAN",WTPCore2_LevelValues,0))</f>
        <v>0.33457681646237136</v>
      </c>
      <c r="W6" s="168">
        <f ca="1">SUM(U6:V6)</f>
        <v>0.38806748752898401</v>
      </c>
      <c r="X6" s="221">
        <f ca="1">E6*(S6-T6)</f>
        <v>7.8583333333333352</v>
      </c>
      <c r="Y6" s="89">
        <f ca="1">INDEX(INDIRECT("CAM_WTPCore_"&amp;$B6&amp;"_UnitValues"),MATCH("COMBINED-HH",WTPCore_Group,0),MATCH("MEAN",LMH,0))</f>
        <v>28.26566546881222</v>
      </c>
      <c r="Z6" s="89">
        <f ca="1">Y6*($S6-$T6)*(AllProps_CAM/HHProps_CAM)</f>
        <v>0.25044117647058828</v>
      </c>
      <c r="AA6" s="89">
        <f ca="1">INDEX(INDIRECT("CAM_WTPCore2_"&amp;$B6&amp;"_UnitValues"),1,MATCH("MEAN",LMH,0))</f>
        <v>43.79865138952065</v>
      </c>
      <c r="AB6" s="89">
        <f ca="1">AA6*($S6-$T6)*(AllProps_CAM/HHProps_CAM)</f>
        <v>0.3880674875289839</v>
      </c>
      <c r="AC6" s="512">
        <f t="shared" ref="AC6:AC8" ca="1" si="3">X6*AA$10/X$9</f>
        <v>4.8722987377252638</v>
      </c>
      <c r="AD6" s="243" t="str">
        <f>Q6</f>
        <v>Property affected</v>
      </c>
      <c r="AE6" s="391">
        <f ca="1">AC6*HHProps_CAM/((S6-T6)*AllProps_CAM)</f>
        <v>549.90464477726164</v>
      </c>
    </row>
    <row r="7" spans="1:31" x14ac:dyDescent="0.35">
      <c r="A7" s="7" t="s">
        <v>40</v>
      </c>
      <c r="B7" s="7" t="s">
        <v>40</v>
      </c>
      <c r="C7" s="7" t="str">
        <f>B7</f>
        <v>Leakage</v>
      </c>
      <c r="D7" s="377" t="s">
        <v>1168</v>
      </c>
      <c r="E7" s="124">
        <f ca="1">INDEX(INDIRECT("ExtWTP19_"&amp;$C7&amp;"_UnitValues"),MATCH(A$4, INDIRECT("ExtWTP19_Comps_"&amp;C7),0),MATCH("HH",ExtWTP_Group,0))</f>
        <v>133624</v>
      </c>
      <c r="F7" s="325">
        <f t="shared" ca="1" si="0"/>
        <v>70.5</v>
      </c>
      <c r="G7" s="325">
        <f t="shared" ca="1" si="0"/>
        <v>35.25</v>
      </c>
      <c r="H7" s="324">
        <f ca="1">INDEX(INDIRECT("SSW_WTPCore2_"&amp;$B7&amp;"_LevelValues"),1,MATCH("S1 MEAN",WTPCore2_LevelValues,0))</f>
        <v>1.2301339708448666</v>
      </c>
      <c r="I7" s="324">
        <f ca="1">INDEX(INDIRECT("SSW_WTPCore2_"&amp;$B7&amp;"_LevelValues"),1,MATCH("S2 MEAN",WTPCore2_LevelValues,0))</f>
        <v>0.44133293088857806</v>
      </c>
      <c r="J7" s="324">
        <f ca="1">SUM(H7:I7)</f>
        <v>1.6714669017334447</v>
      </c>
      <c r="K7" s="231">
        <f ca="1">E7*(F7-G7)/AllProps_SSW</f>
        <v>8.2719339684769722</v>
      </c>
      <c r="L7" s="89">
        <f ca="1">INDEX(INDIRECT("SSW_WTPCore_DCE_"&amp;$B7&amp;"_UnitValues"),MATCH("COMBINED-HH",WTPCore_Group,0),MATCH("MEAN",LMH,0))</f>
        <v>30606.35460992908</v>
      </c>
      <c r="M7" s="89">
        <f ca="1">L7*(F7-G7)/HHProps_SSW</f>
        <v>2</v>
      </c>
      <c r="N7" s="89">
        <f ca="1">INDEX(INDIRECT("SSW_WTPCore2_"&amp;$B7&amp;"_UnitValues"),1,MATCH("MEAN",LMH,0))</f>
        <v>25578.754356606645</v>
      </c>
      <c r="O7" s="89">
        <f ca="1">N7*(F7-G7)/HHProps_SSW</f>
        <v>1.6714669017334447</v>
      </c>
      <c r="P7" s="324">
        <f t="shared" ca="1" si="2"/>
        <v>1.9772749970017687</v>
      </c>
      <c r="Q7" s="453" t="s">
        <v>1168</v>
      </c>
      <c r="R7" s="391">
        <f ca="1">P7*HHProps_SSW/((F7-G7))</f>
        <v>30258.589859791293</v>
      </c>
      <c r="S7" s="325">
        <f t="shared" ca="1" si="1"/>
        <v>13.5</v>
      </c>
      <c r="T7" s="325">
        <f t="shared" ca="1" si="1"/>
        <v>6.75</v>
      </c>
      <c r="U7" s="324">
        <f ca="1">INDEX(INDIRECT("CAM_WTPCore2_"&amp;$B7&amp;"_LevelValues"),1,MATCH("S1 MEAN",WTPCore2_LevelValues,0))</f>
        <v>3.1349723048319831</v>
      </c>
      <c r="V7" s="324">
        <f ca="1">INDEX(INDIRECT("CAM_WTPCore2_"&amp;$B7&amp;"_LevelValues"),1,MATCH("S2 MEAN",WTPCore2_LevelValues,0))</f>
        <v>5.1405797633106154E-3</v>
      </c>
      <c r="W7" s="168">
        <f ca="1">SUM(U7:V7)</f>
        <v>3.1401128845952937</v>
      </c>
      <c r="X7" s="221">
        <f ca="1">E7*(S7-T7)/AllProps_CAM</f>
        <v>6.2430748785248555</v>
      </c>
      <c r="Y7" s="89">
        <f ca="1">INDEX(INDIRECT("CAM_WTPCore_"&amp;$B7&amp;"_UnitValues"),MATCH("COMBINED-HH",WTPCore_Group,0),MATCH("MEAN",LMH,0))</f>
        <v>145343.41333333333</v>
      </c>
      <c r="Z7" s="89">
        <f ca="1">Y7*(S7-T7)/HHProps_CAM</f>
        <v>7.2200000000000006</v>
      </c>
      <c r="AA7" s="89">
        <f ca="1">INDEX(INDIRECT("CAM_WTPCore2_"&amp;$B7&amp;"_UnitValues"),1,MATCH("MEAN",LMH,0))</f>
        <v>63212.565775492993</v>
      </c>
      <c r="AB7" s="89">
        <f ca="1">AA7*(S7-T7)/HHProps_CAM</f>
        <v>3.1401128845952937</v>
      </c>
      <c r="AC7" s="512">
        <f t="shared" ca="1" si="3"/>
        <v>3.8708113489070137</v>
      </c>
      <c r="AD7" s="377" t="s">
        <v>1168</v>
      </c>
      <c r="AE7" s="391">
        <f ca="1">AC7*HHProps_CAM/((S7-T7))</f>
        <v>77922.012994397461</v>
      </c>
    </row>
    <row r="8" spans="1:31" x14ac:dyDescent="0.35">
      <c r="A8" s="7" t="s">
        <v>1118</v>
      </c>
      <c r="B8" s="7" t="s">
        <v>147</v>
      </c>
      <c r="C8" s="7" t="str">
        <f>B8</f>
        <v>Drought</v>
      </c>
      <c r="D8" s="377" t="s">
        <v>127</v>
      </c>
      <c r="E8" s="124">
        <f ca="1">INDEX(INDIRECT("ExtWTP19_"&amp;$C8&amp;"_UnitValues"),MATCH(A$4, INDIRECT("ExtWTP19_Comps_"&amp;C8),0),MATCH("HH",ExtWTP_Group,0))</f>
        <v>112</v>
      </c>
      <c r="F8" s="612">
        <f t="shared" ref="F8" ca="1" si="4">INDEX(INDIRECT("SSW_WTPCore_DCE_"&amp;$B8&amp;"_Levels"),MATCH("COMBINED-HH",WTPCore_Group,0),MATCH(F$4,WTPCore_AttLevels,0))</f>
        <v>1.2500000000000001E-2</v>
      </c>
      <c r="G8" s="612">
        <v>8.3000000000000001E-3</v>
      </c>
      <c r="H8" s="324">
        <f ca="1">INDEX(INDIRECT("SSW_WTPCore_DCE_"&amp;$B8&amp;"_LevelValues"),MATCH("COMBINED-HH",WTPCore_Group,0),MATCH("S1 MEAN",WTPCore_LevelValues,0))</f>
        <v>7.0000000000000007E-2</v>
      </c>
      <c r="I8" s="324">
        <f ca="1">INDEX(INDIRECT("SSW_WTPCore_DCE_"&amp;$B8&amp;"_LevelValues"),MATCH("COMBINED-HH",WTPCore_Group,0),MATCH("S2 MEAN",WTPCore_LevelValues,0))</f>
        <v>0.56999999999999995</v>
      </c>
      <c r="J8" s="16">
        <f ca="1">H8</f>
        <v>7.0000000000000007E-2</v>
      </c>
      <c r="K8" s="213">
        <f ca="1">E8*(F8-G8)</f>
        <v>0.47040000000000004</v>
      </c>
      <c r="L8" s="429">
        <f ca="1">INDEX(INDIRECT("SSW_WTPCore_DCE_"&amp;$B8&amp;"_UnitValues"),MATCH("COMBINED-HH",WTPCore_Group,0),MATCH("MEAN",LMH,0))</f>
        <v>90625.415999999997</v>
      </c>
      <c r="M8" s="429">
        <f ca="1">(L8*(F8-G8)*100)/HHProps_SSW</f>
        <v>7.0560000000000012E-2</v>
      </c>
      <c r="N8" s="429">
        <f ca="1">L8</f>
        <v>90625.415999999997</v>
      </c>
      <c r="O8" s="429">
        <f ca="1">(N8*(F8-G8))/HHProps_SSW*100</f>
        <v>7.0560000000000012E-2</v>
      </c>
      <c r="P8" s="324">
        <f t="shared" ca="1" si="2"/>
        <v>0.1124416807646355</v>
      </c>
      <c r="Q8" s="377" t="s">
        <v>145</v>
      </c>
      <c r="R8" s="391">
        <f ca="1">P8*HHProps_SSW/((F8-G8)*100)</f>
        <v>144417.14987293494</v>
      </c>
      <c r="S8" s="612">
        <f t="shared" ref="S8" ca="1" si="5">INDEX(INDIRECT("SSW_WTPCore_DCE_"&amp;$B8&amp;"_Levels"),MATCH("COMBINED-HH",WTPCore_Group,0),MATCH(S$4,WTPCore_AttLevels,0))</f>
        <v>1.2500000000000001E-2</v>
      </c>
      <c r="T8" s="612">
        <v>8.3000000000000001E-3</v>
      </c>
      <c r="U8" s="324">
        <f ca="1">INDEX(INDIRECT("CAM_WTPCore_"&amp;$B8&amp;"_LevelValues"),MATCH("COMBINED-HH",WTPCore_Group,0),MATCH("S1 MEAN",WTPCore_LevelValues,0))</f>
        <v>1.5029903774694477</v>
      </c>
      <c r="V8" s="324">
        <f ca="1">INDEX(INDIRECT("CAM_WTPCore_"&amp;$B8&amp;"_LevelValues"),MATCH("COMBINED-HH",WTPCore_Group,0),MATCH("S2 MEAN",WTPCore_LevelValues,0))</f>
        <v>0.31632762130063785</v>
      </c>
      <c r="W8" s="168">
        <f ca="1">U8</f>
        <v>1.5029903774694477</v>
      </c>
      <c r="X8" s="221">
        <f ca="1">E8*(S8-T8)</f>
        <v>0.47040000000000004</v>
      </c>
      <c r="Y8" s="89">
        <f ca="1">INDEX(INDIRECT("CAM_WTPCore_"&amp;$B8&amp;"_UnitValues"),MATCH("COMBINED-HH",WTPCore_Group,0),MATCH("MEAN",LMH,0))</f>
        <v>490150.41233112832</v>
      </c>
      <c r="Z8" s="89">
        <f ca="1">Y8*(S8-T8)/HHProps_CAM*100</f>
        <v>1.5150143004892032</v>
      </c>
      <c r="AA8" s="89">
        <f ca="1">Y8</f>
        <v>490150.41233112832</v>
      </c>
      <c r="AB8" s="89">
        <f ca="1">(AA8*(S8-T8)*100)/HHProps_CAM</f>
        <v>1.5150143004892034</v>
      </c>
      <c r="AC8" s="512">
        <f t="shared" ca="1" si="3"/>
        <v>0.29165590577636868</v>
      </c>
      <c r="AD8" s="377" t="s">
        <v>145</v>
      </c>
      <c r="AE8" s="391">
        <f ca="1">AC8*HHProps_CAM/((S8-T8)*100)</f>
        <v>94359.018544534585</v>
      </c>
    </row>
    <row r="9" spans="1:31" x14ac:dyDescent="0.35">
      <c r="A9" s="482"/>
      <c r="D9" s="377"/>
      <c r="E9" s="124"/>
      <c r="F9" s="324"/>
      <c r="G9" s="324"/>
      <c r="H9" s="324"/>
      <c r="I9" s="324"/>
      <c r="J9" s="330">
        <f ca="1">SUM(J5:J8)</f>
        <v>6.6519303130240441</v>
      </c>
      <c r="K9" s="331">
        <f ca="1">SUM(K5:K8)</f>
        <v>21.606143492286495</v>
      </c>
      <c r="L9" s="331"/>
      <c r="M9" s="331">
        <f ca="1">SUM(M5:M8)</f>
        <v>3.6767235012386452</v>
      </c>
      <c r="N9" s="331"/>
      <c r="O9" s="223">
        <f ca="1">SUM(O5:O8)</f>
        <v>6.6524903130240434</v>
      </c>
      <c r="P9" s="330">
        <f ca="1">SUM(P5:P8)</f>
        <v>5.1646069071313443</v>
      </c>
      <c r="Q9" s="454"/>
      <c r="R9" s="466"/>
      <c r="S9" s="512"/>
      <c r="T9" s="512"/>
      <c r="U9" s="512"/>
      <c r="V9" s="512"/>
      <c r="W9" s="44">
        <f ca="1">SUM(W5:W8)</f>
        <v>9.488701064801111</v>
      </c>
      <c r="X9" s="389">
        <f ca="1">SUM(X5:X8)</f>
        <v>16.71881675886674</v>
      </c>
      <c r="Y9" s="331"/>
      <c r="Z9" s="331">
        <f ca="1">SUM(Z5:Z8)</f>
        <v>11.231169762674078</v>
      </c>
      <c r="AA9" s="331"/>
      <c r="AB9" s="331">
        <f ca="1">SUM(AB5:AB8)</f>
        <v>9.5007249878208668</v>
      </c>
      <c r="AC9" s="44">
        <f ca="1">SUM(AC5:AC8)</f>
        <v>10.365947375247471</v>
      </c>
      <c r="AE9" s="391"/>
    </row>
    <row r="10" spans="1:31" s="50" customFormat="1" x14ac:dyDescent="0.35">
      <c r="D10" s="379"/>
      <c r="E10" s="14"/>
      <c r="F10" s="409"/>
      <c r="G10" s="409"/>
      <c r="H10" s="409"/>
      <c r="I10" s="409"/>
      <c r="J10" s="409"/>
      <c r="K10" s="163"/>
      <c r="L10" s="163"/>
      <c r="M10" s="163" t="s">
        <v>361</v>
      </c>
      <c r="N10" s="546">
        <f ca="1">AVERAGE(M9,O9)</f>
        <v>5.1646069071313443</v>
      </c>
      <c r="O10" s="163"/>
      <c r="P10" s="163"/>
      <c r="Q10" s="455"/>
      <c r="R10" s="467"/>
      <c r="S10" s="151"/>
      <c r="T10" s="151"/>
      <c r="U10" s="151"/>
      <c r="V10" s="151"/>
      <c r="W10" s="38"/>
      <c r="X10" s="162"/>
      <c r="Y10" s="163"/>
      <c r="Z10" s="163" t="s">
        <v>361</v>
      </c>
      <c r="AA10" s="546">
        <f ca="1">AVERAGE(Z9,AB9)</f>
        <v>10.365947375247472</v>
      </c>
      <c r="AB10" s="163"/>
      <c r="AC10" s="163"/>
      <c r="AD10" s="87"/>
      <c r="AE10" s="392"/>
    </row>
    <row r="11" spans="1:31" x14ac:dyDescent="0.35">
      <c r="A11" s="51" t="s">
        <v>90</v>
      </c>
      <c r="B11" s="51"/>
      <c r="C11" s="51"/>
      <c r="D11" s="378"/>
      <c r="E11" s="218"/>
      <c r="F11" s="218"/>
      <c r="G11" s="218"/>
      <c r="H11" s="330"/>
      <c r="I11" s="330"/>
      <c r="J11" s="330"/>
      <c r="K11" s="45"/>
      <c r="L11" s="45"/>
      <c r="M11" s="45"/>
      <c r="N11" s="45"/>
      <c r="O11" s="45"/>
      <c r="P11" s="45"/>
      <c r="Q11" s="456"/>
      <c r="R11" s="468"/>
      <c r="S11" s="45"/>
      <c r="T11" s="45"/>
      <c r="U11" s="44"/>
      <c r="V11" s="44"/>
      <c r="W11" s="44"/>
      <c r="X11" s="389"/>
      <c r="Y11" s="45"/>
      <c r="Z11" s="45"/>
      <c r="AA11" s="45"/>
      <c r="AB11" s="45"/>
      <c r="AC11" s="45"/>
      <c r="AE11" s="393"/>
    </row>
    <row r="12" spans="1:31" x14ac:dyDescent="0.35">
      <c r="A12" s="7" t="s">
        <v>1169</v>
      </c>
      <c r="B12" s="7" t="s">
        <v>138</v>
      </c>
      <c r="C12" s="7" t="s">
        <v>1170</v>
      </c>
      <c r="D12" s="377" t="s">
        <v>127</v>
      </c>
      <c r="E12" s="124">
        <f ca="1">INDEX(INDIRECT("ExtWTP19_"&amp;$C12&amp;"_UnitValues"),MATCH(A$11, INDIRECT("ExtWTP19_Comps_"&amp;C12),0),MATCH("HH",ExtWTP_Group,0))</f>
        <v>3822</v>
      </c>
      <c r="F12" s="612">
        <f t="shared" ref="F12:G14" ca="1" si="6">INDEX(INDIRECT("SSW_WTPCore2_"&amp;$B12&amp;"_Levels"),1,MATCH(F$4,WTPCore2_AttLevels,0))</f>
        <v>1.4285714285714285E-2</v>
      </c>
      <c r="G12" s="612">
        <f t="shared" ca="1" si="6"/>
        <v>9.5238095238095247E-3</v>
      </c>
      <c r="H12" s="324">
        <f ca="1">INDEX(INDIRECT("SSW_WTPCore2_"&amp;$B12&amp;"_LevelValues"),1,MATCH("S1 MEAN",WTPCore2_LevelValues,0))</f>
        <v>0.39718669024665654</v>
      </c>
      <c r="I12" s="324">
        <f ca="1">INDEX(INDIRECT("SSW_WTPCore2_"&amp;$B12&amp;"_LevelValues"),1,MATCH("S2 MEAN",WTPCore2_LevelValues,0))</f>
        <v>0.53859352958370721</v>
      </c>
      <c r="J12" s="324">
        <f ca="1">SUM(H12:I12)</f>
        <v>0.93578021983036375</v>
      </c>
      <c r="K12" s="231">
        <f ca="1">E12*(F12-G12)</f>
        <v>18.199999999999996</v>
      </c>
      <c r="L12" s="89">
        <f ca="1">INDEX(INDIRECT("SSW_WTPCore_DCE_"&amp;$B12&amp;"_UnitValues"),MATCH("COMBINED-HH",WTPCore_Group,0),MATCH("MEAN",LMH,0))</f>
        <v>162.10819588181059</v>
      </c>
      <c r="M12" s="89">
        <f ca="1">L12*($F12-$G12)*(AllProps_SSW/HHProps_SSW)</f>
        <v>0.8148571428571425</v>
      </c>
      <c r="N12" s="89">
        <f ca="1">INDEX(INDIRECT("SSW_WTPCore2_"&amp;$B12&amp;"_UnitValues"),1,MATCH("MEAN",LMH,0))</f>
        <v>186.16470937063306</v>
      </c>
      <c r="O12" s="89">
        <f ca="1">N12*($F12-$G12)*(AllProps_SSW/HHProps_SSW)</f>
        <v>0.93578021983036375</v>
      </c>
      <c r="P12" s="324">
        <f ca="1">K12*N$16/K$15</f>
        <v>1.1066051344564585</v>
      </c>
      <c r="Q12" s="453" t="s">
        <v>127</v>
      </c>
      <c r="R12" s="391">
        <f ca="1">P12*HHProps_SSW/((F12-G12)*AllProps_SSW)</f>
        <v>220.14872603471159</v>
      </c>
      <c r="S12" s="612">
        <f t="shared" ref="S12:T14" ca="1" si="7">INDEX(INDIRECT("CAM_WTPCore2_"&amp;$B12&amp;"_Levels"),1,MATCH(S$4,WTPCore2_AttLevels,0))</f>
        <v>2.5000000000000001E-2</v>
      </c>
      <c r="T12" s="612">
        <f t="shared" ca="1" si="7"/>
        <v>1.6666666666666666E-2</v>
      </c>
      <c r="U12" s="324">
        <f ca="1">INDEX(INDIRECT("CAM_WTPCore2_"&amp;$B12&amp;"_LevelValues"),1,MATCH("S1 MEAN",WTPCore2_LevelValues,0))</f>
        <v>5.3490671066612649E-2</v>
      </c>
      <c r="V12" s="324">
        <f ca="1">INDEX(INDIRECT("CAM_WTPCore2_"&amp;$B12&amp;"_LevelValues"),1,MATCH("S2 MEAN",WTPCore2_LevelValues,0))</f>
        <v>0.33457681646237136</v>
      </c>
      <c r="W12" s="168">
        <f ca="1">SUM(U12:V12)</f>
        <v>0.38806748752898401</v>
      </c>
      <c r="X12" s="221">
        <f ca="1">E12*(S12-T12)</f>
        <v>31.850000000000005</v>
      </c>
      <c r="Y12" s="89">
        <f ca="1">INDEX(INDIRECT("CAM_WTPCore_"&amp;$B12&amp;"_UnitValues"),MATCH("COMBINED-HH",WTPCore_Group,0),MATCH("MEAN",LMH,0))</f>
        <v>28.26566546881222</v>
      </c>
      <c r="Z12" s="89">
        <f ca="1">Y12*($S12-$T12)*(AllProps_CAM/HHProps_CAM)</f>
        <v>0.25044117647058828</v>
      </c>
      <c r="AA12" s="89">
        <f ca="1">INDEX(INDIRECT("CAM_WTPCore2_"&amp;$B12&amp;"_UnitValues"),1,MATCH("MEAN",LMH,0))</f>
        <v>43.79865138952065</v>
      </c>
      <c r="AB12" s="89">
        <f ca="1">AA12*($S12-$T12)*(AllProps_CAM/HHProps_CAM)</f>
        <v>0.3880674875289839</v>
      </c>
      <c r="AC12" s="512">
        <f ca="1">X12*AA$16/X$15</f>
        <v>4.5205515191130932</v>
      </c>
      <c r="AD12" s="243" t="str">
        <f>Q12</f>
        <v>Property affected</v>
      </c>
      <c r="AE12" s="391">
        <f ca="1">(AC12*HHProps_CAM)/((S12-T12)*AllProps_CAM)</f>
        <v>510.20522573206955</v>
      </c>
    </row>
    <row r="13" spans="1:31" x14ac:dyDescent="0.35">
      <c r="A13" s="7" t="s">
        <v>893</v>
      </c>
      <c r="B13" s="7" t="s">
        <v>144</v>
      </c>
      <c r="C13" s="7" t="str">
        <f>B13</f>
        <v>TempBan</v>
      </c>
      <c r="D13" s="377" t="s">
        <v>127</v>
      </c>
      <c r="E13" s="124">
        <f ca="1">INDEX(INDIRECT("ExtWTP19_"&amp;$C13&amp;"_UnitValues"),MATCH(A$11, INDIRECT("ExtWTP19_Comps_"&amp;C13),0),MATCH("HH",ExtWTP_Group,0))</f>
        <v>105</v>
      </c>
      <c r="F13" s="612">
        <f t="shared" ca="1" si="6"/>
        <v>2.5000000000000001E-2</v>
      </c>
      <c r="G13" s="612">
        <f t="shared" ca="1" si="6"/>
        <v>1.5384615384615385E-2</v>
      </c>
      <c r="H13" s="324">
        <f ca="1">INDEX(INDIRECT("SSW_WTPCore2_"&amp;$B13&amp;"_LevelValues"),1,MATCH("S1 MEAN",WTPCore2_LevelValues,0))</f>
        <v>0.4084226191643695</v>
      </c>
      <c r="I13" s="324">
        <f ca="1">INDEX(INDIRECT("SSW_WTPCore2_"&amp;$B13&amp;"_LevelValues"),1,MATCH("S2 MEAN",WTPCore2_LevelValues,0))</f>
        <v>0.28250000903457151</v>
      </c>
      <c r="J13" s="324">
        <f ca="1">SUM(H13:I13)</f>
        <v>0.69092262819894101</v>
      </c>
      <c r="K13" s="231">
        <f ca="1">E13*(F13-G13)</f>
        <v>1.0096153846153846</v>
      </c>
      <c r="L13" s="89">
        <f ca="1">INDEX(INDIRECT("SSW_WTPCore_DCE_"&amp;$B13&amp;"_UnitValues"),MATCH("COMBINED-HH",WTPCore_Group,0),MATCH("MEAN",LMH,0))</f>
        <v>245983.27199999994</v>
      </c>
      <c r="M13" s="89">
        <f ca="1">L13*(F13-G13)/HHProps_SSW*100</f>
        <v>0.43846153846153846</v>
      </c>
      <c r="N13" s="89">
        <f ca="1">INDEX(INDIRECT("SSW_WTPCore2_"&amp;$B13&amp;"_UnitValues"),1,MATCH("MEAN",LMH,0))</f>
        <v>387617.59897926223</v>
      </c>
      <c r="O13" s="89">
        <f ca="1">N13*(F13-G13)/HHProps_SSW*100</f>
        <v>0.69092262819894101</v>
      </c>
      <c r="P13" s="324">
        <f t="shared" ref="P13:P14" ca="1" si="8">K13*N$16/K$15</f>
        <v>6.138711914514379E-2</v>
      </c>
      <c r="Q13" s="457" t="s">
        <v>145</v>
      </c>
      <c r="R13" s="391">
        <f ca="1">P13*HHProps_SSW/((F13-G13)*100)</f>
        <v>34439.062725910888</v>
      </c>
      <c r="S13" s="612">
        <f t="shared" ca="1" si="7"/>
        <v>0.05</v>
      </c>
      <c r="T13" s="612">
        <f t="shared" ca="1" si="7"/>
        <v>3.3333333333333333E-2</v>
      </c>
      <c r="U13" s="324">
        <f ca="1">INDEX(INDIRECT("CAM_WTPCore2_"&amp;$B13&amp;"_LevelValues"),1,MATCH("S1 MEAN",WTPCore2_LevelValues,0))</f>
        <v>0.15591350717379643</v>
      </c>
      <c r="V13" s="324">
        <f ca="1">INDEX(INDIRECT("CAM_WTPCore2_"&amp;$B13&amp;"_LevelValues"),1,MATCH("S2 MEAN",WTPCore2_LevelValues,0))</f>
        <v>5.0130987785217407E-2</v>
      </c>
      <c r="W13" s="168">
        <f ca="1">SUM(U13:V13)</f>
        <v>0.20604449495901384</v>
      </c>
      <c r="X13" s="221">
        <f ca="1">E13*(S13-T13)</f>
        <v>1.7500000000000004</v>
      </c>
      <c r="Y13" s="89">
        <f ca="1">INDEX(INDIRECT("CAM_WTPCore_"&amp;$B13&amp;"_UnitValues"),MATCH("COMBINED-HH",WTPCore_Group,0),MATCH("MEAN",LMH,0))</f>
        <v>469608.19199999986</v>
      </c>
      <c r="Z13" s="89">
        <f ca="1">Y13*(S13-T13)/HHProps_CAM*100</f>
        <v>5.76</v>
      </c>
      <c r="AA13" s="89">
        <f ca="1">INDEX(INDIRECT("CAM_WTPCore2_"&amp;$B13&amp;"_UnitValues"),1,MATCH("MEAN",LMH,0))</f>
        <v>16798.64283841243</v>
      </c>
      <c r="AB13" s="89">
        <f ca="1">AA13*(S13-T13)/HHProps_CAM*100</f>
        <v>0.20604449495901386</v>
      </c>
      <c r="AC13" s="512">
        <f t="shared" ref="AC13:AC15" ca="1" si="9">X13*AA$16/X$15</f>
        <v>0.24838195159962054</v>
      </c>
      <c r="AD13" s="243" t="str">
        <f>Q13</f>
        <v>1% change in risk</v>
      </c>
      <c r="AE13" s="391">
        <f ca="1">(AC13*HHProps_CAM)/((S13-T13)*100)</f>
        <v>20250.381808355778</v>
      </c>
    </row>
    <row r="14" spans="1:31" x14ac:dyDescent="0.35">
      <c r="A14" s="7" t="s">
        <v>40</v>
      </c>
      <c r="B14" s="7" t="s">
        <v>40</v>
      </c>
      <c r="C14" s="7" t="s">
        <v>40</v>
      </c>
      <c r="D14" s="377" t="s">
        <v>1168</v>
      </c>
      <c r="E14" s="124">
        <f ca="1">INDEX(INDIRECT("ExtWTP19_"&amp;$C14&amp;"_UnitValues"),MATCH(A$11, INDIRECT("ExtWTP19_Comps_"&amp;C14),0),MATCH("HH",ExtWTP_Group,0))</f>
        <v>559984</v>
      </c>
      <c r="F14" s="325">
        <f t="shared" ca="1" si="6"/>
        <v>70.5</v>
      </c>
      <c r="G14" s="325">
        <f t="shared" ca="1" si="6"/>
        <v>35.25</v>
      </c>
      <c r="H14" s="324">
        <f ca="1">INDEX(INDIRECT("SSW_WTPCore2_"&amp;$B14&amp;"_LevelValues"),1,MATCH("S1 MEAN",WTPCore2_LevelValues,0))</f>
        <v>1.2301339708448666</v>
      </c>
      <c r="I14" s="324">
        <f ca="1">INDEX(INDIRECT("SSW_WTPCore2_"&amp;$B14&amp;"_LevelValues"),1,MATCH("S2 MEAN",WTPCore2_LevelValues,0))</f>
        <v>0.44133293088857806</v>
      </c>
      <c r="J14" s="324">
        <f ca="1">SUM(H14:I14)</f>
        <v>1.6714669017334447</v>
      </c>
      <c r="K14" s="231">
        <f ca="1">E14*(F14-G14)/AllProps_SSW</f>
        <v>34.665559116652766</v>
      </c>
      <c r="L14" s="89">
        <f ca="1">INDEX(INDIRECT("SSW_WTPCore_DCE_"&amp;$B14&amp;"_UnitValues"),MATCH("COMBINED-HH",WTPCore_Group,0),MATCH("MEAN",LMH,0))</f>
        <v>30606.35460992908</v>
      </c>
      <c r="M14" s="89">
        <f ca="1">L14*(F14-G14)/HHProps_SSW</f>
        <v>2</v>
      </c>
      <c r="N14" s="89">
        <f ca="1">INDEX(INDIRECT("SSW_WTPCore2_"&amp;$B14&amp;"_UnitValues"),1,MATCH("MEAN",LMH,0))</f>
        <v>25578.754356606645</v>
      </c>
      <c r="O14" s="89">
        <f ca="1">N14*(F14-G14)/HHProps_SSW</f>
        <v>1.6714669017334447</v>
      </c>
      <c r="P14" s="324">
        <f t="shared" ca="1" si="8"/>
        <v>2.1077519619391127</v>
      </c>
      <c r="Q14" s="457" t="s">
        <v>1168</v>
      </c>
      <c r="R14" s="391">
        <f ca="1">P14*HHProps_SSW/((F14-G14))</f>
        <v>32255.301988441115</v>
      </c>
      <c r="S14" s="325">
        <f t="shared" ca="1" si="7"/>
        <v>13.5</v>
      </c>
      <c r="T14" s="325">
        <f t="shared" ca="1" si="7"/>
        <v>6.75</v>
      </c>
      <c r="U14" s="324">
        <f ca="1">INDEX(INDIRECT("CAM_WTPCore2_"&amp;$B14&amp;"_LevelValues"),1,MATCH("S1 MEAN",WTPCore2_LevelValues,0))</f>
        <v>3.1349723048319831</v>
      </c>
      <c r="V14" s="324">
        <f ca="1">INDEX(INDIRECT("CAM_WTPCore2_"&amp;$B14&amp;"_LevelValues"),1,MATCH("S2 MEAN",WTPCore2_LevelValues,0))</f>
        <v>5.1405797633106154E-3</v>
      </c>
      <c r="W14" s="168">
        <f ca="1">SUM(U14:V14)</f>
        <v>3.1401128845952937</v>
      </c>
      <c r="X14" s="221">
        <f ca="1">E14*(S14-T14)/AllProps_CAM</f>
        <v>26.163129698077164</v>
      </c>
      <c r="Y14" s="89">
        <f ca="1">INDEX(INDIRECT("CAM_WTPCore_"&amp;$B14&amp;"_UnitValues"),MATCH("COMBINED-HH",WTPCore_Group,0),MATCH("MEAN",LMH,0))</f>
        <v>145343.41333333333</v>
      </c>
      <c r="Z14" s="89">
        <f ca="1">Y14*(S14-T14)/HHProps_CAM</f>
        <v>7.2200000000000006</v>
      </c>
      <c r="AA14" s="89">
        <f ca="1">INDEX(INDIRECT("CAM_WTPCore2_"&amp;$B14&amp;"_UnitValues"),1,MATCH("MEAN",LMH,0))</f>
        <v>63212.565775492993</v>
      </c>
      <c r="AB14" s="89">
        <f ca="1">AA14*(S14-T14)/HHProps_CAM</f>
        <v>3.1401128845952937</v>
      </c>
      <c r="AC14" s="512">
        <f t="shared" ca="1" si="9"/>
        <v>3.7133995510642257</v>
      </c>
      <c r="AD14" s="477" t="s">
        <v>1168</v>
      </c>
      <c r="AE14" s="391">
        <f ca="1">AC14*HHProps_CAM/((S14-T14))</f>
        <v>74753.208562623578</v>
      </c>
    </row>
    <row r="15" spans="1:31" x14ac:dyDescent="0.35">
      <c r="D15" s="377"/>
      <c r="E15" s="124"/>
      <c r="F15" s="324"/>
      <c r="G15" s="324"/>
      <c r="H15" s="324"/>
      <c r="I15" s="324"/>
      <c r="J15" s="330">
        <f ca="1">SUM(J12:J14)</f>
        <v>3.2981697497627493</v>
      </c>
      <c r="K15" s="331">
        <f ca="1">SUM(K12:K14)</f>
        <v>53.875174501268148</v>
      </c>
      <c r="L15" s="331"/>
      <c r="M15" s="331">
        <f ca="1">SUM(M11:M14)</f>
        <v>3.2533186813186807</v>
      </c>
      <c r="N15" s="331"/>
      <c r="O15" s="223">
        <f ca="1">SUM(O11:O14)</f>
        <v>3.2981697497627493</v>
      </c>
      <c r="P15" s="330">
        <f ca="1">SUM(P12:P14)</f>
        <v>3.275744215540715</v>
      </c>
      <c r="Q15" s="454"/>
      <c r="R15" s="466"/>
      <c r="S15" s="512"/>
      <c r="T15" s="512"/>
      <c r="U15" s="512"/>
      <c r="V15" s="512"/>
      <c r="W15" s="44">
        <f ca="1">SUM(W12:W14)</f>
        <v>3.7342248670832916</v>
      </c>
      <c r="X15" s="389">
        <f ca="1">SUM(X12:X14)</f>
        <v>59.763129698077172</v>
      </c>
      <c r="Y15" s="331"/>
      <c r="Z15" s="331">
        <f ca="1">SUM(Z11:Z14)</f>
        <v>13.230441176470588</v>
      </c>
      <c r="AA15" s="331"/>
      <c r="AB15" s="223">
        <f ca="1">SUM(AB11:AB14)</f>
        <v>3.7342248670832916</v>
      </c>
      <c r="AC15" s="44">
        <f t="shared" ca="1" si="9"/>
        <v>8.4823330217769399</v>
      </c>
      <c r="AE15" s="391"/>
    </row>
    <row r="16" spans="1:31" s="50" customFormat="1" x14ac:dyDescent="0.35">
      <c r="D16" s="379"/>
      <c r="E16" s="14"/>
      <c r="F16" s="409"/>
      <c r="G16" s="409"/>
      <c r="H16" s="409"/>
      <c r="I16" s="409"/>
      <c r="J16" s="409"/>
      <c r="K16" s="163"/>
      <c r="L16" s="163"/>
      <c r="M16" s="163" t="s">
        <v>361</v>
      </c>
      <c r="N16" s="546">
        <f ca="1">AVERAGE(M15,O15)</f>
        <v>3.275744215540715</v>
      </c>
      <c r="O16" s="163"/>
      <c r="P16" s="163"/>
      <c r="Q16" s="455"/>
      <c r="R16" s="467"/>
      <c r="S16" s="151"/>
      <c r="T16" s="151"/>
      <c r="U16" s="151"/>
      <c r="V16" s="151"/>
      <c r="W16" s="38"/>
      <c r="X16" s="162"/>
      <c r="Y16" s="163"/>
      <c r="Z16" s="163" t="s">
        <v>361</v>
      </c>
      <c r="AA16" s="546">
        <f ca="1">AVERAGE(Z15,AB15)</f>
        <v>8.4823330217769399</v>
      </c>
      <c r="AB16" s="163"/>
      <c r="AC16" s="163"/>
      <c r="AD16" s="87"/>
      <c r="AE16" s="392"/>
    </row>
    <row r="17" spans="1:31" s="53" customFormat="1" x14ac:dyDescent="0.35">
      <c r="A17" s="51" t="s">
        <v>91</v>
      </c>
      <c r="B17" s="51"/>
      <c r="C17" s="7"/>
      <c r="D17" s="378"/>
      <c r="E17" s="218"/>
      <c r="F17" s="218"/>
      <c r="G17" s="218"/>
      <c r="H17" s="330"/>
      <c r="I17" s="330"/>
      <c r="J17" s="330"/>
      <c r="K17" s="45"/>
      <c r="L17" s="45"/>
      <c r="M17" s="45"/>
      <c r="N17" s="45"/>
      <c r="O17" s="45"/>
      <c r="P17" s="45"/>
      <c r="Q17" s="456"/>
      <c r="R17" s="468"/>
      <c r="S17" s="45"/>
      <c r="T17" s="45"/>
      <c r="U17" s="44"/>
      <c r="V17" s="44"/>
      <c r="W17" s="44"/>
      <c r="X17" s="389"/>
      <c r="Y17" s="45"/>
      <c r="Z17" s="45"/>
      <c r="AA17" s="45"/>
      <c r="AB17" s="45"/>
      <c r="AC17" s="45"/>
      <c r="AE17" s="393"/>
    </row>
    <row r="18" spans="1:31" x14ac:dyDescent="0.35">
      <c r="A18" s="7" t="s">
        <v>129</v>
      </c>
      <c r="B18" s="7" t="s">
        <v>130</v>
      </c>
      <c r="C18" s="7" t="str">
        <f>B18</f>
        <v>Discolour</v>
      </c>
      <c r="D18" s="377" t="s">
        <v>127</v>
      </c>
      <c r="E18" s="124">
        <f t="shared" ref="E18:E28" ca="1" si="10">INDEX(INDIRECT("ExtWTP19_"&amp;$C18&amp;"_UnitValues"),MATCH(A$17, INDIRECT("ExtWTP19_Comps_"&amp;C18),0),MATCH("HH",ExtWTP_Group,0))</f>
        <v>75</v>
      </c>
      <c r="F18" s="612">
        <f t="shared" ref="F18:G21" ca="1" si="11">INDEX(INDIRECT("SSW_WTPCore2_"&amp;$B18&amp;"_Levels"),1,MATCH(F$4,WTPCore2_AttLevels,0))</f>
        <v>6.6666666666666666E-2</v>
      </c>
      <c r="G18" s="612">
        <f t="shared" ca="1" si="11"/>
        <v>0.04</v>
      </c>
      <c r="H18" s="324">
        <f ca="1">INDEX(INDIRECT("SSW_WTPCore2_"&amp;$B18&amp;"_LevelValues"),1,MATCH("S1 MEAN",WTPCore2_LevelValues,0))</f>
        <v>3.3679929677046498</v>
      </c>
      <c r="I18" s="324">
        <f ca="1">INDEX(INDIRECT("SSW_WTPCore2_"&amp;$B18&amp;"_LevelValues"),1,MATCH("S2 MEAN",WTPCore2_LevelValues,0))</f>
        <v>0.60669022375558512</v>
      </c>
      <c r="J18" s="324">
        <f ca="1">SUM(H18:I18)</f>
        <v>3.974683191460235</v>
      </c>
      <c r="K18" s="231">
        <f t="shared" ref="K18:K23" ca="1" si="12">E18*(F18-G18)</f>
        <v>1.9999999999999998</v>
      </c>
      <c r="L18" s="89">
        <f t="shared" ref="L18:L28" ca="1" si="13">INDEX(INDIRECT("SSW_WTPCore_DCE_"&amp;$B18&amp;"_UnitValues"),MATCH("COMBINED-HH",WTPCore_Group,0),MATCH("MEAN",LMH,0))</f>
        <v>28.111247840776404</v>
      </c>
      <c r="M18" s="89">
        <f ca="1">L18*($F18-$G18)*(AllProps_SSW/HHProps_SSW)</f>
        <v>0.79130635838150276</v>
      </c>
      <c r="N18" s="89">
        <f ca="1">INDEX(INDIRECT("SSW_WTPCore2_"&amp;$B18&amp;"_UnitValues"),1,MATCH("MEAN",LMH,0))</f>
        <v>141.20106972505607</v>
      </c>
      <c r="O18" s="89">
        <f ca="1">N18*($F18-$G18)*(AllProps_SSW/HHProps_SSW)</f>
        <v>3.9746831914602345</v>
      </c>
      <c r="P18" s="324">
        <f ca="1">K18*N$30/K$29</f>
        <v>1.7970268259321953</v>
      </c>
      <c r="Q18" s="453" t="s">
        <v>127</v>
      </c>
      <c r="R18" s="391">
        <f ca="1">P18*HHProps_SSW/((F18-G18)*AllProps_SSW)</f>
        <v>63.839581149869538</v>
      </c>
      <c r="S18" s="612">
        <f t="shared" ref="S18:T21" ca="1" si="14">INDEX(INDIRECT("CAM_WTPCore2_"&amp;$B18&amp;"_Levels"),1,MATCH(S$4,WTPCore2_AttLevels,0))</f>
        <v>2.2222222222222223E-2</v>
      </c>
      <c r="T18" s="612">
        <f t="shared" ca="1" si="14"/>
        <v>1.5384615384615385E-2</v>
      </c>
      <c r="U18" s="324">
        <f ca="1">INDEX(INDIRECT("CAM_WTPCore2_"&amp;$B18&amp;"_LevelValues"),1,MATCH("S1 MEAN",WTPCore2_LevelValues,0))</f>
        <v>3.1155463151224057</v>
      </c>
      <c r="V18" s="324">
        <f ca="1">INDEX(INDIRECT("CAM_WTPCore2_"&amp;$B18&amp;"_LevelValues"),1,MATCH("S2 MEAN",WTPCore2_LevelValues,0))</f>
        <v>1.3419840000849801</v>
      </c>
      <c r="W18" s="168">
        <f ca="1">SUM(U18:V18)</f>
        <v>4.4575303152073857</v>
      </c>
      <c r="X18" s="221">
        <f t="shared" ref="X18:X23" ca="1" si="15">E18*(S18-T18)</f>
        <v>0.51282051282051277</v>
      </c>
      <c r="Y18" s="89">
        <f t="shared" ref="Y18:Y28" ca="1" si="16">INDEX(INDIRECT("CAM_WTPCore_"&amp;$B18&amp;"_UnitValues"),MATCH("COMBINED-HH",WTPCore_Group,0),MATCH("MEAN",LMH,0))</f>
        <v>308.90334405201918</v>
      </c>
      <c r="Z18" s="89">
        <f ca="1">Y18*($S18-$T18)*(AllProps_CAM/HHProps_CAM)</f>
        <v>2.2457142857142856</v>
      </c>
      <c r="AA18" s="89">
        <f ca="1">INDEX(INDIRECT("CAM_WTPCore2_"&amp;$B18&amp;"_UnitValues"),1,MATCH("MEAN",LMH,0))</f>
        <v>613.1439022942551</v>
      </c>
      <c r="AB18" s="89">
        <f ca="1">AA18*($S18-$T18)*(AllProps_CAM/HHProps_CAM)</f>
        <v>4.4575303152073857</v>
      </c>
      <c r="AC18" s="512">
        <f ca="1">X18*AA$30/X$29</f>
        <v>0.7848893797344576</v>
      </c>
      <c r="AD18" s="377" t="s">
        <v>127</v>
      </c>
      <c r="AE18" s="391">
        <f ca="1">(AC18*HHProps_CAM)/((S18-T18)*AllProps_CAM)</f>
        <v>107.96340195777505</v>
      </c>
    </row>
    <row r="19" spans="1:31" x14ac:dyDescent="0.35">
      <c r="A19" s="7" t="s">
        <v>131</v>
      </c>
      <c r="B19" s="7" t="s">
        <v>132</v>
      </c>
      <c r="C19" s="7" t="str">
        <f>B19</f>
        <v>TasteSmell</v>
      </c>
      <c r="D19" s="377" t="s">
        <v>127</v>
      </c>
      <c r="E19" s="124">
        <f t="shared" ca="1" si="10"/>
        <v>231</v>
      </c>
      <c r="F19" s="612">
        <f t="shared" ca="1" si="11"/>
        <v>1.6666666666666666E-2</v>
      </c>
      <c r="G19" s="612">
        <f t="shared" ca="1" si="11"/>
        <v>1.1111111111111112E-2</v>
      </c>
      <c r="H19" s="324">
        <f ca="1">INDEX(INDIRECT("SSW_WTPCore2_"&amp;$B19&amp;"_LevelValues"),1,MATCH("S1 MEAN",WTPCore2_LevelValues,0))</f>
        <v>0.30818609087835352</v>
      </c>
      <c r="I19" s="324">
        <f ca="1">INDEX(INDIRECT("SSW_WTPCore2_"&amp;$B19&amp;"_LevelValues"),1,MATCH("S2 MEAN",WTPCore2_LevelValues,0))</f>
        <v>0.18578205633963885</v>
      </c>
      <c r="J19" s="324">
        <f ca="1">SUM(H19:I19)</f>
        <v>0.49396814721799237</v>
      </c>
      <c r="K19" s="231">
        <f t="shared" ca="1" si="12"/>
        <v>1.2833333333333332</v>
      </c>
      <c r="L19" s="89">
        <f t="shared" ca="1" si="13"/>
        <v>173.83878023943072</v>
      </c>
      <c r="M19" s="89">
        <f ca="1">L19*($F19-$G19)*(AllProps_SSW/HHProps_SSW)</f>
        <v>1.0194594594594593</v>
      </c>
      <c r="N19" s="89">
        <f ca="1">INDEX(INDIRECT("SSW_WTPCore2_"&amp;$B19&amp;"_UnitValues"),1,MATCH("MEAN",LMH,0))</f>
        <v>84.231716516748989</v>
      </c>
      <c r="O19" s="89">
        <f ca="1">N19*($F19-$G19)*(AllProps_SSW/HHProps_SSW)</f>
        <v>0.49396814721799237</v>
      </c>
      <c r="P19" s="324">
        <f t="shared" ref="P19:P28" ca="1" si="17">K19*N$30/K$29</f>
        <v>1.153092213306492</v>
      </c>
      <c r="Q19" s="453" t="s">
        <v>127</v>
      </c>
      <c r="R19" s="391">
        <f ca="1">P19*HHProps_SSW/((F19-G19)*AllProps_SSW)</f>
        <v>196.6259099415982</v>
      </c>
      <c r="S19" s="612">
        <f t="shared" ca="1" si="14"/>
        <v>1.4285714285714285E-2</v>
      </c>
      <c r="T19" s="612">
        <f t="shared" ca="1" si="14"/>
        <v>0.01</v>
      </c>
      <c r="U19" s="324">
        <f ca="1">INDEX(INDIRECT("CAM_WTPCore2_"&amp;$B19&amp;"_LevelValues"),1,MATCH("S1 MEAN",WTPCore2_LevelValues,0))</f>
        <v>4.7204807663126298E-2</v>
      </c>
      <c r="V19" s="324">
        <f ca="1">INDEX(INDIRECT("CAM_WTPCore2_"&amp;$B19&amp;"_LevelValues"),1,MATCH("S2 MEAN",WTPCore2_LevelValues,0))</f>
        <v>0.1217094578997745</v>
      </c>
      <c r="W19" s="168">
        <f ca="1">SUM(U19:V19)</f>
        <v>0.16891426556290079</v>
      </c>
      <c r="X19" s="221">
        <f t="shared" ca="1" si="15"/>
        <v>0.98999999999999988</v>
      </c>
      <c r="Y19" s="89">
        <f t="shared" ca="1" si="16"/>
        <v>207.69569571588755</v>
      </c>
      <c r="Z19" s="89">
        <f ca="1">Y19*($S19-$T19)*(AllProps_CAM/HHProps_CAM)</f>
        <v>0.94640816326530586</v>
      </c>
      <c r="AA19" s="89">
        <f ca="1">INDEX(INDIRECT("CAM_WTPCore2_"&amp;$B19&amp;"_UnitValues"),1,MATCH("MEAN",LMH,0))</f>
        <v>37.069382180075451</v>
      </c>
      <c r="AB19" s="89">
        <f ca="1">AA19*($S19-$T19)*(AllProps_CAM/HHProps_CAM)</f>
        <v>0.16891426556290079</v>
      </c>
      <c r="AC19" s="512">
        <f t="shared" ref="AC19:AC28" ca="1" si="18">X19*AA$30/X$29</f>
        <v>1.5152289475773706</v>
      </c>
      <c r="AD19" s="377" t="s">
        <v>127</v>
      </c>
      <c r="AE19" s="391">
        <f ca="1">(AC19*HHProps_CAM)/((S19-T19)*AllProps_CAM)</f>
        <v>332.5272780299473</v>
      </c>
    </row>
    <row r="20" spans="1:31" x14ac:dyDescent="0.35">
      <c r="A20" s="7" t="s">
        <v>890</v>
      </c>
      <c r="B20" s="7" t="s">
        <v>138</v>
      </c>
      <c r="C20" s="7" t="s">
        <v>1011</v>
      </c>
      <c r="D20" s="377" t="s">
        <v>127</v>
      </c>
      <c r="E20" s="124">
        <f t="shared" ca="1" si="10"/>
        <v>295</v>
      </c>
      <c r="F20" s="612">
        <f t="shared" ca="1" si="11"/>
        <v>1.4285714285714285E-2</v>
      </c>
      <c r="G20" s="612">
        <f t="shared" ca="1" si="11"/>
        <v>9.5238095238095247E-3</v>
      </c>
      <c r="H20" s="324">
        <f ca="1">INDEX(INDIRECT("SSW_WTPCore2_"&amp;$B20&amp;"_LevelValues"),1,MATCH("S1 MEAN",WTPCore2_LevelValues,0))</f>
        <v>0.39718669024665654</v>
      </c>
      <c r="I20" s="324">
        <f ca="1">INDEX(INDIRECT("SSW_WTPCore2_"&amp;$B20&amp;"_LevelValues"),1,MATCH("S2 MEAN",WTPCore2_LevelValues,0))</f>
        <v>0.53859352958370721</v>
      </c>
      <c r="J20" s="324">
        <f ca="1">SUM(H20:I20)</f>
        <v>0.93578021983036375</v>
      </c>
      <c r="K20" s="231">
        <f t="shared" ca="1" si="12"/>
        <v>1.4047619047619044</v>
      </c>
      <c r="L20" s="89">
        <f t="shared" ca="1" si="13"/>
        <v>162.10819588181059</v>
      </c>
      <c r="M20" s="89">
        <f ca="1">L20*($F20-$G20)*(AllProps_SSW/HHProps_SSW)</f>
        <v>0.8148571428571425</v>
      </c>
      <c r="N20" s="89">
        <f ca="1">INDEX(INDIRECT("SSW_WTPCore2_"&amp;$B20&amp;"_UnitValues"),1,MATCH("MEAN",LMH,0))</f>
        <v>186.16470937063306</v>
      </c>
      <c r="O20" s="89">
        <f ca="1">N20*($F20-$G20)*(AllProps_SSW/HHProps_SSW)</f>
        <v>0.93578021983036375</v>
      </c>
      <c r="P20" s="324">
        <f t="shared" ca="1" si="17"/>
        <v>1.2621974134523752</v>
      </c>
      <c r="Q20" s="453" t="s">
        <v>127</v>
      </c>
      <c r="R20" s="391">
        <f ca="1">P20*HHProps_SSW/((F20-G20)*AllProps_SSW)</f>
        <v>251.10235252282024</v>
      </c>
      <c r="S20" s="612">
        <f t="shared" ca="1" si="14"/>
        <v>2.5000000000000001E-2</v>
      </c>
      <c r="T20" s="612">
        <f t="shared" ca="1" si="14"/>
        <v>1.6666666666666666E-2</v>
      </c>
      <c r="U20" s="324">
        <f ca="1">INDEX(INDIRECT("CAM_WTPCore2_"&amp;$B20&amp;"_LevelValues"),1,MATCH("S1 MEAN",WTPCore2_LevelValues,0))</f>
        <v>5.3490671066612649E-2</v>
      </c>
      <c r="V20" s="324">
        <f ca="1">INDEX(INDIRECT("CAM_WTPCore2_"&amp;$B20&amp;"_LevelValues"),1,MATCH("S2 MEAN",WTPCore2_LevelValues,0))</f>
        <v>0.33457681646237136</v>
      </c>
      <c r="W20" s="168">
        <f ca="1">SUM(U20:V20)</f>
        <v>0.38806748752898401</v>
      </c>
      <c r="X20" s="221">
        <f t="shared" ca="1" si="15"/>
        <v>2.4583333333333339</v>
      </c>
      <c r="Y20" s="89">
        <f t="shared" ca="1" si="16"/>
        <v>28.26566546881222</v>
      </c>
      <c r="Z20" s="89">
        <f ca="1">Y20*($S20-$T20)*(AllProps_CAM/HHProps_CAM)</f>
        <v>0.25044117647058828</v>
      </c>
      <c r="AA20" s="89">
        <f ca="1">INDEX(INDIRECT("CAM_WTPCore2_"&amp;$B20&amp;"_UnitValues"),1,MATCH("MEAN",LMH,0))</f>
        <v>43.79865138952065</v>
      </c>
      <c r="AB20" s="89">
        <f ca="1">AA20*($S20-$T20)*(AllProps_CAM/HHProps_CAM)</f>
        <v>0.3880674875289839</v>
      </c>
      <c r="AC20" s="512">
        <f t="shared" ca="1" si="18"/>
        <v>3.7625634641020578</v>
      </c>
      <c r="AD20" s="377" t="s">
        <v>127</v>
      </c>
      <c r="AE20" s="391">
        <f ca="1">(AC20*HHProps_CAM)/((S20-T20)*AllProps_CAM)</f>
        <v>424.65604770058201</v>
      </c>
    </row>
    <row r="21" spans="1:31" x14ac:dyDescent="0.35">
      <c r="A21" s="7" t="s">
        <v>1010</v>
      </c>
      <c r="B21" s="7" t="s">
        <v>144</v>
      </c>
      <c r="C21" s="7" t="str">
        <f>B21</f>
        <v>TempBan</v>
      </c>
      <c r="D21" s="377" t="s">
        <v>127</v>
      </c>
      <c r="E21" s="124">
        <f t="shared" ca="1" si="10"/>
        <v>108</v>
      </c>
      <c r="F21" s="612">
        <f t="shared" ca="1" si="11"/>
        <v>2.5000000000000001E-2</v>
      </c>
      <c r="G21" s="612">
        <f t="shared" ca="1" si="11"/>
        <v>1.5384615384615385E-2</v>
      </c>
      <c r="H21" s="324">
        <f ca="1">INDEX(INDIRECT("SSW_WTPCore2_"&amp;$B21&amp;"_LevelValues"),1,MATCH("S1 MEAN",WTPCore2_LevelValues,0))</f>
        <v>0.4084226191643695</v>
      </c>
      <c r="I21" s="324">
        <f ca="1">INDEX(INDIRECT("SSW_WTPCore2_"&amp;$B21&amp;"_LevelValues"),1,MATCH("S2 MEAN",WTPCore2_LevelValues,0))</f>
        <v>0.28250000903457151</v>
      </c>
      <c r="J21" s="324">
        <f ca="1">SUM(H21:I21)</f>
        <v>0.69092262819894101</v>
      </c>
      <c r="K21" s="231">
        <f t="shared" ca="1" si="12"/>
        <v>1.0384615384615385</v>
      </c>
      <c r="L21" s="89">
        <f t="shared" ca="1" si="13"/>
        <v>245983.27199999994</v>
      </c>
      <c r="M21" s="89">
        <f ca="1">L21*(F21-G21)/HHProps_SSW*100</f>
        <v>0.43846153846153846</v>
      </c>
      <c r="N21" s="89">
        <f ca="1">INDEX(INDIRECT("SSW_WTPCore2_"&amp;$B21&amp;"_UnitValues"),1,MATCH("MEAN",LMH,0))</f>
        <v>387617.59897926223</v>
      </c>
      <c r="O21" s="89">
        <f ca="1">N21*(F21-G21)/HHProps_SSW*100</f>
        <v>0.69092262819894101</v>
      </c>
      <c r="P21" s="324">
        <f t="shared" ca="1" si="17"/>
        <v>0.93307162115710163</v>
      </c>
      <c r="Q21" s="453" t="s">
        <v>145</v>
      </c>
      <c r="R21" s="391">
        <f ca="1">P21*HHProps_SSW/((F21-G21)*100)</f>
        <v>523466.6903462084</v>
      </c>
      <c r="S21" s="612">
        <f t="shared" ca="1" si="14"/>
        <v>0.05</v>
      </c>
      <c r="T21" s="612">
        <f t="shared" ca="1" si="14"/>
        <v>3.3333333333333333E-2</v>
      </c>
      <c r="U21" s="324">
        <f ca="1">INDEX(INDIRECT("CAM_WTPCore2_"&amp;$B21&amp;"_LevelValues"),1,MATCH("S1 MEAN",WTPCore2_LevelValues,0))</f>
        <v>0.15591350717379643</v>
      </c>
      <c r="V21" s="324">
        <f ca="1">INDEX(INDIRECT("CAM_WTPCore2_"&amp;$B21&amp;"_LevelValues"),1,MATCH("S2 MEAN",WTPCore2_LevelValues,0))</f>
        <v>5.0130987785217407E-2</v>
      </c>
      <c r="W21" s="168">
        <f t="shared" ref="W21:W28" ca="1" si="19">SUM(U21:V21)</f>
        <v>0.20604449495901384</v>
      </c>
      <c r="X21" s="221">
        <f t="shared" ca="1" si="15"/>
        <v>1.8000000000000003</v>
      </c>
      <c r="Y21" s="89">
        <f t="shared" ca="1" si="16"/>
        <v>469608.19199999986</v>
      </c>
      <c r="Z21" s="89">
        <f ca="1">Y21*(S21-T21)/HHProps_CAM*100</f>
        <v>5.76</v>
      </c>
      <c r="AA21" s="89">
        <f ca="1">INDEX(INDIRECT("CAM_WTPCore2_"&amp;$B21&amp;"_UnitValues"),1,MATCH("MEAN",LMH,0))</f>
        <v>16798.64283841243</v>
      </c>
      <c r="AB21" s="89">
        <f ca="1">AA21*(S21-T21)/HHProps_CAM*100</f>
        <v>0.20604449495901386</v>
      </c>
      <c r="AC21" s="512">
        <f t="shared" ca="1" si="18"/>
        <v>2.7549617228679466</v>
      </c>
      <c r="AD21" s="377" t="s">
        <v>145</v>
      </c>
      <c r="AE21" s="391">
        <f ca="1">AC21*HHProps_CAM/((S21-T21)*100)</f>
        <v>224609.82529604534</v>
      </c>
    </row>
    <row r="22" spans="1:31" x14ac:dyDescent="0.35">
      <c r="A22" s="7" t="s">
        <v>1118</v>
      </c>
      <c r="B22" s="7" t="s">
        <v>147</v>
      </c>
      <c r="C22" s="7" t="str">
        <f t="shared" ref="C22:C28" si="20">B22</f>
        <v>Drought</v>
      </c>
      <c r="D22" s="377" t="s">
        <v>127</v>
      </c>
      <c r="E22" s="119">
        <f t="shared" ca="1" si="10"/>
        <v>43</v>
      </c>
      <c r="F22" s="612">
        <f t="shared" ref="F22:G26" ca="1" si="21">INDEX(INDIRECT("SSW_WTPCore_DCE_"&amp;$B22&amp;"_Levels"),MATCH("COMBINED-HH",WTPCore_Group,0),MATCH(F$4,WTPCore_AttLevels,0))</f>
        <v>1.2500000000000001E-2</v>
      </c>
      <c r="G22" s="612">
        <v>8.3000000000000001E-3</v>
      </c>
      <c r="H22" s="324">
        <f t="shared" ref="H22:H26" ca="1" si="22">INDEX(INDIRECT("SSW_WTPCore_DCE_"&amp;$B22&amp;"_LevelValues"),MATCH("COMBINED-HH",WTPCore_Group,0),MATCH("S1 MEAN",WTPCore_LevelValues,0))</f>
        <v>7.0000000000000007E-2</v>
      </c>
      <c r="I22" s="324">
        <f t="shared" ref="I22:I26" ca="1" si="23">INDEX(INDIRECT("SSW_WTPCore_DCE_"&amp;$B22&amp;"_LevelValues"),MATCH("COMBINED-HH",WTPCore_Group,0),MATCH("S2 MEAN",WTPCore_LevelValues,0))</f>
        <v>0.56999999999999995</v>
      </c>
      <c r="J22" s="16">
        <f ca="1">H22</f>
        <v>7.0000000000000007E-2</v>
      </c>
      <c r="K22" s="231">
        <f t="shared" ca="1" si="12"/>
        <v>0.18060000000000004</v>
      </c>
      <c r="L22" s="89">
        <f t="shared" ca="1" si="13"/>
        <v>90625.415999999997</v>
      </c>
      <c r="M22" s="89">
        <f ca="1">L22*(F22-G22)/HHProps_SSW*100</f>
        <v>7.0560000000000012E-2</v>
      </c>
      <c r="N22" s="89">
        <f ca="1">L22</f>
        <v>90625.415999999997</v>
      </c>
      <c r="O22" s="89">
        <f ca="1">N22*(F22-G22)/HHProps_SSW*100</f>
        <v>7.0560000000000012E-2</v>
      </c>
      <c r="P22" s="324">
        <f t="shared" ca="1" si="17"/>
        <v>0.1622715223816773</v>
      </c>
      <c r="Q22" s="377" t="s">
        <v>145</v>
      </c>
      <c r="R22" s="391">
        <f ca="1">P22*HHProps_SSW/((F22-G22)*100)</f>
        <v>208417.29337858298</v>
      </c>
      <c r="S22" s="612">
        <f ca="1">INDEX(INDIRECT("CAM_WTPCore_"&amp;$B22&amp;"_Levels"),MATCH("COMBINED-HH",WTPCore_Group,0),MATCH(S$4,WTPCore_AttLevels,0))</f>
        <v>1.2500000000000001E-2</v>
      </c>
      <c r="T22" s="612">
        <v>8.3000000000000001E-3</v>
      </c>
      <c r="U22" s="324">
        <f ca="1">INDEX(INDIRECT("CAM_WTPCore_"&amp;$B22&amp;"_LevelValues"),MATCH("COMBINED-HH",WTPCore_Group,0),MATCH("S1 MEAN",WTPCore_LevelValues,0))</f>
        <v>1.5029903774694477</v>
      </c>
      <c r="V22" s="324">
        <f ca="1">INDEX(INDIRECT("CAM_WTPCore_"&amp;$B22&amp;"_LevelValues"),MATCH("COMBINED-HH",WTPCore_Group,0),MATCH("S2 MEAN",WTPCore_LevelValues,0))</f>
        <v>0.31632762130063785</v>
      </c>
      <c r="W22" s="168">
        <f ca="1">U22</f>
        <v>1.5029903774694477</v>
      </c>
      <c r="X22" s="221">
        <f t="shared" ca="1" si="15"/>
        <v>0.18060000000000004</v>
      </c>
      <c r="Y22" s="89">
        <f t="shared" ca="1" si="16"/>
        <v>490150.41233112832</v>
      </c>
      <c r="Z22" s="89">
        <f ca="1">Y22*(S22-T22)/HHProps_CAM*100</f>
        <v>1.5150143004892032</v>
      </c>
      <c r="AA22" s="89">
        <f ca="1">Y22</f>
        <v>490150.41233112832</v>
      </c>
      <c r="AB22" s="89">
        <f ca="1">AA22*(S22-T22)/HHProps_CAM*100</f>
        <v>1.5150143004892032</v>
      </c>
      <c r="AC22" s="512">
        <f t="shared" ca="1" si="18"/>
        <v>0.27641449286108399</v>
      </c>
      <c r="AD22" s="377" t="s">
        <v>145</v>
      </c>
      <c r="AE22" s="391">
        <f ca="1">AC22*HHProps_CAM/((S22-T22)*100)</f>
        <v>89427.985997499549</v>
      </c>
    </row>
    <row r="23" spans="1:31" x14ac:dyDescent="0.35">
      <c r="A23" s="7" t="s">
        <v>929</v>
      </c>
      <c r="B23" s="7" t="s">
        <v>140</v>
      </c>
      <c r="C23" s="7" t="str">
        <f t="shared" si="20"/>
        <v>LowPressure</v>
      </c>
      <c r="D23" s="377" t="s">
        <v>127</v>
      </c>
      <c r="E23" s="124">
        <f t="shared" ca="1" si="10"/>
        <v>70</v>
      </c>
      <c r="F23" s="612">
        <f t="shared" ref="F23:G25" ca="1" si="24">INDEX(INDIRECT("SSW_WTPCore2_"&amp;$B23&amp;"_Levels"),1,MATCH(F$4,WTPCore2_AttLevels,0))</f>
        <v>0.1</v>
      </c>
      <c r="G23" s="612">
        <f t="shared" ca="1" si="24"/>
        <v>6.6666666666666666E-2</v>
      </c>
      <c r="H23" s="324">
        <f ca="1">INDEX(INDIRECT("SSW_WTPCore2_"&amp;$B23&amp;"_LevelValues"),1,MATCH("S1 MEAN",WTPCore2_LevelValues,0))</f>
        <v>0.78010561855806027</v>
      </c>
      <c r="I23" s="324">
        <f ca="1">INDEX(INDIRECT("SSW_WTPCore2_"&amp;$B23&amp;"_LevelValues"),1,MATCH("S2 MEAN",WTPCore2_LevelValues,0))</f>
        <v>0.37050953266002729</v>
      </c>
      <c r="J23" s="324">
        <f t="shared" ref="J23:J27" ca="1" si="25">SUM(H23:I23)</f>
        <v>1.1506151512180876</v>
      </c>
      <c r="K23" s="231">
        <f t="shared" ca="1" si="12"/>
        <v>2.3333333333333339</v>
      </c>
      <c r="L23" s="89">
        <f t="shared" ca="1" si="13"/>
        <v>41.08733075345431</v>
      </c>
      <c r="M23" s="89">
        <f ca="1">L23*($F23-$G23)*(AllProps_SSW/HHProps_SSW)</f>
        <v>1.4457142857142862</v>
      </c>
      <c r="N23" s="89">
        <f ca="1">INDEX(INDIRECT("SSW_WTPCore2_"&amp;$B23&amp;"_UnitValues"),1,MATCH("MEAN",LMH,0))</f>
        <v>32.700586661683175</v>
      </c>
      <c r="O23" s="89">
        <f ca="1">N23*($F23-$G23)*(AllProps_SSW/HHProps_SSW)</f>
        <v>1.1506151512180876</v>
      </c>
      <c r="P23" s="324">
        <f t="shared" ca="1" si="17"/>
        <v>2.0965312969208956</v>
      </c>
      <c r="Q23" s="453" t="s">
        <v>127</v>
      </c>
      <c r="R23" s="391">
        <f ca="1">P23*HHProps_SSW/((F23-G23)*AllProps_SSW)</f>
        <v>59.583609073211591</v>
      </c>
      <c r="S23" s="612">
        <f t="shared" ref="S23:T25" ca="1" si="26">INDEX(INDIRECT("CAM_WTPCore2_"&amp;$B23&amp;"_Levels"),1,MATCH(S$4,WTPCore2_AttLevels,0))</f>
        <v>9.0909090909090912E-2</v>
      </c>
      <c r="T23" s="612">
        <f t="shared" ca="1" si="26"/>
        <v>6.6666666666666666E-2</v>
      </c>
      <c r="U23" s="324">
        <f ca="1">INDEX(INDIRECT("CAM_WTPCore2_"&amp;$B23&amp;"_LevelValues"),1,MATCH("S1 MEAN",WTPCore2_LevelValues,0))</f>
        <v>2.1416418362159599</v>
      </c>
      <c r="V23" s="324">
        <f ca="1">INDEX(INDIRECT("CAM_WTPCore2_"&amp;$B23&amp;"_LevelValues"),1,MATCH("S2 MEAN",WTPCore2_LevelValues,0))</f>
        <v>0.84070533256091329</v>
      </c>
      <c r="W23" s="168">
        <f t="shared" ca="1" si="19"/>
        <v>2.9823471687768732</v>
      </c>
      <c r="X23" s="221">
        <f t="shared" ca="1" si="15"/>
        <v>1.6969696969696972</v>
      </c>
      <c r="Y23" s="89">
        <f t="shared" ca="1" si="16"/>
        <v>18.582387891224172</v>
      </c>
      <c r="Z23" s="89">
        <f ca="1">Y23*($S23-$T23)*(AllProps_CAM/HHProps_CAM)</f>
        <v>0.47896671634376553</v>
      </c>
      <c r="AA23" s="89">
        <f ca="1">INDEX(INDIRECT("CAM_WTPCore2_"&amp;$B23&amp;"_UnitValues"),1,MATCH("MEAN",LMH,0))</f>
        <v>115.70560129846363</v>
      </c>
      <c r="AB23" s="89">
        <f ca="1">AA23*($S23-$T23)*(AllProps_CAM/HHProps_CAM)</f>
        <v>2.9823471687768732</v>
      </c>
      <c r="AC23" s="512">
        <f t="shared" ca="1" si="18"/>
        <v>2.5972703111212967</v>
      </c>
      <c r="AD23" s="377" t="s">
        <v>127</v>
      </c>
      <c r="AE23" s="391">
        <f ca="1">AC23*HHProps_CAM/((S23-T23)*AllProps_CAM)</f>
        <v>100.76584182725674</v>
      </c>
    </row>
    <row r="24" spans="1:31" x14ac:dyDescent="0.35">
      <c r="A24" s="7" t="s">
        <v>40</v>
      </c>
      <c r="B24" s="7" t="s">
        <v>40</v>
      </c>
      <c r="C24" s="7" t="str">
        <f t="shared" si="20"/>
        <v>Leakage</v>
      </c>
      <c r="D24" s="377" t="s">
        <v>1168</v>
      </c>
      <c r="E24" s="124">
        <f t="shared" ca="1" si="10"/>
        <v>44447</v>
      </c>
      <c r="F24" s="325">
        <f t="shared" ca="1" si="24"/>
        <v>70.5</v>
      </c>
      <c r="G24" s="325">
        <f t="shared" ca="1" si="24"/>
        <v>35.25</v>
      </c>
      <c r="H24" s="324">
        <f ca="1">INDEX(INDIRECT("SSW_WTPCore2_"&amp;$B24&amp;"_LevelValues"),1,MATCH("S1 MEAN",WTPCore2_LevelValues,0))</f>
        <v>1.2301339708448666</v>
      </c>
      <c r="I24" s="324">
        <f ca="1">INDEX(INDIRECT("SSW_WTPCore2_"&amp;$B24&amp;"_LevelValues"),1,MATCH("S2 MEAN",WTPCore2_LevelValues,0))</f>
        <v>0.44133293088857806</v>
      </c>
      <c r="J24" s="324">
        <f t="shared" ca="1" si="25"/>
        <v>1.6714669017334447</v>
      </c>
      <c r="K24" s="231">
        <f ca="1">E24*(F24-G24)/AllProps_SSW</f>
        <v>2.7514716600079026</v>
      </c>
      <c r="L24" s="89">
        <f t="shared" ca="1" si="13"/>
        <v>30606.35460992908</v>
      </c>
      <c r="M24" s="89">
        <f ca="1">L24*(F24-G24)/HHProps_SSW</f>
        <v>2</v>
      </c>
      <c r="N24" s="89">
        <f ca="1">INDEX(INDIRECT("SSW_WTPCore2_"&amp;$B24&amp;"_UnitValues"),1,MATCH("MEAN",LMH,0))</f>
        <v>25578.754356606645</v>
      </c>
      <c r="O24" s="89">
        <f ca="1">N24*(F24-G24)/HHProps_SSW</f>
        <v>1.6714669017334447</v>
      </c>
      <c r="P24" s="324">
        <f t="shared" ca="1" si="17"/>
        <v>2.4722341919131949</v>
      </c>
      <c r="Q24" s="453" t="s">
        <v>1168</v>
      </c>
      <c r="R24" s="391">
        <f ca="1">P24*HHProps_SSW/((F24-G24))</f>
        <v>37833.038178243354</v>
      </c>
      <c r="S24" s="325">
        <f t="shared" ca="1" si="26"/>
        <v>13.5</v>
      </c>
      <c r="T24" s="325">
        <f t="shared" ca="1" si="26"/>
        <v>6.75</v>
      </c>
      <c r="U24" s="324">
        <f ca="1">INDEX(INDIRECT("CAM_WTPCore2_"&amp;$B24&amp;"_LevelValues"),1,MATCH("S1 MEAN",WTPCore2_LevelValues,0))</f>
        <v>3.1349723048319831</v>
      </c>
      <c r="V24" s="324">
        <f ca="1">INDEX(INDIRECT("CAM_WTPCore2_"&amp;$B24&amp;"_LevelValues"),1,MATCH("S2 MEAN",WTPCore2_LevelValues,0))</f>
        <v>5.1405797633106154E-3</v>
      </c>
      <c r="W24" s="168">
        <f ca="1">SUM(U24:V24)</f>
        <v>3.1401128845952937</v>
      </c>
      <c r="X24" s="221">
        <f ca="1">E24*(S24-T24)/AllProps_CAM</f>
        <v>2.076617592092695</v>
      </c>
      <c r="Y24" s="89">
        <f t="shared" ca="1" si="16"/>
        <v>145343.41333333333</v>
      </c>
      <c r="Z24" s="89">
        <f ca="1">Y24*(S24-T24)/HHProps_CAM</f>
        <v>7.2200000000000006</v>
      </c>
      <c r="AA24" s="89">
        <f ca="1">INDEX(INDIRECT("CAM_WTPCore2_"&amp;$B24&amp;"_UnitValues"),1,MATCH("MEAN",LMH,0))</f>
        <v>63212.565775492993</v>
      </c>
      <c r="AB24" s="89">
        <f ca="1">AA24*(S24-U24)/HHProps_CAM</f>
        <v>4.8218306688569115</v>
      </c>
      <c r="AC24" s="512">
        <f t="shared" ca="1" si="18"/>
        <v>3.1783344329164325</v>
      </c>
      <c r="AD24" s="377" t="s">
        <v>1168</v>
      </c>
      <c r="AE24" s="391">
        <f ca="1">AC24*HHProps_CAM/((S24-T24))</f>
        <v>63981.991024229726</v>
      </c>
    </row>
    <row r="25" spans="1:31" x14ac:dyDescent="0.35">
      <c r="A25" s="7" t="s">
        <v>726</v>
      </c>
      <c r="B25" s="7" t="s">
        <v>154</v>
      </c>
      <c r="C25" s="7" t="str">
        <f t="shared" si="20"/>
        <v>Wildlife</v>
      </c>
      <c r="D25" s="377" t="s">
        <v>155</v>
      </c>
      <c r="E25" s="124">
        <f t="shared" ca="1" si="10"/>
        <v>11584</v>
      </c>
      <c r="F25" s="325">
        <f t="shared" ca="1" si="24"/>
        <v>0</v>
      </c>
      <c r="G25" s="325">
        <f t="shared" ca="1" si="24"/>
        <v>50</v>
      </c>
      <c r="H25" s="324">
        <f ca="1">INDEX(INDIRECT("SSW_WTPCore2_"&amp;$B25&amp;"_LevelValues"),1,MATCH("S1 MEAN",WTPCore2_LevelValues,0))</f>
        <v>0.31132700138064179</v>
      </c>
      <c r="I25" s="324">
        <f ca="1">INDEX(INDIRECT("SSW_WTPCore2_"&amp;$B25&amp;"_LevelValues"),1,MATCH("S2 MEAN",WTPCore2_LevelValues,0))</f>
        <v>0.13284027031511708</v>
      </c>
      <c r="J25" s="324">
        <f t="shared" ca="1" si="25"/>
        <v>0.44416727169575887</v>
      </c>
      <c r="K25" s="231">
        <f ca="1">-E25*(F25-G25)/AllProps_SSW</f>
        <v>1.0171664398296527</v>
      </c>
      <c r="L25" s="89">
        <f t="shared" ca="1" si="13"/>
        <v>10249.302999999998</v>
      </c>
      <c r="M25" s="89">
        <f ca="1">-L25*(F25-G25)/HHProps_SSW</f>
        <v>0.94999999999999984</v>
      </c>
      <c r="N25" s="89">
        <f ca="1">INDEX(INDIRECT("SSW_WTPCore2_"&amp;$B25&amp;"_UnitValues"),1,MATCH("MEAN",LMH,0))</f>
        <v>4792.0052108349018</v>
      </c>
      <c r="O25" s="89">
        <f ca="1">-N25*(F25-G25)/HHProps_SSW</f>
        <v>0.44416727169575887</v>
      </c>
      <c r="P25" s="324">
        <f t="shared" ca="1" si="17"/>
        <v>0.91393768940591613</v>
      </c>
      <c r="Q25" s="453" t="s">
        <v>155</v>
      </c>
      <c r="R25" s="391">
        <f ca="1">-P25*HHProps_SSW/((F25-G25))</f>
        <v>9860.2361072011845</v>
      </c>
      <c r="S25" s="325">
        <f t="shared" ca="1" si="26"/>
        <v>0</v>
      </c>
      <c r="T25" s="325">
        <f t="shared" ca="1" si="26"/>
        <v>9</v>
      </c>
      <c r="U25" s="324">
        <f ca="1">INDEX(INDIRECT("CAM_WTPCore2_"&amp;$B25&amp;"_LevelValues"),1,MATCH("S1 MEAN",WTPCore2_LevelValues,0))</f>
        <v>0.16524275196632074</v>
      </c>
      <c r="V25" s="324">
        <f ca="1">INDEX(INDIRECT("CAM_WTPCore2_"&amp;$B25&amp;"_LevelValues"),1,MATCH("S2 MEAN",WTPCore2_LevelValues,0))</f>
        <v>2.2165878650139109E-2</v>
      </c>
      <c r="W25" s="168">
        <f t="shared" ca="1" si="19"/>
        <v>0.18740863061645985</v>
      </c>
      <c r="X25" s="221">
        <f ca="1">-E25*(S25-T25)/AllProps_CAM</f>
        <v>0.72162465218655258</v>
      </c>
      <c r="Y25" s="89">
        <f t="shared" ca="1" si="16"/>
        <v>15354.666000000001</v>
      </c>
      <c r="Z25" s="89">
        <f ca="1">-Y25*(S25-T25)/HHProps_CAM</f>
        <v>1.0170000000000001</v>
      </c>
      <c r="AA25" s="89">
        <f ca="1">INDEX(INDIRECT("CAM_WTPCore2_"&amp;$B25&amp;"_UnitValues"),1,MATCH("MEAN",LMH,0))</f>
        <v>2829.4955050473109</v>
      </c>
      <c r="AB25" s="89">
        <f ca="1">-AA25*(S25-T25)/HHProps_CAM</f>
        <v>0.18740863061645985</v>
      </c>
      <c r="AC25" s="512">
        <f t="shared" ca="1" si="18"/>
        <v>1.1044712750288044</v>
      </c>
      <c r="AD25" s="377" t="s">
        <v>155</v>
      </c>
      <c r="AE25" s="391">
        <f ca="1">-AC25*HHProps_CAM/((S25-T25))</f>
        <v>16675.307310384887</v>
      </c>
    </row>
    <row r="26" spans="1:31" x14ac:dyDescent="0.35">
      <c r="A26" s="7" t="s">
        <v>158</v>
      </c>
      <c r="B26" s="7" t="s">
        <v>159</v>
      </c>
      <c r="C26" s="7" t="str">
        <f t="shared" si="20"/>
        <v>Traffic</v>
      </c>
      <c r="D26" s="377" t="s">
        <v>127</v>
      </c>
      <c r="E26" s="119">
        <f t="shared" ca="1" si="10"/>
        <v>839</v>
      </c>
      <c r="F26" s="614">
        <f t="shared" ca="1" si="21"/>
        <v>608.33333333333337</v>
      </c>
      <c r="G26" s="614">
        <f t="shared" ca="1" si="21"/>
        <v>243.33333333333334</v>
      </c>
      <c r="H26" s="324">
        <f t="shared" ca="1" si="22"/>
        <v>0.06</v>
      </c>
      <c r="I26" s="324">
        <f t="shared" ca="1" si="23"/>
        <v>0.46</v>
      </c>
      <c r="J26" s="324">
        <f t="shared" ca="1" si="25"/>
        <v>0.52</v>
      </c>
      <c r="K26" s="231">
        <f ca="1">E26*(F26-G26)/AllProps_SSW</f>
        <v>0.53779690038196426</v>
      </c>
      <c r="L26" s="89">
        <f t="shared" ca="1" si="13"/>
        <v>768.51298630136989</v>
      </c>
      <c r="M26" s="89">
        <f ca="1">L26*(F26-G26)/HHProps_SSW</f>
        <v>0.52</v>
      </c>
      <c r="N26" s="89">
        <f ca="1">L26</f>
        <v>768.51298630136989</v>
      </c>
      <c r="O26" s="89">
        <f ca="1">N26*(F26-G26)/HHProps_SSW</f>
        <v>0.52</v>
      </c>
      <c r="P26" s="324">
        <f t="shared" ca="1" si="17"/>
        <v>0.48321772844478716</v>
      </c>
      <c r="Q26" s="377" t="s">
        <v>160</v>
      </c>
      <c r="R26" s="391">
        <f ca="1">P26*HHProps_SSW/((F26-G26))</f>
        <v>714.15211446320734</v>
      </c>
      <c r="S26" s="614">
        <f ca="1">INDEX(INDIRECT("CAM_WTPCore_"&amp;$B26&amp;"_Levels"),MATCH("COMBINED-HH",WTPCore_Group,0),MATCH(S$4,WTPCore_AttLevels,0))</f>
        <v>365</v>
      </c>
      <c r="T26" s="614">
        <f ca="1">INDEX(INDIRECT("CAM_WTPCore_"&amp;$B26&amp;"_Levels"),MATCH("COMBINED-HH",WTPCore_Group,0),MATCH(T$4,WTPCore_AttLevels,0))</f>
        <v>121.66666666666667</v>
      </c>
      <c r="U26" s="324">
        <f ca="1">INDEX(INDIRECT("CAM_WTPCore_"&amp;$B26&amp;"_LevelValues"),MATCH("COMBINED-HH",WTPCore_Group,0),MATCH("S1 MEAN",WTPCore_LevelValues,0))</f>
        <v>0.21</v>
      </c>
      <c r="V26" s="324">
        <f ca="1">INDEX(INDIRECT("CAM_WTPCore_"&amp;$B26&amp;"_LevelValues"),MATCH("COMBINED-HH",WTPCore_Group,0),MATCH("S2 MEAN",WTPCore_LevelValues,0))</f>
        <v>0.51</v>
      </c>
      <c r="W26" s="168">
        <f t="shared" ca="1" si="19"/>
        <v>0.72</v>
      </c>
      <c r="X26" s="221">
        <f ca="1">E26*(S26-T26)/AllProps_CAM</f>
        <v>1.4131031650446908</v>
      </c>
      <c r="Y26" s="89">
        <f t="shared" ca="1" si="16"/>
        <v>402.06180821917809</v>
      </c>
      <c r="Z26" s="89">
        <f ca="1">Y26*(S26-T26)/HHProps_CAM</f>
        <v>0.72</v>
      </c>
      <c r="AA26" s="89">
        <f ca="1">Y26</f>
        <v>402.06180821917809</v>
      </c>
      <c r="AB26" s="89">
        <f ca="1">AA26*(S26-T26)/HHProps_CAM</f>
        <v>0.72</v>
      </c>
      <c r="AC26" s="512">
        <f t="shared" ca="1" si="18"/>
        <v>2.1628028500898164</v>
      </c>
      <c r="AD26" s="377" t="s">
        <v>160</v>
      </c>
      <c r="AE26" s="391">
        <f ca="1">AC26*HHProps_CAM/((S26-T26))</f>
        <v>1207.7505899009773</v>
      </c>
    </row>
    <row r="27" spans="1:31" x14ac:dyDescent="0.35">
      <c r="A27" s="7" t="s">
        <v>125</v>
      </c>
      <c r="B27" s="7" t="s">
        <v>126</v>
      </c>
      <c r="C27" s="7" t="str">
        <f t="shared" si="20"/>
        <v>NotSafe</v>
      </c>
      <c r="D27" s="377" t="s">
        <v>127</v>
      </c>
      <c r="E27" s="124">
        <f t="shared" ca="1" si="10"/>
        <v>548</v>
      </c>
      <c r="F27" s="612">
        <f ca="1">INDEX(INDIRECT("SSW_WTPCore2_"&amp;$B27&amp;"_Levels"),1,MATCH(F$4,WTPCore2_AttLevels,0))</f>
        <v>1.2500000000000001E-2</v>
      </c>
      <c r="G27" s="612">
        <f ca="1">INDEX(INDIRECT("SSW_WTPCore2_"&amp;$B27&amp;"_Levels"),1,MATCH(G$4,WTPCore2_AttLevels,0))</f>
        <v>8.3333333333333332E-3</v>
      </c>
      <c r="H27" s="324">
        <f ca="1">INDEX(INDIRECT("SSW_WTPCore2_"&amp;$B27&amp;"_LevelValues"),1,MATCH("S1 MEAN",WTPCore2_LevelValues,0))</f>
        <v>0.88929876177631462</v>
      </c>
      <c r="I27" s="324">
        <f ca="1">INDEX(INDIRECT("SSW_WTPCore2_"&amp;$B27&amp;"_LevelValues"),1,MATCH("S2 MEAN",WTPCore2_LevelValues,0))</f>
        <v>0.22437782965097952</v>
      </c>
      <c r="J27" s="324">
        <f t="shared" ca="1" si="25"/>
        <v>1.1136765914272941</v>
      </c>
      <c r="K27" s="231">
        <f ca="1">E27*(F27-G27)</f>
        <v>2.2833333333333337</v>
      </c>
      <c r="L27" s="89">
        <f t="shared" ca="1" si="13"/>
        <v>759.38481661325</v>
      </c>
      <c r="M27" s="89">
        <f ca="1">L27*($F27-$G27)*(AllProps_SSW/HHProps_SSW)</f>
        <v>3.34</v>
      </c>
      <c r="N27" s="89">
        <f ca="1">INDEX(INDIRECT("SSW_WTPCore2_"&amp;$B27&amp;"_UnitValues"),1,MATCH("MEAN",LMH,0))</f>
        <v>253.20631561301954</v>
      </c>
      <c r="O27" s="89">
        <f ca="1">N27*($F27-$G27)*(AllProps_SSW/HHProps_SSW)</f>
        <v>1.1136765914272941</v>
      </c>
      <c r="P27" s="324">
        <f t="shared" ca="1" si="17"/>
        <v>2.0516056262725901</v>
      </c>
      <c r="Q27" s="453" t="s">
        <v>127</v>
      </c>
      <c r="R27" s="391">
        <f ca="1">P27*HHProps_SSW/((F27-G27)*AllProps_SSW)</f>
        <v>466.45453960171346</v>
      </c>
      <c r="S27" s="612">
        <f ca="1">INDEX(INDIRECT("CAM_WTPCore2_"&amp;$B27&amp;"_Levels"),1,MATCH(S$4,WTPCore2_AttLevels,0))</f>
        <v>1.2500000000000001E-2</v>
      </c>
      <c r="T27" s="612">
        <f ca="1">INDEX(INDIRECT("CAM_WTPCore2_"&amp;$B27&amp;"_Levels"),1,MATCH(T$4,WTPCore2_AttLevels,0))</f>
        <v>8.3333333333333332E-3</v>
      </c>
      <c r="U27" s="324">
        <f ca="1">INDEX(INDIRECT("CAM_WTPCore2_"&amp;$B27&amp;"_LevelValues"),1,MATCH("S1 MEAN",WTPCore2_LevelValues,0))</f>
        <v>1.0483009561625427</v>
      </c>
      <c r="V27" s="324">
        <f ca="1">INDEX(INDIRECT("CAM_WTPCore2_"&amp;$B27&amp;"_LevelValues"),1,MATCH("S2 MEAN",WTPCore2_LevelValues,0))</f>
        <v>1.4106837870846367</v>
      </c>
      <c r="W27" s="168">
        <f t="shared" ca="1" si="19"/>
        <v>2.4589847432471794</v>
      </c>
      <c r="X27" s="221">
        <f ca="1">E27*(S27-T27)</f>
        <v>2.2833333333333337</v>
      </c>
      <c r="Y27" s="89">
        <f t="shared" ca="1" si="16"/>
        <v>501.11390007890685</v>
      </c>
      <c r="Z27" s="89">
        <f ca="1">Y27*($S27-$T27)*(AllProps_CAM/HHProps_CAM)</f>
        <v>2.2200000000000002</v>
      </c>
      <c r="AA27" s="89">
        <f ca="1">INDEX(INDIRECT("CAM_WTPCore2_"&amp;$B27&amp;"_UnitValues"),1,MATCH("MEAN",LMH,0))</f>
        <v>555.0592049203259</v>
      </c>
      <c r="AB27" s="89">
        <f ca="1">AA27*($S27-$T27)*(AllProps_CAM/HHProps_CAM)</f>
        <v>2.4589847432471794</v>
      </c>
      <c r="AC27" s="512">
        <f t="shared" ca="1" si="18"/>
        <v>3.4947199632676735</v>
      </c>
      <c r="AD27" s="377" t="s">
        <v>127</v>
      </c>
      <c r="AE27" s="391">
        <f ca="1">AC27*HHProps_CAM/((S27-T27)*AllProps_SSW)</f>
        <v>200.14697129858561</v>
      </c>
    </row>
    <row r="28" spans="1:31" x14ac:dyDescent="0.35">
      <c r="A28" s="7" t="s">
        <v>41</v>
      </c>
      <c r="B28" s="7" t="s">
        <v>149</v>
      </c>
      <c r="C28" s="7" t="str">
        <f t="shared" si="20"/>
        <v>Metering</v>
      </c>
      <c r="D28" s="377" t="s">
        <v>1171</v>
      </c>
      <c r="E28" s="124">
        <f t="shared" ca="1" si="10"/>
        <v>2</v>
      </c>
      <c r="F28" s="612">
        <f ca="1">INDEX(INDIRECT("SSW_WTPCore2_"&amp;$B28&amp;"_Levels"),1,MATCH(F$4,WTPCore2_AttLevels,0))</f>
        <v>0.33</v>
      </c>
      <c r="G28" s="612">
        <f ca="1">INDEX(INDIRECT("SSW_WTPCore2_"&amp;$B28&amp;"_Levels"),1,MATCH(G$4,WTPCore2_AttLevels,0))</f>
        <v>0.5</v>
      </c>
      <c r="H28" s="324">
        <f ca="1">INDEX(INDIRECT("SSW_WTPCore2_"&amp;$B28&amp;"_LevelValues"),1,MATCH("S1 MEAN",WTPCore2_LevelValues,0))</f>
        <v>3.9796847923577343</v>
      </c>
      <c r="I28" s="324">
        <f ca="1">INDEX(INDIRECT("SSW_WTPCore2_"&amp;$B28&amp;"_LevelValues"),1,MATCH("S2 MEAN",WTPCore2_LevelValues,0))</f>
        <v>0.52424962900217631</v>
      </c>
      <c r="J28" s="324">
        <f ca="1">SUM(H28:I28)</f>
        <v>4.5039344213599106</v>
      </c>
      <c r="K28" s="231">
        <f ca="1">-E28*(F28-G28)</f>
        <v>0.33999999999999997</v>
      </c>
      <c r="L28" s="89">
        <f t="shared" ca="1" si="13"/>
        <v>1.7719298245614032</v>
      </c>
      <c r="M28" s="89">
        <f ca="1">-L28*($F28-$G28)</f>
        <v>0.30122807017543851</v>
      </c>
      <c r="N28" s="89">
        <f ca="1">INDEX(INDIRECT("SSW_WTPCore2_"&amp;$B28&amp;"_UnitValues"),1,MATCH("MEAN",LMH,0))</f>
        <v>26.493731890352418</v>
      </c>
      <c r="O28" s="89">
        <f ca="1">-N28*($F28-$G28)</f>
        <v>4.5039344213599106</v>
      </c>
      <c r="P28" s="324">
        <f t="shared" ca="1" si="17"/>
        <v>0.30549456040847317</v>
      </c>
      <c r="Q28" s="453" t="s">
        <v>1171</v>
      </c>
      <c r="R28" s="391">
        <f ca="1">-P28*HHProps_SSW/((F28-G28)*AllProps_SSW)</f>
        <v>1.7023888306631878</v>
      </c>
      <c r="S28" s="612">
        <f ca="1">INDEX(INDIRECT("CAM_WTPCore2_"&amp;$B28&amp;"_Levels"),1,MATCH(S$4,WTPCore2_AttLevels,0))</f>
        <v>0.7</v>
      </c>
      <c r="T28" s="612">
        <f ca="1">INDEX(INDIRECT("CAM_WTPCore2_"&amp;$B28&amp;"_Levels"),1,MATCH(T$4,WTPCore2_AttLevels,0))</f>
        <v>0.95</v>
      </c>
      <c r="U28" s="324">
        <f ca="1">INDEX(INDIRECT("CAM_WTPCore2_"&amp;$B28&amp;"_LevelValues"),1,MATCH("S1 MEAN",WTPCore2_LevelValues,0))</f>
        <v>1.4360208416640492</v>
      </c>
      <c r="V28" s="324">
        <f ca="1">INDEX(INDIRECT("CAM_WTPCore2_"&amp;$B28&amp;"_LevelValues"),1,MATCH("S2 MEAN",WTPCore2_LevelValues,0))</f>
        <v>0.918140410423955</v>
      </c>
      <c r="W28" s="168">
        <f t="shared" ca="1" si="19"/>
        <v>2.3541612520880042</v>
      </c>
      <c r="X28" s="221">
        <f ca="1">-E28*(S28-T28)</f>
        <v>0.5</v>
      </c>
      <c r="Y28" s="89">
        <f t="shared" ca="1" si="16"/>
        <v>8.64</v>
      </c>
      <c r="Z28" s="89">
        <f ca="1">-Y28*($S28-$T28)</f>
        <v>2.16</v>
      </c>
      <c r="AA28" s="89">
        <f ca="1">INDEX(INDIRECT("CAM_WTPCore2_"&amp;$B28&amp;"_UnitValues"),1,MATCH("MEAN",LMH,0))</f>
        <v>9.4166450083520168</v>
      </c>
      <c r="AB28" s="89">
        <f ca="1">-AA28*($S28-$T28)</f>
        <v>2.3541612520880042</v>
      </c>
      <c r="AC28" s="512">
        <f t="shared" ca="1" si="18"/>
        <v>0.76526714524109629</v>
      </c>
      <c r="AD28" s="377" t="s">
        <v>1171</v>
      </c>
      <c r="AE28" s="391">
        <f ca="1">-AC28*HHProps_CAM/((S28-T28)*AllProps_CAM)</f>
        <v>2.8790240522073351</v>
      </c>
    </row>
    <row r="29" spans="1:31" x14ac:dyDescent="0.35">
      <c r="D29" s="377"/>
      <c r="E29" s="124"/>
      <c r="F29" s="324"/>
      <c r="G29" s="324"/>
      <c r="H29" s="324"/>
      <c r="I29" s="324"/>
      <c r="J29" s="330">
        <f ca="1">SUM(J18:J28)</f>
        <v>15.56921452414203</v>
      </c>
      <c r="K29" s="331">
        <f ca="1">SUM(K18:K28)</f>
        <v>15.170258443442965</v>
      </c>
      <c r="L29" s="331"/>
      <c r="M29" s="331">
        <f ca="1">SUM(M18:M28)</f>
        <v>11.691586855049367</v>
      </c>
      <c r="N29" s="331"/>
      <c r="O29" s="331">
        <f ca="1">SUM(O18:O28)</f>
        <v>15.56977452414203</v>
      </c>
      <c r="P29" s="330">
        <f ca="1">SUM(P18:P28)</f>
        <v>13.630680689595698</v>
      </c>
      <c r="Q29" s="454"/>
      <c r="R29" s="466"/>
      <c r="S29" s="512"/>
      <c r="T29" s="512"/>
      <c r="U29" s="512"/>
      <c r="V29" s="512"/>
      <c r="W29" s="44">
        <f ca="1">SUM(W18:W28)</f>
        <v>18.566561620051544</v>
      </c>
      <c r="X29" s="389">
        <f ca="1">SUM(X18:X28)</f>
        <v>14.633402285780814</v>
      </c>
      <c r="Y29" s="331"/>
      <c r="Z29" s="331">
        <f ca="1">SUM(Z18:Z28)</f>
        <v>24.533544642283147</v>
      </c>
      <c r="AA29" s="331"/>
      <c r="AB29" s="331">
        <f ca="1">SUM(AB18:AB28)</f>
        <v>20.260303327332917</v>
      </c>
      <c r="AC29" s="44">
        <f ca="1">SUM(AC18:AC28)</f>
        <v>22.396923984808037</v>
      </c>
      <c r="AE29" s="391"/>
    </row>
    <row r="30" spans="1:31" s="50" customFormat="1" x14ac:dyDescent="0.35">
      <c r="D30" s="379"/>
      <c r="E30" s="14"/>
      <c r="F30" s="409"/>
      <c r="G30" s="409"/>
      <c r="H30" s="409"/>
      <c r="I30" s="409"/>
      <c r="J30" s="409"/>
      <c r="K30" s="163"/>
      <c r="L30" s="163"/>
      <c r="M30" s="163" t="s">
        <v>361</v>
      </c>
      <c r="N30" s="546">
        <f ca="1">AVERAGE(M29,O29)</f>
        <v>13.6306806895957</v>
      </c>
      <c r="O30" s="163"/>
      <c r="P30" s="163"/>
      <c r="Q30" s="455"/>
      <c r="R30" s="467"/>
      <c r="S30" s="151"/>
      <c r="T30" s="151"/>
      <c r="U30" s="151"/>
      <c r="V30" s="151"/>
      <c r="W30" s="38"/>
      <c r="X30" s="162"/>
      <c r="Y30" s="163"/>
      <c r="Z30" s="163" t="s">
        <v>361</v>
      </c>
      <c r="AA30" s="546">
        <f ca="1">AVERAGE(Z29,AB29)</f>
        <v>22.396923984808033</v>
      </c>
      <c r="AB30" s="163"/>
      <c r="AC30" s="163"/>
      <c r="AD30" s="87"/>
      <c r="AE30" s="392"/>
    </row>
    <row r="31" spans="1:31" x14ac:dyDescent="0.35">
      <c r="A31" s="51" t="s">
        <v>92</v>
      </c>
      <c r="B31" s="51"/>
      <c r="D31" s="378"/>
      <c r="E31" s="218"/>
      <c r="F31" s="218"/>
      <c r="G31" s="218"/>
      <c r="H31" s="330"/>
      <c r="I31" s="330"/>
      <c r="J31" s="330"/>
      <c r="K31" s="45"/>
      <c r="L31" s="45"/>
      <c r="M31" s="45"/>
      <c r="N31" s="45"/>
      <c r="O31" s="45"/>
      <c r="P31" s="45"/>
      <c r="Q31" s="456"/>
      <c r="R31" s="468"/>
      <c r="S31" s="45"/>
      <c r="T31" s="45"/>
      <c r="U31" s="44"/>
      <c r="V31" s="44"/>
      <c r="W31" s="44"/>
      <c r="X31" s="389"/>
      <c r="Y31" s="45"/>
      <c r="Z31" s="45"/>
      <c r="AA31" s="45"/>
      <c r="AB31" s="45"/>
      <c r="AC31" s="45"/>
      <c r="AE31" s="393"/>
    </row>
    <row r="32" spans="1:31" x14ac:dyDescent="0.35">
      <c r="A32" s="7" t="s">
        <v>129</v>
      </c>
      <c r="B32" s="7" t="s">
        <v>130</v>
      </c>
      <c r="C32" s="7" t="str">
        <f>B32</f>
        <v>Discolour</v>
      </c>
      <c r="D32" s="377" t="s">
        <v>127</v>
      </c>
      <c r="E32" s="124">
        <f t="shared" ref="E32:E42" ca="1" si="27">INDEX(INDIRECT("ExtWTP19_"&amp;$C32&amp;"_UnitValues"),MATCH(A$31, INDIRECT("ExtWTP19_Comps_"&amp;C32),0),MATCH("HH",ExtWTP_Group,0))</f>
        <v>231</v>
      </c>
      <c r="F32" s="612">
        <f t="shared" ref="F32:G35" ca="1" si="28">INDEX(INDIRECT("SSW_WTPCore2_"&amp;$B32&amp;"_Levels"),1,MATCH(F$4,WTPCore2_AttLevels,0))</f>
        <v>6.6666666666666666E-2</v>
      </c>
      <c r="G32" s="612">
        <f t="shared" ca="1" si="28"/>
        <v>0.04</v>
      </c>
      <c r="H32" s="324">
        <f ca="1">INDEX(INDIRECT("SSW_WTPCore2_"&amp;$B32&amp;"_LevelValues"),1,MATCH("S1 MEAN",WTPCore2_LevelValues,0))</f>
        <v>3.3679929677046498</v>
      </c>
      <c r="I32" s="324">
        <f ca="1">INDEX(INDIRECT("SSW_WTPCore2_"&amp;$B32&amp;"_LevelValues"),1,MATCH("S2 MEAN",WTPCore2_LevelValues,0))</f>
        <v>0.60669022375558512</v>
      </c>
      <c r="J32" s="324">
        <f ca="1">SUM(H32:I32)</f>
        <v>3.974683191460235</v>
      </c>
      <c r="K32" s="231">
        <f t="shared" ref="K32:K37" ca="1" si="29">E32*(F32-G32)</f>
        <v>6.1599999999999993</v>
      </c>
      <c r="L32" s="89">
        <f t="shared" ref="L32:L42" ca="1" si="30">INDEX(INDIRECT("SSW_WTPCore_DCE_"&amp;$B32&amp;"_UnitValues"),MATCH("COMBINED-HH",WTPCore_Group,0),MATCH("MEAN",LMH,0))</f>
        <v>28.111247840776404</v>
      </c>
      <c r="M32" s="89">
        <f ca="1">L32*($F32-$G32)*(AllProps_SSW/HHProps_SSW)</f>
        <v>0.79130635838150276</v>
      </c>
      <c r="N32" s="89">
        <f ca="1">INDEX(INDIRECT("SSW_WTPCore2_"&amp;$B32&amp;"_UnitValues"),1,MATCH("MEAN",LMH,0))</f>
        <v>141.20106972505607</v>
      </c>
      <c r="O32" s="89">
        <f ca="1">N32*($F32-$G32)*(AllProps_SSW/HHProps_SSW)</f>
        <v>3.9746831914602345</v>
      </c>
      <c r="P32" s="617">
        <f ca="1">K32*N$44/K$43</f>
        <v>3.8924249551657071</v>
      </c>
      <c r="Q32" s="453" t="s">
        <v>127</v>
      </c>
      <c r="R32" s="391">
        <f ca="1">P32*HHProps_SSW/((F32-G32)*AllProps_SSW)</f>
        <v>138.27883658118213</v>
      </c>
      <c r="S32" s="612">
        <f t="shared" ref="S32:T35" ca="1" si="31">INDEX(INDIRECT("CAM_WTPCore2_"&amp;$B32&amp;"_Levels"),1,MATCH(S$4,WTPCore2_AttLevels,0))</f>
        <v>2.2222222222222223E-2</v>
      </c>
      <c r="T32" s="612">
        <f t="shared" ca="1" si="31"/>
        <v>1.5384615384615385E-2</v>
      </c>
      <c r="U32" s="324">
        <f ca="1">INDEX(INDIRECT("CAM_WTPCore2_"&amp;$B32&amp;"_LevelValues"),1,MATCH("S1 MEAN",WTPCore2_LevelValues,0))</f>
        <v>3.1155463151224057</v>
      </c>
      <c r="V32" s="324">
        <f ca="1">INDEX(INDIRECT("CAM_WTPCore2_"&amp;$B32&amp;"_LevelValues"),1,MATCH("S2 MEAN",WTPCore2_LevelValues,0))</f>
        <v>1.3419840000849801</v>
      </c>
      <c r="W32" s="168">
        <f ca="1">SUM(U32:V32)</f>
        <v>4.4575303152073857</v>
      </c>
      <c r="X32" s="221">
        <f t="shared" ref="X32:X37" ca="1" si="32">E32*(S32-T32)</f>
        <v>1.5794871794871794</v>
      </c>
      <c r="Y32" s="89">
        <f t="shared" ref="Y32:Y42" ca="1" si="33">INDEX(INDIRECT("CAM_WTPCore_"&amp;$B32&amp;"_UnitValues"),MATCH("COMBINED-HH",WTPCore_Group,0),MATCH("MEAN",LMH,0))</f>
        <v>308.90334405201918</v>
      </c>
      <c r="Z32" s="89">
        <f ca="1">Y32*($S32-$T32)*(AllProps_CAM/HHProps_CAM)</f>
        <v>2.2457142857142856</v>
      </c>
      <c r="AA32" s="89">
        <f ca="1">INDEX(INDIRECT("CAM_WTPCore2_"&amp;$B32&amp;"_UnitValues"),1,MATCH("MEAN",LMH,0))</f>
        <v>613.1439022942551</v>
      </c>
      <c r="AB32" s="89">
        <f ca="1">AA32*($S32-$T32)*(AllProps_CAM/HHProps_CAM)</f>
        <v>4.4575303152073857</v>
      </c>
      <c r="AC32" s="512">
        <f ca="1">X32*AA$44/X$43</f>
        <v>2.0008786600647217</v>
      </c>
      <c r="AD32" s="377" t="s">
        <v>127</v>
      </c>
      <c r="AE32" s="391">
        <f ca="1">(AC32*HHProps_CAM)/((S32-T32)*AllProps_CAM)</f>
        <v>275.22562111668009</v>
      </c>
    </row>
    <row r="33" spans="1:31" x14ac:dyDescent="0.35">
      <c r="A33" s="7" t="s">
        <v>131</v>
      </c>
      <c r="B33" s="7" t="s">
        <v>132</v>
      </c>
      <c r="C33" s="7" t="str">
        <f>B33</f>
        <v>TasteSmell</v>
      </c>
      <c r="D33" s="377" t="s">
        <v>127</v>
      </c>
      <c r="E33" s="124">
        <f t="shared" ca="1" si="27"/>
        <v>255</v>
      </c>
      <c r="F33" s="612">
        <f t="shared" ca="1" si="28"/>
        <v>1.6666666666666666E-2</v>
      </c>
      <c r="G33" s="612">
        <f t="shared" ca="1" si="28"/>
        <v>1.1111111111111112E-2</v>
      </c>
      <c r="H33" s="324">
        <f ca="1">INDEX(INDIRECT("SSW_WTPCore2_"&amp;$B33&amp;"_LevelValues"),1,MATCH("S1 MEAN",WTPCore2_LevelValues,0))</f>
        <v>0.30818609087835352</v>
      </c>
      <c r="I33" s="324">
        <f ca="1">INDEX(INDIRECT("SSW_WTPCore2_"&amp;$B33&amp;"_LevelValues"),1,MATCH("S2 MEAN",WTPCore2_LevelValues,0))</f>
        <v>0.18578205633963885</v>
      </c>
      <c r="J33" s="324">
        <f ca="1">SUM(H33:I33)</f>
        <v>0.49396814721799237</v>
      </c>
      <c r="K33" s="231">
        <f t="shared" ca="1" si="29"/>
        <v>1.4166666666666665</v>
      </c>
      <c r="L33" s="89">
        <f t="shared" ca="1" si="30"/>
        <v>173.83878023943072</v>
      </c>
      <c r="M33" s="89">
        <f ca="1">L33*($F33-$G33)*(AllProps_SSW/HHProps_SSW)</f>
        <v>1.0194594594594593</v>
      </c>
      <c r="N33" s="89">
        <f ca="1">INDEX(INDIRECT("SSW_WTPCore2_"&amp;$B33&amp;"_UnitValues"),1,MATCH("MEAN",LMH,0))</f>
        <v>84.231716516748989</v>
      </c>
      <c r="O33" s="89">
        <f ca="1">N33*($F33-$G33)*(AllProps_SSW/HHProps_SSW)</f>
        <v>0.49396814721799237</v>
      </c>
      <c r="P33" s="617">
        <f t="shared" ref="P33:P42" ca="1" si="34">K33*N$44/K$43</f>
        <v>0.8951734880657064</v>
      </c>
      <c r="Q33" s="453" t="s">
        <v>127</v>
      </c>
      <c r="R33" s="391">
        <f ca="1">P33*HHProps_SSW/((F33-G33)*AllProps_SSW)</f>
        <v>152.64546895325302</v>
      </c>
      <c r="S33" s="612">
        <f t="shared" ca="1" si="31"/>
        <v>1.4285714285714285E-2</v>
      </c>
      <c r="T33" s="612">
        <f t="shared" ca="1" si="31"/>
        <v>0.01</v>
      </c>
      <c r="U33" s="324">
        <f ca="1">INDEX(INDIRECT("CAM_WTPCore2_"&amp;$B33&amp;"_LevelValues"),1,MATCH("S1 MEAN",WTPCore2_LevelValues,0))</f>
        <v>4.7204807663126298E-2</v>
      </c>
      <c r="V33" s="324">
        <f ca="1">INDEX(INDIRECT("CAM_WTPCore2_"&amp;$B33&amp;"_LevelValues"),1,MATCH("S2 MEAN",WTPCore2_LevelValues,0))</f>
        <v>0.1217094578997745</v>
      </c>
      <c r="W33" s="168">
        <f ca="1">SUM(U33:V33)</f>
        <v>0.16891426556290079</v>
      </c>
      <c r="X33" s="221">
        <f t="shared" ca="1" si="32"/>
        <v>1.0928571428571427</v>
      </c>
      <c r="Y33" s="89">
        <f t="shared" ca="1" si="33"/>
        <v>207.69569571588755</v>
      </c>
      <c r="Z33" s="89">
        <f ca="1">Y33*($S33-$T33)*(AllProps_CAM/HHProps_CAM)</f>
        <v>0.94640816326530586</v>
      </c>
      <c r="AA33" s="89">
        <f ca="1">INDEX(INDIRECT("CAM_WTPCore2_"&amp;$B33&amp;"_UnitValues"),1,MATCH("MEAN",LMH,0))</f>
        <v>37.069382180075451</v>
      </c>
      <c r="AB33" s="89">
        <f ca="1">AA33*($S33-$T33)*(AllProps_CAM/HHProps_CAM)</f>
        <v>0.16891426556290079</v>
      </c>
      <c r="AC33" s="512">
        <f t="shared" ref="AC33:AC42" ca="1" si="35">X33*AA$44/X$43</f>
        <v>1.3844205663968223</v>
      </c>
      <c r="AD33" s="377" t="s">
        <v>127</v>
      </c>
      <c r="AE33" s="391">
        <f ca="1">(AC33*HHProps_CAM)/((S33-T33)*AllProps_CAM)</f>
        <v>303.82049084308858</v>
      </c>
    </row>
    <row r="34" spans="1:31" x14ac:dyDescent="0.35">
      <c r="A34" s="7" t="s">
        <v>890</v>
      </c>
      <c r="B34" s="7" t="s">
        <v>138</v>
      </c>
      <c r="C34" s="7" t="s">
        <v>1011</v>
      </c>
      <c r="D34" s="377" t="s">
        <v>127</v>
      </c>
      <c r="E34" s="124">
        <f t="shared" ca="1" si="27"/>
        <v>90</v>
      </c>
      <c r="F34" s="612">
        <f t="shared" ca="1" si="28"/>
        <v>1.4285714285714285E-2</v>
      </c>
      <c r="G34" s="612">
        <f t="shared" ca="1" si="28"/>
        <v>9.5238095238095247E-3</v>
      </c>
      <c r="H34" s="324">
        <f ca="1">INDEX(INDIRECT("SSW_WTPCore2_"&amp;$B34&amp;"_LevelValues"),1,MATCH("S1 MEAN",WTPCore2_LevelValues,0))</f>
        <v>0.39718669024665654</v>
      </c>
      <c r="I34" s="324">
        <f ca="1">INDEX(INDIRECT("SSW_WTPCore2_"&amp;$B34&amp;"_LevelValues"),1,MATCH("S2 MEAN",WTPCore2_LevelValues,0))</f>
        <v>0.53859352958370721</v>
      </c>
      <c r="J34" s="324">
        <f ca="1">SUM(H34:I34)</f>
        <v>0.93578021983036375</v>
      </c>
      <c r="K34" s="231">
        <f t="shared" ca="1" si="29"/>
        <v>0.42857142857142844</v>
      </c>
      <c r="L34" s="89">
        <f t="shared" ca="1" si="30"/>
        <v>162.10819588181059</v>
      </c>
      <c r="M34" s="89">
        <f ca="1">L34*($F34-$G34)*(AllProps_SSW/HHProps_SSW)</f>
        <v>0.8148571428571425</v>
      </c>
      <c r="N34" s="89">
        <f ca="1">INDEX(INDIRECT("SSW_WTPCore2_"&amp;$B34&amp;"_UnitValues"),1,MATCH("MEAN",LMH,0))</f>
        <v>186.16470937063306</v>
      </c>
      <c r="O34" s="89">
        <f ca="1">N34*($F34-$G34)*(AllProps_SSW/HHProps_SSW)</f>
        <v>0.93578021983036375</v>
      </c>
      <c r="P34" s="617">
        <f t="shared" ca="1" si="34"/>
        <v>0.2708087863055918</v>
      </c>
      <c r="Q34" s="453" t="s">
        <v>127</v>
      </c>
      <c r="R34" s="391">
        <f ca="1">P34*HHProps_SSW/((F34-G34)*AllProps_SSW)</f>
        <v>53.874871395265757</v>
      </c>
      <c r="S34" s="612">
        <f t="shared" ca="1" si="31"/>
        <v>2.5000000000000001E-2</v>
      </c>
      <c r="T34" s="612">
        <f t="shared" ca="1" si="31"/>
        <v>1.6666666666666666E-2</v>
      </c>
      <c r="U34" s="324">
        <f ca="1">INDEX(INDIRECT("CAM_WTPCore2_"&amp;$B34&amp;"_LevelValues"),1,MATCH("S1 MEAN",WTPCore2_LevelValues,0))</f>
        <v>5.3490671066612649E-2</v>
      </c>
      <c r="V34" s="324">
        <f ca="1">INDEX(INDIRECT("CAM_WTPCore2_"&amp;$B34&amp;"_LevelValues"),1,MATCH("S2 MEAN",WTPCore2_LevelValues,0))</f>
        <v>0.33457681646237136</v>
      </c>
      <c r="W34" s="168">
        <f ca="1">SUM(U34:V34)</f>
        <v>0.38806748752898401</v>
      </c>
      <c r="X34" s="221">
        <f t="shared" ca="1" si="32"/>
        <v>0.75000000000000011</v>
      </c>
      <c r="Y34" s="89">
        <f t="shared" ca="1" si="33"/>
        <v>28.26566546881222</v>
      </c>
      <c r="Z34" s="89">
        <f ca="1">Y34*($S34-$T34)*(AllProps_CAM/HHProps_CAM)</f>
        <v>0.25044117647058828</v>
      </c>
      <c r="AA34" s="89">
        <f ca="1">INDEX(INDIRECT("CAM_WTPCore2_"&amp;$B34&amp;"_UnitValues"),1,MATCH("MEAN",LMH,0))</f>
        <v>43.79865138952065</v>
      </c>
      <c r="AB34" s="89">
        <f ca="1">AA34*($S34-$T34)*(AllProps_CAM/HHProps_CAM)</f>
        <v>0.3880674875289839</v>
      </c>
      <c r="AC34" s="512">
        <f t="shared" ca="1" si="35"/>
        <v>0.95009254556644696</v>
      </c>
      <c r="AD34" s="377" t="s">
        <v>127</v>
      </c>
      <c r="AE34" s="391">
        <f ca="1">(AC34*HHProps_CAM)/((S34-T34)*AllProps_CAM)</f>
        <v>107.23076147403124</v>
      </c>
    </row>
    <row r="35" spans="1:31" x14ac:dyDescent="0.35">
      <c r="A35" s="7" t="s">
        <v>1010</v>
      </c>
      <c r="B35" s="7" t="s">
        <v>144</v>
      </c>
      <c r="C35" s="7" t="str">
        <f>B35</f>
        <v>TempBan</v>
      </c>
      <c r="D35" s="377" t="s">
        <v>127</v>
      </c>
      <c r="E35" s="124">
        <f t="shared" ca="1" si="27"/>
        <v>155</v>
      </c>
      <c r="F35" s="612">
        <f t="shared" ca="1" si="28"/>
        <v>2.5000000000000001E-2</v>
      </c>
      <c r="G35" s="612">
        <f t="shared" ca="1" si="28"/>
        <v>1.5384615384615385E-2</v>
      </c>
      <c r="H35" s="324">
        <f ca="1">INDEX(INDIRECT("SSW_WTPCore2_"&amp;$B35&amp;"_LevelValues"),1,MATCH("S1 MEAN",WTPCore2_LevelValues,0))</f>
        <v>0.4084226191643695</v>
      </c>
      <c r="I35" s="324">
        <f ca="1">INDEX(INDIRECT("SSW_WTPCore2_"&amp;$B35&amp;"_LevelValues"),1,MATCH("S2 MEAN",WTPCore2_LevelValues,0))</f>
        <v>0.28250000903457151</v>
      </c>
      <c r="J35" s="324">
        <f t="shared" ref="J35:J42" ca="1" si="36">SUM(H35:I35)</f>
        <v>0.69092262819894101</v>
      </c>
      <c r="K35" s="231">
        <f t="shared" ca="1" si="29"/>
        <v>1.4903846153846154</v>
      </c>
      <c r="L35" s="89">
        <f t="shared" ca="1" si="30"/>
        <v>245983.27199999994</v>
      </c>
      <c r="M35" s="89">
        <f ca="1">L35*(F35-G35)/HHProps_SSW*100</f>
        <v>0.43846153846153846</v>
      </c>
      <c r="N35" s="89">
        <f ca="1">INDEX(INDIRECT("SSW_WTPCore2_"&amp;$B35&amp;"_UnitValues"),1,MATCH("MEAN",LMH,0))</f>
        <v>387617.59897926223</v>
      </c>
      <c r="O35" s="89">
        <f ca="1">N35*(F35-G35)/HHProps_SSW*100</f>
        <v>0.69092262819894101</v>
      </c>
      <c r="P35" s="617">
        <f t="shared" ca="1" si="34"/>
        <v>0.94175491391527943</v>
      </c>
      <c r="Q35" s="453" t="s">
        <v>145</v>
      </c>
      <c r="R35" s="391">
        <f ca="1">P35*HHProps_SSW/((F35-G35)*100)</f>
        <v>528338.14331762528</v>
      </c>
      <c r="S35" s="612">
        <f t="shared" ca="1" si="31"/>
        <v>0.05</v>
      </c>
      <c r="T35" s="612">
        <f t="shared" ca="1" si="31"/>
        <v>3.3333333333333333E-2</v>
      </c>
      <c r="U35" s="324">
        <f ca="1">INDEX(INDIRECT("CAM_WTPCore2_"&amp;$B35&amp;"_LevelValues"),1,MATCH("S1 MEAN",WTPCore2_LevelValues,0))</f>
        <v>0.15591350717379643</v>
      </c>
      <c r="V35" s="324">
        <f ca="1">INDEX(INDIRECT("CAM_WTPCore2_"&amp;$B35&amp;"_LevelValues"),1,MATCH("S2 MEAN",WTPCore2_LevelValues,0))</f>
        <v>5.0130987785217407E-2</v>
      </c>
      <c r="W35" s="168">
        <f t="shared" ref="W35:W42" ca="1" si="37">SUM(U35:V35)</f>
        <v>0.20604449495901384</v>
      </c>
      <c r="X35" s="221">
        <f t="shared" ca="1" si="32"/>
        <v>2.5833333333333339</v>
      </c>
      <c r="Y35" s="89">
        <f t="shared" ca="1" si="33"/>
        <v>469608.19199999986</v>
      </c>
      <c r="Z35" s="89">
        <f ca="1">Y35*(S35-T35)/HHProps_CAM*100</f>
        <v>5.76</v>
      </c>
      <c r="AA35" s="89">
        <f ca="1">INDEX(INDIRECT("CAM_WTPCore2_"&amp;$B35&amp;"_UnitValues"),1,MATCH("MEAN",LMH,0))</f>
        <v>16798.64283841243</v>
      </c>
      <c r="AB35" s="89">
        <f ca="1">AA35*(S35-T35)/HHProps_CAM*100</f>
        <v>0.20604449495901386</v>
      </c>
      <c r="AC35" s="512">
        <f t="shared" ca="1" si="35"/>
        <v>3.2725409902844285</v>
      </c>
      <c r="AD35" s="377" t="s">
        <v>145</v>
      </c>
      <c r="AE35" s="391">
        <f ca="1">AC35*HHProps_CAM/((S35-T35)*100)</f>
        <v>266807.64890509716</v>
      </c>
    </row>
    <row r="36" spans="1:31" x14ac:dyDescent="0.35">
      <c r="A36" s="7" t="s">
        <v>1118</v>
      </c>
      <c r="B36" s="7" t="s">
        <v>147</v>
      </c>
      <c r="C36" s="7" t="str">
        <f t="shared" ref="C36:C42" si="38">B36</f>
        <v>Drought</v>
      </c>
      <c r="D36" s="377" t="s">
        <v>127</v>
      </c>
      <c r="E36" s="119">
        <f t="shared" ca="1" si="27"/>
        <v>155</v>
      </c>
      <c r="F36" s="612">
        <f t="shared" ref="F36:G40" ca="1" si="39">INDEX(INDIRECT("SSW_WTPCore_DCE_"&amp;$B36&amp;"_Levels"),MATCH("COMBINED-HH",WTPCore_Group,0),MATCH(F$4,WTPCore_AttLevels,0))</f>
        <v>1.2500000000000001E-2</v>
      </c>
      <c r="G36" s="612">
        <v>8.3000000000000001E-3</v>
      </c>
      <c r="H36" s="324">
        <f t="shared" ref="H36:H40" ca="1" si="40">INDEX(INDIRECT("SSW_WTPCore_DCE_"&amp;$B36&amp;"_LevelValues"),MATCH("COMBINED-HH",WTPCore_Group,0),MATCH("S1 MEAN",WTPCore_LevelValues,0))</f>
        <v>7.0000000000000007E-2</v>
      </c>
      <c r="I36" s="324">
        <f t="shared" ref="I36:I40" ca="1" si="41">INDEX(INDIRECT("SSW_WTPCore_DCE_"&amp;$B36&amp;"_LevelValues"),MATCH("COMBINED-HH",WTPCore_Group,0),MATCH("S2 MEAN",WTPCore_LevelValues,0))</f>
        <v>0.56999999999999995</v>
      </c>
      <c r="J36" s="16">
        <f ca="1">H36</f>
        <v>7.0000000000000007E-2</v>
      </c>
      <c r="K36" s="231">
        <f t="shared" ca="1" si="29"/>
        <v>0.65100000000000013</v>
      </c>
      <c r="L36" s="89">
        <f t="shared" ca="1" si="30"/>
        <v>90625.415999999997</v>
      </c>
      <c r="M36" s="89">
        <f ca="1">L36*(F36-G36)/HHProps_SSW*100</f>
        <v>7.0560000000000012E-2</v>
      </c>
      <c r="N36" s="89">
        <f ca="1">L36</f>
        <v>90625.415999999997</v>
      </c>
      <c r="O36" s="89">
        <f ca="1">N36*(F36-G36)/HHProps_SSW*100</f>
        <v>7.0560000000000012E-2</v>
      </c>
      <c r="P36" s="617">
        <f t="shared" ca="1" si="34"/>
        <v>0.41135854639819414</v>
      </c>
      <c r="Q36" s="377" t="s">
        <v>145</v>
      </c>
      <c r="R36" s="391">
        <f ca="1">P36*HHProps_SSW/((F36-G36)*100)</f>
        <v>528338.14331762528</v>
      </c>
      <c r="S36" s="615">
        <f t="shared" ref="S36:T40" ca="1" si="42">INDEX(INDIRECT("CAM_WTPCore_"&amp;$B36&amp;"_Levels"),MATCH("COMBINED-HH",WTPCore_Group,0),MATCH(S$4,WTPCore_AttLevels,0))</f>
        <v>1.2500000000000001E-2</v>
      </c>
      <c r="T36" s="612">
        <v>8.3000000000000001E-3</v>
      </c>
      <c r="U36" s="512">
        <f t="shared" ref="U36:U40" ca="1" si="43">INDEX(INDIRECT("CAM_WTPCore_"&amp;$B36&amp;"_LevelValues"),MATCH("COMBINED-HH",WTPCore_Group,0),MATCH("S1 MEAN",WTPCore_LevelValues,0))</f>
        <v>1.5029903774694477</v>
      </c>
      <c r="V36" s="512">
        <f t="shared" ref="V36:V40" ca="1" si="44">INDEX(INDIRECT("CAM_WTPCore_"&amp;$B36&amp;"_LevelValues"),MATCH("COMBINED-HH",WTPCore_Group,0),MATCH("S2 MEAN",WTPCore_LevelValues,0))</f>
        <v>0.31632762130063785</v>
      </c>
      <c r="W36" s="168">
        <f ca="1">U36</f>
        <v>1.5029903774694477</v>
      </c>
      <c r="X36" s="221">
        <f t="shared" ca="1" si="32"/>
        <v>0.65100000000000013</v>
      </c>
      <c r="Y36" s="89">
        <f t="shared" ca="1" si="33"/>
        <v>490150.41233112832</v>
      </c>
      <c r="Z36" s="89">
        <f ca="1">Y36*(S36-T36)/HHProps_CAM*100</f>
        <v>1.5150143004892032</v>
      </c>
      <c r="AA36" s="89">
        <f ca="1">Y36</f>
        <v>490150.41233112832</v>
      </c>
      <c r="AB36" s="89">
        <f ca="1">AA36*(S36-T36)/HHProps_CAM*100</f>
        <v>1.5150143004892032</v>
      </c>
      <c r="AC36" s="512">
        <f t="shared" ca="1" si="35"/>
        <v>0.82468032955167592</v>
      </c>
      <c r="AD36" s="377" t="s">
        <v>145</v>
      </c>
      <c r="AE36" s="391">
        <f ca="1">AC36*HHProps_CAM/((S36-T36)*100)</f>
        <v>266807.64890509716</v>
      </c>
    </row>
    <row r="37" spans="1:31" x14ac:dyDescent="0.35">
      <c r="A37" s="7" t="s">
        <v>929</v>
      </c>
      <c r="B37" s="7" t="s">
        <v>140</v>
      </c>
      <c r="C37" s="7" t="str">
        <f t="shared" si="38"/>
        <v>LowPressure</v>
      </c>
      <c r="D37" s="377" t="s">
        <v>127</v>
      </c>
      <c r="E37" s="124">
        <f t="shared" ca="1" si="27"/>
        <v>21</v>
      </c>
      <c r="F37" s="612">
        <f t="shared" ref="F37:G39" ca="1" si="45">INDEX(INDIRECT("SSW_WTPCore2_"&amp;$B37&amp;"_Levels"),1,MATCH(F$4,WTPCore2_AttLevels,0))</f>
        <v>0.1</v>
      </c>
      <c r="G37" s="612">
        <f t="shared" ca="1" si="45"/>
        <v>6.6666666666666666E-2</v>
      </c>
      <c r="H37" s="324">
        <f ca="1">INDEX(INDIRECT("SSW_WTPCore2_"&amp;$B37&amp;"_LevelValues"),1,MATCH("S1 MEAN",WTPCore2_LevelValues,0))</f>
        <v>0.78010561855806027</v>
      </c>
      <c r="I37" s="324">
        <f ca="1">INDEX(INDIRECT("SSW_WTPCore2_"&amp;$B37&amp;"_LevelValues"),1,MATCH("S2 MEAN",WTPCore2_LevelValues,0))</f>
        <v>0.37050953266002729</v>
      </c>
      <c r="J37" s="324">
        <f t="shared" ca="1" si="36"/>
        <v>1.1506151512180876</v>
      </c>
      <c r="K37" s="231">
        <f t="shared" ca="1" si="29"/>
        <v>0.70000000000000018</v>
      </c>
      <c r="L37" s="89">
        <f t="shared" ca="1" si="30"/>
        <v>41.08733075345431</v>
      </c>
      <c r="M37" s="89">
        <f ca="1">L37*($F37-$G37)*(AllProps_SSW/HHProps_SSW)</f>
        <v>1.4457142857142862</v>
      </c>
      <c r="N37" s="89">
        <f ca="1">INDEX(INDIRECT("SSW_WTPCore2_"&amp;$B37&amp;"_UnitValues"),1,MATCH("MEAN",LMH,0))</f>
        <v>32.700586661683175</v>
      </c>
      <c r="O37" s="89">
        <f ca="1">N37*($F37-$G37)*(AllProps_SSW/HHProps_SSW)</f>
        <v>1.1506151512180876</v>
      </c>
      <c r="P37" s="617">
        <f t="shared" ca="1" si="34"/>
        <v>0.4423210176324669</v>
      </c>
      <c r="Q37" s="453" t="s">
        <v>127</v>
      </c>
      <c r="R37" s="391">
        <f ca="1">P37*HHProps_SSW/((F37-G37)*AllProps_SSW)</f>
        <v>12.570803325562016</v>
      </c>
      <c r="S37" s="612">
        <f t="shared" ref="S37:T39" ca="1" si="46">INDEX(INDIRECT("CAM_WTPCore2_"&amp;$B37&amp;"_Levels"),1,MATCH(S$4,WTPCore2_AttLevels,0))</f>
        <v>9.0909090909090912E-2</v>
      </c>
      <c r="T37" s="612">
        <f t="shared" ca="1" si="46"/>
        <v>6.6666666666666666E-2</v>
      </c>
      <c r="U37" s="324">
        <f ca="1">INDEX(INDIRECT("CAM_WTPCore2_"&amp;$B37&amp;"_LevelValues"),1,MATCH("S1 MEAN",WTPCore2_LevelValues,0))</f>
        <v>2.1416418362159599</v>
      </c>
      <c r="V37" s="324">
        <f ca="1">INDEX(INDIRECT("CAM_WTPCore2_"&amp;$B37&amp;"_LevelValues"),1,MATCH("S2 MEAN",WTPCore2_LevelValues,0))</f>
        <v>0.84070533256091329</v>
      </c>
      <c r="W37" s="168">
        <f t="shared" ca="1" si="37"/>
        <v>2.9823471687768732</v>
      </c>
      <c r="X37" s="221">
        <f t="shared" ca="1" si="32"/>
        <v>0.50909090909090915</v>
      </c>
      <c r="Y37" s="89">
        <f t="shared" ca="1" si="33"/>
        <v>18.582387891224172</v>
      </c>
      <c r="Z37" s="89">
        <f ca="1">Y37*($S37-$T37)*(AllProps_SSW/HHProps_SSW)</f>
        <v>0.47552501454621293</v>
      </c>
      <c r="AA37" s="89">
        <f ca="1">INDEX(INDIRECT("CAM_WTPCore2_"&amp;$B37&amp;"_UnitValues"),1,MATCH("MEAN",LMH,0))</f>
        <v>115.70560129846363</v>
      </c>
      <c r="AB37" s="89">
        <f ca="1">AA37*($S37-$T37)*(AllProps_SSW/HHProps_SSW)</f>
        <v>2.9609169748584749</v>
      </c>
      <c r="AC37" s="512">
        <f t="shared" ca="1" si="35"/>
        <v>0.6449113036572246</v>
      </c>
      <c r="AD37" s="377" t="s">
        <v>127</v>
      </c>
      <c r="AE37" s="391">
        <f ca="1">AC37*HHProps_CAM/((S37-T37)*AllProps_CAM)</f>
        <v>25.020511010607294</v>
      </c>
    </row>
    <row r="38" spans="1:31" x14ac:dyDescent="0.35">
      <c r="A38" s="7" t="s">
        <v>40</v>
      </c>
      <c r="B38" s="7" t="s">
        <v>40</v>
      </c>
      <c r="C38" s="7" t="str">
        <f t="shared" si="38"/>
        <v>Leakage</v>
      </c>
      <c r="D38" s="377" t="s">
        <v>1168</v>
      </c>
      <c r="E38" s="124">
        <f t="shared" ca="1" si="27"/>
        <v>104096</v>
      </c>
      <c r="F38" s="325">
        <f t="shared" ca="1" si="45"/>
        <v>70.5</v>
      </c>
      <c r="G38" s="325">
        <f t="shared" ca="1" si="45"/>
        <v>35.25</v>
      </c>
      <c r="H38" s="324">
        <f ca="1">INDEX(INDIRECT("SSW_WTPCore2_"&amp;$B38&amp;"_LevelValues"),1,MATCH("S1 MEAN",WTPCore2_LevelValues,0))</f>
        <v>1.2301339708448666</v>
      </c>
      <c r="I38" s="324">
        <f ca="1">INDEX(INDIRECT("SSW_WTPCore2_"&amp;$B38&amp;"_LevelValues"),1,MATCH("S2 MEAN",WTPCore2_LevelValues,0))</f>
        <v>0.44133293088857806</v>
      </c>
      <c r="J38" s="324">
        <f t="shared" ca="1" si="36"/>
        <v>1.6714669017334447</v>
      </c>
      <c r="K38" s="231">
        <f ca="1">E38*(F38-G38)/AllProps_SSW</f>
        <v>6.4440163322650044</v>
      </c>
      <c r="L38" s="89">
        <f t="shared" ca="1" si="30"/>
        <v>30606.35460992908</v>
      </c>
      <c r="M38" s="89">
        <f ca="1">L38*(F38-G38)/HHProps_SSW</f>
        <v>2</v>
      </c>
      <c r="N38" s="89">
        <f ca="1">INDEX(INDIRECT("SSW_WTPCore2_"&amp;$B38&amp;"_UnitValues"),1,MATCH("MEAN",LMH,0))</f>
        <v>25578.754356606645</v>
      </c>
      <c r="O38" s="89">
        <f ca="1">N38*(F38-G38)/HHProps_SSW</f>
        <v>1.6714669017334447</v>
      </c>
      <c r="P38" s="617">
        <f t="shared" ca="1" si="34"/>
        <v>4.0718912310395607</v>
      </c>
      <c r="Q38" s="453" t="s">
        <v>1168</v>
      </c>
      <c r="R38" s="391">
        <f ca="1">P38*HHProps_SSW/((F38-G38))</f>
        <v>62312.873475128719</v>
      </c>
      <c r="S38" s="325">
        <f t="shared" ca="1" si="46"/>
        <v>13.5</v>
      </c>
      <c r="T38" s="325">
        <f t="shared" ca="1" si="46"/>
        <v>6.75</v>
      </c>
      <c r="U38" s="324">
        <f ca="1">INDEX(INDIRECT("CAM_WTPCore2_"&amp;$B38&amp;"_LevelValues"),1,MATCH("S1 MEAN",WTPCore2_LevelValues,0))</f>
        <v>3.1349723048319831</v>
      </c>
      <c r="V38" s="324">
        <f ca="1">INDEX(INDIRECT("CAM_WTPCore2_"&amp;$B38&amp;"_LevelValues"),1,MATCH("S2 MEAN",WTPCore2_LevelValues,0))</f>
        <v>5.1405797633106154E-3</v>
      </c>
      <c r="W38" s="168">
        <f t="shared" ca="1" si="37"/>
        <v>3.1401128845952937</v>
      </c>
      <c r="X38" s="221">
        <f ca="1">E38*(S38-T38)/AllProps_CAM</f>
        <v>4.8634910087628223</v>
      </c>
      <c r="Y38" s="89">
        <f t="shared" ca="1" si="33"/>
        <v>145343.41333333333</v>
      </c>
      <c r="Z38" s="89">
        <f ca="1">Y38*(S38-T38)/HHProps_CAM</f>
        <v>7.2200000000000006</v>
      </c>
      <c r="AA38" s="89">
        <f ca="1">INDEX(INDIRECT("CAM_WTPCore2_"&amp;$B38&amp;"_UnitValues"),1,MATCH("MEAN",LMH,0))</f>
        <v>63212.565775492993</v>
      </c>
      <c r="AB38" s="89">
        <f ca="1">AA38*(S38-T38)/HHProps_CAM</f>
        <v>3.1401128845952937</v>
      </c>
      <c r="AC38" s="512">
        <f t="shared" ca="1" si="35"/>
        <v>6.1610220704733276</v>
      </c>
      <c r="AD38" s="377" t="s">
        <v>1168</v>
      </c>
      <c r="AE38" s="391">
        <f ca="1">AC38*HHProps_CAM/((S38-T38))</f>
        <v>124025.48162667507</v>
      </c>
    </row>
    <row r="39" spans="1:31" x14ac:dyDescent="0.35">
      <c r="A39" s="7" t="s">
        <v>726</v>
      </c>
      <c r="B39" s="7" t="s">
        <v>154</v>
      </c>
      <c r="C39" s="7" t="str">
        <f t="shared" si="38"/>
        <v>Wildlife</v>
      </c>
      <c r="D39" s="377" t="s">
        <v>155</v>
      </c>
      <c r="E39" s="124">
        <f t="shared" ca="1" si="27"/>
        <v>11703</v>
      </c>
      <c r="F39" s="325">
        <f t="shared" ca="1" si="45"/>
        <v>0</v>
      </c>
      <c r="G39" s="325">
        <f t="shared" ca="1" si="45"/>
        <v>50</v>
      </c>
      <c r="H39" s="324">
        <f ca="1">INDEX(INDIRECT("SSW_WTPCore2_"&amp;$B39&amp;"_LevelValues"),1,MATCH("S1 MEAN",WTPCore2_LevelValues,0))</f>
        <v>0.31132700138064179</v>
      </c>
      <c r="I39" s="324">
        <f ca="1">INDEX(INDIRECT("SSW_WTPCore2_"&amp;$B39&amp;"_LevelValues"),1,MATCH("S2 MEAN",WTPCore2_LevelValues,0))</f>
        <v>0.13284027031511708</v>
      </c>
      <c r="J39" s="324">
        <f t="shared" ca="1" si="36"/>
        <v>0.44416727169575887</v>
      </c>
      <c r="K39" s="231">
        <f ca="1">-E39*(F39-G39)/AllProps_SSW</f>
        <v>1.0276155771172675</v>
      </c>
      <c r="L39" s="89">
        <f t="shared" ca="1" si="30"/>
        <v>10249.302999999998</v>
      </c>
      <c r="M39" s="89">
        <f ca="1">-L39*(F39-G39)/HHProps_SSW</f>
        <v>0.94999999999999984</v>
      </c>
      <c r="N39" s="89">
        <f ca="1">INDEX(INDIRECT("SSW_WTPCore2_"&amp;$B39&amp;"_UnitValues"),1,MATCH("MEAN",LMH,0))</f>
        <v>4792.0052108349018</v>
      </c>
      <c r="O39" s="89">
        <f ca="1">-N39*(F39-G39)/HHProps_SSW</f>
        <v>0.44416727169575887</v>
      </c>
      <c r="P39" s="617">
        <f t="shared" ca="1" si="34"/>
        <v>0.64933709686497765</v>
      </c>
      <c r="Q39" s="453" t="s">
        <v>155</v>
      </c>
      <c r="R39" s="391">
        <f ca="1">-P39*HHProps_SSW/((F39-G39))</f>
        <v>7005.5291104310591</v>
      </c>
      <c r="S39" s="325">
        <f t="shared" ca="1" si="46"/>
        <v>0</v>
      </c>
      <c r="T39" s="325">
        <f t="shared" ca="1" si="46"/>
        <v>9</v>
      </c>
      <c r="U39" s="324">
        <f ca="1">INDEX(INDIRECT("CAM_WTPCore2_"&amp;$B39&amp;"_LevelValues"),1,MATCH("S1 MEAN",WTPCore2_LevelValues,0))</f>
        <v>0.16524275196632074</v>
      </c>
      <c r="V39" s="324">
        <f ca="1">INDEX(INDIRECT("CAM_WTPCore2_"&amp;$B39&amp;"_LevelValues"),1,MATCH("S2 MEAN",WTPCore2_LevelValues,0))</f>
        <v>2.2165878650139109E-2</v>
      </c>
      <c r="W39" s="168">
        <f t="shared" ca="1" si="37"/>
        <v>0.18740863061645985</v>
      </c>
      <c r="X39" s="221">
        <f ca="1">-E39*(S39-T39)/AllProps_CAM</f>
        <v>0.72903775073715682</v>
      </c>
      <c r="Y39" s="89">
        <f t="shared" ca="1" si="33"/>
        <v>15354.666000000001</v>
      </c>
      <c r="Z39" s="89">
        <f ca="1">-Y39*(S39-T39)/HHProps_CAM</f>
        <v>1.0170000000000001</v>
      </c>
      <c r="AA39" s="89">
        <f ca="1">INDEX(INDIRECT("CAM_WTPCore2_"&amp;$B39&amp;"_UnitValues"),1,MATCH("MEAN",LMH,0))</f>
        <v>2829.4955050473109</v>
      </c>
      <c r="AB39" s="89">
        <f ca="1">-AA39*(S39-T39)/HHProps_CAM</f>
        <v>0.18740863061645985</v>
      </c>
      <c r="AC39" s="512">
        <f t="shared" ca="1" si="35"/>
        <v>0.92353777654920277</v>
      </c>
      <c r="AD39" s="377" t="s">
        <v>155</v>
      </c>
      <c r="AE39" s="391">
        <f ca="1">-AC39*HHProps_CAM/((S39-T39))</f>
        <v>13943.573350339862</v>
      </c>
    </row>
    <row r="40" spans="1:31" x14ac:dyDescent="0.35">
      <c r="A40" s="7" t="s">
        <v>158</v>
      </c>
      <c r="B40" s="7" t="s">
        <v>159</v>
      </c>
      <c r="C40" s="7" t="str">
        <f t="shared" si="38"/>
        <v>Traffic</v>
      </c>
      <c r="D40" s="377" t="s">
        <v>127</v>
      </c>
      <c r="E40" s="119">
        <f t="shared" ca="1" si="27"/>
        <v>417</v>
      </c>
      <c r="F40" s="614">
        <f t="shared" ca="1" si="39"/>
        <v>608.33333333333337</v>
      </c>
      <c r="G40" s="614">
        <f t="shared" ca="1" si="39"/>
        <v>243.33333333333334</v>
      </c>
      <c r="H40" s="324">
        <f t="shared" ca="1" si="40"/>
        <v>0.06</v>
      </c>
      <c r="I40" s="324">
        <f t="shared" ca="1" si="41"/>
        <v>0.46</v>
      </c>
      <c r="J40" s="324">
        <f t="shared" ca="1" si="36"/>
        <v>0.52</v>
      </c>
      <c r="K40" s="231">
        <f ca="1">E40*(F40-G40)/AllProps_SSW</f>
        <v>0.26729595644729331</v>
      </c>
      <c r="L40" s="89">
        <f t="shared" ca="1" si="30"/>
        <v>768.51298630136989</v>
      </c>
      <c r="M40" s="89">
        <f ca="1">L40*(F40-G40)/HHProps_SSW</f>
        <v>0.52</v>
      </c>
      <c r="N40" s="89">
        <f ca="1">L40</f>
        <v>768.51298630136989</v>
      </c>
      <c r="O40" s="89">
        <f ca="1">N40*(F40-G40)/HHProps_SSW</f>
        <v>0.52</v>
      </c>
      <c r="P40" s="617">
        <f t="shared" ca="1" si="34"/>
        <v>0.16890088494972899</v>
      </c>
      <c r="Q40" s="377" t="s">
        <v>160</v>
      </c>
      <c r="R40" s="391">
        <f ca="1">P40*HHProps_SSW/((F40-G40))</f>
        <v>249.62023746473142</v>
      </c>
      <c r="S40" s="616">
        <f t="shared" ca="1" si="42"/>
        <v>365</v>
      </c>
      <c r="T40" s="616">
        <f t="shared" ca="1" si="42"/>
        <v>121.66666666666667</v>
      </c>
      <c r="U40" s="512">
        <f t="shared" ca="1" si="43"/>
        <v>0.21</v>
      </c>
      <c r="V40" s="512">
        <f t="shared" ca="1" si="44"/>
        <v>0.51</v>
      </c>
      <c r="W40" s="168">
        <f t="shared" ca="1" si="37"/>
        <v>0.72</v>
      </c>
      <c r="X40" s="221">
        <f ca="1">E40*(S40-T40)/AllProps_CAM</f>
        <v>0.70234090563007867</v>
      </c>
      <c r="Y40" s="89">
        <f t="shared" ca="1" si="33"/>
        <v>402.06180821917809</v>
      </c>
      <c r="Z40" s="89">
        <f ca="1">Y40*(S40-T40)/HHProps_CAM</f>
        <v>0.72</v>
      </c>
      <c r="AA40" s="89">
        <f ca="1">Y40</f>
        <v>402.06180821917809</v>
      </c>
      <c r="AB40" s="89">
        <f ca="1">AA40*(S40-T40)/HHProps_CAM</f>
        <v>0.72</v>
      </c>
      <c r="AC40" s="512">
        <f t="shared" ca="1" si="35"/>
        <v>0.8897184785140333</v>
      </c>
      <c r="AD40" s="377" t="s">
        <v>160</v>
      </c>
      <c r="AE40" s="391">
        <f ca="1">AC40*HHProps_CAM/((S40-T40))</f>
        <v>496.83586149634476</v>
      </c>
    </row>
    <row r="41" spans="1:31" x14ac:dyDescent="0.35">
      <c r="A41" s="7" t="s">
        <v>125</v>
      </c>
      <c r="B41" s="7" t="s">
        <v>126</v>
      </c>
      <c r="C41" s="7" t="str">
        <f t="shared" si="38"/>
        <v>NotSafe</v>
      </c>
      <c r="D41" s="377" t="s">
        <v>127</v>
      </c>
      <c r="E41" s="124">
        <f t="shared" ca="1" si="27"/>
        <v>431</v>
      </c>
      <c r="F41" s="612">
        <f ca="1">INDEX(INDIRECT("SSW_WTPCore2_"&amp;$B41&amp;"_Levels"),1,MATCH(F$4,WTPCore2_AttLevels,0))</f>
        <v>1.2500000000000001E-2</v>
      </c>
      <c r="G41" s="612">
        <f ca="1">INDEX(INDIRECT("SSW_WTPCore2_"&amp;$B41&amp;"_Levels"),1,MATCH(G$4,WTPCore2_AttLevels,0))</f>
        <v>8.3333333333333332E-3</v>
      </c>
      <c r="H41" s="324">
        <f ca="1">INDEX(INDIRECT("SSW_WTPCore2_"&amp;$B41&amp;"_LevelValues"),1,MATCH("S1 MEAN",WTPCore2_LevelValues,0))</f>
        <v>0.88929876177631462</v>
      </c>
      <c r="I41" s="324">
        <f ca="1">INDEX(INDIRECT("SSW_WTPCore2_"&amp;$B41&amp;"_LevelValues"),1,MATCH("S2 MEAN",WTPCore2_LevelValues,0))</f>
        <v>0.22437782965097952</v>
      </c>
      <c r="J41" s="324">
        <f t="shared" ca="1" si="36"/>
        <v>1.1136765914272941</v>
      </c>
      <c r="K41" s="231">
        <f ca="1">E41*(F41-G41)</f>
        <v>1.7958333333333336</v>
      </c>
      <c r="L41" s="89">
        <f t="shared" ca="1" si="30"/>
        <v>759.38481661325</v>
      </c>
      <c r="M41" s="89">
        <f ca="1">L41*($F41-$G41)*(AllProps_SSW/HHProps_SSW)</f>
        <v>3.34</v>
      </c>
      <c r="N41" s="89">
        <f ca="1">INDEX(INDIRECT("SSW_WTPCore2_"&amp;$B41&amp;"_UnitValues"),1,MATCH("MEAN",LMH,0))</f>
        <v>253.20631561301954</v>
      </c>
      <c r="O41" s="89">
        <f ca="1">N41*($F41-$G41)*(AllProps_SSW/HHProps_SSW)</f>
        <v>1.1136765914272941</v>
      </c>
      <c r="P41" s="617">
        <f t="shared" ca="1" si="34"/>
        <v>1.1347640392832929</v>
      </c>
      <c r="Q41" s="453" t="s">
        <v>127</v>
      </c>
      <c r="R41" s="391">
        <f ca="1">P41*HHProps_SSW/((F41-G41)*AllProps_SSW)</f>
        <v>258.00077301510612</v>
      </c>
      <c r="S41" s="612">
        <f ca="1">INDEX(INDIRECT("CAM_WTPCore2_"&amp;$B41&amp;"_Levels"),1,MATCH(S$4,WTPCore2_AttLevels,0))</f>
        <v>1.2500000000000001E-2</v>
      </c>
      <c r="T41" s="612">
        <f ca="1">INDEX(INDIRECT("CAM_WTPCore2_"&amp;$B41&amp;"_Levels"),1,MATCH(T$4,WTPCore2_AttLevels,0))</f>
        <v>8.3333333333333332E-3</v>
      </c>
      <c r="U41" s="324">
        <f ca="1">INDEX(INDIRECT("CAM_WTPCore2_"&amp;$B41&amp;"_LevelValues"),1,MATCH("S1 MEAN",WTPCore2_LevelValues,0))</f>
        <v>1.0483009561625427</v>
      </c>
      <c r="V41" s="324">
        <f ca="1">INDEX(INDIRECT("CAM_WTPCore2_"&amp;$B41&amp;"_LevelValues"),1,MATCH("S2 MEAN",WTPCore2_LevelValues,0))</f>
        <v>1.4106837870846367</v>
      </c>
      <c r="W41" s="168">
        <f t="shared" ca="1" si="37"/>
        <v>2.4589847432471794</v>
      </c>
      <c r="X41" s="221">
        <f ca="1">E41*(S41-T41)</f>
        <v>1.7958333333333336</v>
      </c>
      <c r="Y41" s="89">
        <f t="shared" ca="1" si="33"/>
        <v>501.11390007890685</v>
      </c>
      <c r="Z41" s="89">
        <f ca="1">Y41*($S41-$T41)*(AllProps_CAM/HHProps_CAM)</f>
        <v>2.2200000000000002</v>
      </c>
      <c r="AA41" s="89">
        <f ca="1">INDEX(INDIRECT("CAM_WTPCore2_"&amp;$B41&amp;"_UnitValues"),1,MATCH("MEAN",LMH,0))</f>
        <v>555.0592049203259</v>
      </c>
      <c r="AB41" s="89">
        <f ca="1">AA41*($S41-$T41)*(AllProps_CAM/HHProps_CAM)</f>
        <v>2.4589847432471794</v>
      </c>
      <c r="AC41" s="512">
        <f t="shared" ca="1" si="35"/>
        <v>2.274943817439659</v>
      </c>
      <c r="AD41" s="377" t="s">
        <v>127</v>
      </c>
      <c r="AE41" s="391">
        <f ca="1">AC41*HHProps_CAM/((S41-T41)*AllProps_CAM)</f>
        <v>513.51620217008292</v>
      </c>
    </row>
    <row r="42" spans="1:31" x14ac:dyDescent="0.35">
      <c r="A42" s="7" t="s">
        <v>41</v>
      </c>
      <c r="B42" s="7" t="s">
        <v>149</v>
      </c>
      <c r="C42" s="7" t="str">
        <f t="shared" si="38"/>
        <v>Metering</v>
      </c>
      <c r="D42" s="377" t="s">
        <v>1172</v>
      </c>
      <c r="E42" s="124">
        <f t="shared" ca="1" si="27"/>
        <v>7</v>
      </c>
      <c r="F42" s="612">
        <f ca="1">INDEX(INDIRECT("SSW_WTPCore2_"&amp;$B42&amp;"_Levels"),1,MATCH(F$4,WTPCore2_AttLevels,0))</f>
        <v>0.33</v>
      </c>
      <c r="G42" s="612">
        <f ca="1">INDEX(INDIRECT("SSW_WTPCore2_"&amp;$B42&amp;"_Levels"),1,MATCH(G$4,WTPCore2_AttLevels,0))</f>
        <v>0.5</v>
      </c>
      <c r="H42" s="324">
        <f ca="1">INDEX(INDIRECT("SSW_WTPCore2_"&amp;$B42&amp;"_LevelValues"),1,MATCH("S1 MEAN",WTPCore2_LevelValues,0))</f>
        <v>3.9796847923577343</v>
      </c>
      <c r="I42" s="324">
        <f ca="1">INDEX(INDIRECT("SSW_WTPCore2_"&amp;$B42&amp;"_LevelValues"),1,MATCH("S2 MEAN",WTPCore2_LevelValues,0))</f>
        <v>0.52424962900217631</v>
      </c>
      <c r="J42" s="324">
        <f t="shared" ca="1" si="36"/>
        <v>4.5039344213599106</v>
      </c>
      <c r="K42" s="231">
        <f ca="1">-E42*(F42-G42)</f>
        <v>1.19</v>
      </c>
      <c r="L42" s="89">
        <f t="shared" ca="1" si="30"/>
        <v>1.7719298245614032</v>
      </c>
      <c r="M42" s="89">
        <f ca="1">-L42*($F42-$G42)</f>
        <v>0.30122807017543851</v>
      </c>
      <c r="N42" s="89">
        <f ca="1">INDEX(INDIRECT("SSW_WTPCore2_"&amp;$B42&amp;"_UnitValues"),1,MATCH("MEAN",LMH,0))</f>
        <v>26.493731890352418</v>
      </c>
      <c r="O42" s="89">
        <f ca="1">-N42*($F42-$G42)</f>
        <v>4.5039344213599106</v>
      </c>
      <c r="P42" s="617">
        <f t="shared" ca="1" si="34"/>
        <v>0.75194572997519338</v>
      </c>
      <c r="Q42" s="453" t="s">
        <v>1171</v>
      </c>
      <c r="R42" s="391">
        <f ca="1">-P42*HHProps_SSW/((F42-G42)*AllProps_SSW)</f>
        <v>4.1902677751873378</v>
      </c>
      <c r="S42" s="612">
        <f ca="1">INDEX(INDIRECT("CAM_WTPCore2_"&amp;$B42&amp;"_Levels"),1,MATCH(S$4,WTPCore2_AttLevels,0))</f>
        <v>0.7</v>
      </c>
      <c r="T42" s="612">
        <f ca="1">INDEX(INDIRECT("CAM_WTPCore2_"&amp;$B42&amp;"_Levels"),1,MATCH(T$4,WTPCore2_AttLevels,0))</f>
        <v>0.95</v>
      </c>
      <c r="U42" s="324">
        <f ca="1">INDEX(INDIRECT("CAM_WTPCore2_"&amp;$B42&amp;"_LevelValues"),1,MATCH("S1 MEAN",WTPCore2_LevelValues,0))</f>
        <v>1.4360208416640492</v>
      </c>
      <c r="V42" s="324">
        <f ca="1">INDEX(INDIRECT("CAM_WTPCore2_"&amp;$B42&amp;"_LevelValues"),1,MATCH("S2 MEAN",WTPCore2_LevelValues,0))</f>
        <v>0.918140410423955</v>
      </c>
      <c r="W42" s="168">
        <f t="shared" ca="1" si="37"/>
        <v>2.3541612520880042</v>
      </c>
      <c r="X42" s="221">
        <f ca="1">-E42*(S42-T42)</f>
        <v>1.75</v>
      </c>
      <c r="Y42" s="89">
        <f t="shared" ca="1" si="33"/>
        <v>8.64</v>
      </c>
      <c r="Z42" s="89">
        <f ca="1">-Y42*($S42-$T42)</f>
        <v>2.16</v>
      </c>
      <c r="AA42" s="89">
        <f ca="1">INDEX(INDIRECT("CAM_WTPCore2_"&amp;$B42&amp;"_UnitValues"),1,MATCH("MEAN",LMH,0))</f>
        <v>9.4166450083520168</v>
      </c>
      <c r="AB42" s="89">
        <f ca="1">-AA42*($S42-$T42)</f>
        <v>2.3541612520880042</v>
      </c>
      <c r="AC42" s="512">
        <f t="shared" ca="1" si="35"/>
        <v>2.2168826063217093</v>
      </c>
      <c r="AD42" s="377" t="s">
        <v>1171</v>
      </c>
      <c r="AE42" s="391">
        <f ca="1">-AC42*HHProps_CAM/((S42-T42)*AllProps_CAM)</f>
        <v>8.3401703368690967</v>
      </c>
    </row>
    <row r="43" spans="1:31" x14ac:dyDescent="0.35">
      <c r="D43" s="377"/>
      <c r="E43" s="124"/>
      <c r="F43" s="324"/>
      <c r="G43" s="324"/>
      <c r="H43" s="324"/>
      <c r="I43" s="324"/>
      <c r="J43" s="330">
        <f ca="1">SUM(J32:J42)</f>
        <v>15.56921452414203</v>
      </c>
      <c r="K43" s="331">
        <f ca="1">SUM(K32:K42)</f>
        <v>21.571383909785609</v>
      </c>
      <c r="L43" s="331"/>
      <c r="M43" s="331">
        <f ca="1">SUM(M32:M42)</f>
        <v>11.691586855049367</v>
      </c>
      <c r="N43" s="331"/>
      <c r="O43" s="331">
        <f ca="1">SUM(O32:O42)</f>
        <v>15.56977452414203</v>
      </c>
      <c r="P43" s="330">
        <f ca="1">SUM(P32:P42)</f>
        <v>13.6306806895957</v>
      </c>
      <c r="Q43" s="454"/>
      <c r="R43" s="466"/>
      <c r="S43" s="512"/>
      <c r="T43" s="512"/>
      <c r="U43" s="512"/>
      <c r="V43" s="512"/>
      <c r="W43" s="44">
        <f ca="1">SUM(W32:W42)</f>
        <v>18.566561620051544</v>
      </c>
      <c r="X43" s="389">
        <f ca="1">SUM(X32:X42)</f>
        <v>17.006471563231955</v>
      </c>
      <c r="Y43" s="331"/>
      <c r="Z43" s="331">
        <f ca="1">SUM(Z32:Z42)</f>
        <v>24.530102940485595</v>
      </c>
      <c r="AA43" s="331"/>
      <c r="AB43" s="331">
        <f ca="1">SUM(AB32:AB42)</f>
        <v>18.5571553491529</v>
      </c>
      <c r="AC43" s="44">
        <f ca="1">SUM(AC32:AC42)</f>
        <v>21.543629144819249</v>
      </c>
      <c r="AE43" s="391"/>
    </row>
    <row r="44" spans="1:31" s="50" customFormat="1" x14ac:dyDescent="0.35">
      <c r="D44" s="379"/>
      <c r="E44" s="14"/>
      <c r="F44" s="409"/>
      <c r="G44" s="409"/>
      <c r="H44" s="409"/>
      <c r="I44" s="409"/>
      <c r="J44" s="409"/>
      <c r="K44" s="613"/>
      <c r="L44" s="613"/>
      <c r="M44" s="163" t="s">
        <v>361</v>
      </c>
      <c r="N44" s="546">
        <f ca="1">AVERAGE(M43,O43)</f>
        <v>13.6306806895957</v>
      </c>
      <c r="O44" s="163"/>
      <c r="P44" s="134"/>
      <c r="Q44" s="458"/>
      <c r="R44" s="467"/>
      <c r="S44" s="152"/>
      <c r="T44" s="152"/>
      <c r="U44" s="152"/>
      <c r="V44" s="152"/>
      <c r="W44" s="13"/>
      <c r="X44" s="613"/>
      <c r="Y44" s="613"/>
      <c r="Z44" s="163" t="s">
        <v>361</v>
      </c>
      <c r="AA44" s="546">
        <f ca="1">AVERAGE(Z43,AB43)</f>
        <v>21.543629144819249</v>
      </c>
      <c r="AB44" s="163"/>
      <c r="AC44" s="134"/>
      <c r="AE44" s="392"/>
    </row>
    <row r="45" spans="1:31" x14ac:dyDescent="0.35">
      <c r="A45" s="51" t="s">
        <v>93</v>
      </c>
      <c r="B45" s="51"/>
      <c r="D45" s="378"/>
      <c r="E45" s="218"/>
      <c r="F45" s="218"/>
      <c r="G45" s="218"/>
      <c r="H45" s="330"/>
      <c r="I45" s="330"/>
      <c r="J45" s="330"/>
      <c r="K45" s="389"/>
      <c r="L45" s="389"/>
      <c r="M45" s="389"/>
      <c r="N45" s="389"/>
      <c r="O45" s="389"/>
      <c r="P45" s="45"/>
      <c r="Q45" s="456"/>
      <c r="R45" s="468"/>
      <c r="S45" s="45"/>
      <c r="T45" s="45"/>
      <c r="U45" s="44"/>
      <c r="V45" s="44"/>
      <c r="W45" s="44"/>
      <c r="X45" s="389"/>
      <c r="Y45" s="389"/>
      <c r="Z45" s="389"/>
      <c r="AA45" s="389"/>
      <c r="AB45" s="389"/>
      <c r="AC45" s="45"/>
      <c r="AE45" s="393"/>
    </row>
    <row r="46" spans="1:31" x14ac:dyDescent="0.35">
      <c r="A46" s="7" t="s">
        <v>1173</v>
      </c>
      <c r="B46" s="7" t="s">
        <v>138</v>
      </c>
      <c r="C46" s="7" t="s">
        <v>1008</v>
      </c>
      <c r="D46" s="377" t="s">
        <v>127</v>
      </c>
      <c r="E46" s="124">
        <f ca="1">INDEX(INDIRECT("ExtWTP19_"&amp;$C46&amp;"_UnitValues"),MATCH(A$45, INDIRECT("ExtWTP19_Comps_"&amp;C46),0),MATCH("HH",ExtWTP_Group,0))</f>
        <v>310</v>
      </c>
      <c r="F46" s="612">
        <f ca="1">INDEX(INDIRECT("SSW_WTPCore2_"&amp;$B46&amp;"_Levels"),1,MATCH(F$4,WTPCore2_AttLevels,0))</f>
        <v>1.4285714285714285E-2</v>
      </c>
      <c r="G46" s="612">
        <f ca="1">INDEX(INDIRECT("SSW_WTPCore2_"&amp;$B46&amp;"_Levels"),1,MATCH(G$4,WTPCore2_AttLevels,0))</f>
        <v>9.5238095238095247E-3</v>
      </c>
      <c r="H46" s="324">
        <f ca="1">INDEX(INDIRECT("SSW_WTPCore2_"&amp;$B46&amp;"_LevelValues"),1,MATCH("S1 MEAN",WTPCore2_LevelValues,0))</f>
        <v>0.39718669024665654</v>
      </c>
      <c r="I46" s="324">
        <f ca="1">INDEX(INDIRECT("SSW_WTPCore2_"&amp;$B46&amp;"_LevelValues"),1,MATCH("S2 MEAN",WTPCore2_LevelValues,0))</f>
        <v>0.53859352958370721</v>
      </c>
      <c r="J46" s="324">
        <f ca="1">SUM(H46:I46)</f>
        <v>0.93578021983036375</v>
      </c>
      <c r="K46" s="231">
        <f ca="1">E46*(F46-G46)</f>
        <v>1.4761904761904758</v>
      </c>
      <c r="L46" s="89">
        <f ca="1">INDEX(INDIRECT("SSW_WTPCore_DCE_"&amp;$B46&amp;"_UnitValues"),MATCH("COMBINED-HH",WTPCore_Group,0),MATCH("MEAN",LMH,0))</f>
        <v>162.10819588181059</v>
      </c>
      <c r="M46" s="89">
        <f ca="1">L46*($F46-$G46)*(AllProps_SSW/HHProps_SSW)</f>
        <v>0.8148571428571425</v>
      </c>
      <c r="N46" s="89">
        <f ca="1">INDEX(INDIRECT("SSW_WTPCore2_"&amp;$B46&amp;"_UnitValues"),1,MATCH("MEAN",LMH,0))</f>
        <v>186.16470937063306</v>
      </c>
      <c r="O46" s="89">
        <f ca="1">N46*($F46-$G46)*(AllProps_SSW/HHProps_SSW)</f>
        <v>0.93578021983036375</v>
      </c>
      <c r="P46" s="324">
        <f ca="1">K46*N$52/K$51</f>
        <v>0.29376926287187705</v>
      </c>
      <c r="Q46" s="453" t="s">
        <v>127</v>
      </c>
      <c r="R46" s="391">
        <f ca="1">P46*HHProps_SSW/((F46-G46)*AllProps_SSW)</f>
        <v>58.442643139520612</v>
      </c>
      <c r="S46" s="612">
        <f ca="1">INDEX(INDIRECT("CAM_WTPCore2_"&amp;$B46&amp;"_Levels"),1,MATCH(S$4,WTPCore2_AttLevels,0))</f>
        <v>2.5000000000000001E-2</v>
      </c>
      <c r="T46" s="612">
        <f ca="1">INDEX(INDIRECT("CAM_WTPCore2_"&amp;$B46&amp;"_Levels"),1,MATCH(T$4,WTPCore2_AttLevels,0))</f>
        <v>1.6666666666666666E-2</v>
      </c>
      <c r="U46" s="324">
        <f ca="1">INDEX(INDIRECT("CAM_WTPCore2_"&amp;$B46&amp;"_LevelValues"),1,MATCH("S1 MEAN",WTPCore2_LevelValues,0))</f>
        <v>5.3490671066612649E-2</v>
      </c>
      <c r="V46" s="324">
        <f ca="1">INDEX(INDIRECT("CAM_WTPCore2_"&amp;$B46&amp;"_LevelValues"),1,MATCH("S2 MEAN",WTPCore2_LevelValues,0))</f>
        <v>0.33457681646237136</v>
      </c>
      <c r="W46" s="168">
        <f ca="1">SUM(U46:V46)</f>
        <v>0.38806748752898401</v>
      </c>
      <c r="X46" s="221">
        <f ca="1">E46*(S46-T46)</f>
        <v>2.5833333333333339</v>
      </c>
      <c r="Y46" s="89">
        <f ca="1">INDEX(INDIRECT("CAM_WTPCore_"&amp;$B46&amp;"_UnitValues"),MATCH("COMBINED-HH",WTPCore_Group,0),MATCH("MEAN",LMH,0))</f>
        <v>28.26566546881222</v>
      </c>
      <c r="Z46" s="89">
        <f ca="1">Y46*($S46-$T46)*(AllProps_CAM/HHProps_CAM)</f>
        <v>0.25044117647058828</v>
      </c>
      <c r="AA46" s="89">
        <f ca="1">INDEX(INDIRECT("CAM_WTPCore2_"&amp;$B46&amp;"_UnitValues"),1,MATCH("MEAN",LMH,0))</f>
        <v>43.79865138952065</v>
      </c>
      <c r="AB46" s="89">
        <f ca="1">AA46*($S46-$T46)*(AllProps_CAM/HHProps_CAM)</f>
        <v>0.3880674875289839</v>
      </c>
      <c r="AC46" s="512">
        <f ca="1">X46*AA$52/X$51</f>
        <v>1.0819740770205739</v>
      </c>
      <c r="AD46" s="377" t="s">
        <v>127</v>
      </c>
      <c r="AE46" s="391">
        <f ca="1">AC46*HHProps_CAM/((S46-T46)*AllProps_CAM)</f>
        <v>122.11537151352597</v>
      </c>
    </row>
    <row r="47" spans="1:31" x14ac:dyDescent="0.35">
      <c r="A47" s="7" t="s">
        <v>876</v>
      </c>
      <c r="B47" s="7" t="s">
        <v>138</v>
      </c>
      <c r="C47" s="7" t="s">
        <v>1007</v>
      </c>
      <c r="D47" s="377" t="s">
        <v>127</v>
      </c>
      <c r="E47" s="124">
        <f ca="1">INDEX(INDIRECT("ExtWTP19_"&amp;$C47&amp;"_UnitValues"),MATCH(A$45, INDIRECT("ExtWTP19_Comps_"&amp;C47),0),MATCH("HH",ExtWTP_Group,0))</f>
        <v>174</v>
      </c>
      <c r="F47" s="612">
        <f ca="1">INDEX(INDIRECT("SSW_WTPCore2_"&amp;$B47&amp;"_Levels"),1,MATCH(F$4,WTPCore2_AttLevels,0))</f>
        <v>1.4285714285714285E-2</v>
      </c>
      <c r="G47" s="612">
        <f ca="1">INDEX(INDIRECT("SSW_WTPCore2_"&amp;$B47&amp;"_Levels"),1,MATCH(G$4,WTPCore2_AttLevels,0))</f>
        <v>9.5238095238095247E-3</v>
      </c>
      <c r="H47" s="324">
        <f ca="1">INDEX(INDIRECT("SSW_WTPCore2_"&amp;$B47&amp;"_LevelValues"),1,MATCH("S1 MEAN",WTPCore2_LevelValues,0))</f>
        <v>0.39718669024665654</v>
      </c>
      <c r="I47" s="324">
        <f ca="1">INDEX(INDIRECT("SSW_WTPCore2_"&amp;$B47&amp;"_LevelValues"),1,MATCH("S2 MEAN",WTPCore2_LevelValues,0))</f>
        <v>0.53859352958370721</v>
      </c>
      <c r="J47" s="324">
        <f ca="1">SUM(H47:I47)</f>
        <v>0.93578021983036375</v>
      </c>
      <c r="K47" s="231">
        <f ca="1">E47*(F47-G47)</f>
        <v>0.82857142857142829</v>
      </c>
      <c r="L47" s="89">
        <f ca="1">INDEX(INDIRECT("SSW_WTPCore_DCE_"&amp;$B47&amp;"_UnitValues"),MATCH("COMBINED-HH",WTPCore_Group,0),MATCH("MEAN",LMH,0))</f>
        <v>162.10819588181059</v>
      </c>
      <c r="M47" s="89">
        <f ca="1">L47*($F47-$G47)*(AllProps_SSW/HHProps_SSW)</f>
        <v>0.8148571428571425</v>
      </c>
      <c r="N47" s="89">
        <f ca="1">INDEX(INDIRECT("SSW_WTPCore2_"&amp;$B47&amp;"_UnitValues"),1,MATCH("MEAN",LMH,0))</f>
        <v>186.16470937063306</v>
      </c>
      <c r="O47" s="89">
        <f ca="1">N47*($F47-$G47)*(AllProps_SSW/HHProps_SSW)</f>
        <v>0.93578021983036375</v>
      </c>
      <c r="P47" s="324">
        <f t="shared" ref="P47:P50" ca="1" si="47">K47*N$52/K$51</f>
        <v>0.1648898443216342</v>
      </c>
      <c r="Q47" s="453" t="s">
        <v>127</v>
      </c>
      <c r="R47" s="391">
        <f ca="1">P47*HHProps_SSW/((F47-G47)*AllProps_SSW)</f>
        <v>32.803290020247054</v>
      </c>
      <c r="S47" s="612">
        <f ca="1">INDEX(INDIRECT("CAM_WTPCore2_"&amp;$B47&amp;"_Levels"),1,MATCH(S$4,WTPCore2_AttLevels,0))</f>
        <v>2.5000000000000001E-2</v>
      </c>
      <c r="T47" s="612">
        <f ca="1">INDEX(INDIRECT("CAM_WTPCore2_"&amp;$B47&amp;"_Levels"),1,MATCH(T$4,WTPCore2_AttLevels,0))</f>
        <v>1.6666666666666666E-2</v>
      </c>
      <c r="U47" s="324">
        <f ca="1">INDEX(INDIRECT("CAM_WTPCore2_"&amp;$B47&amp;"_LevelValues"),1,MATCH("S1 MEAN",WTPCore2_LevelValues,0))</f>
        <v>5.3490671066612649E-2</v>
      </c>
      <c r="V47" s="324">
        <f ca="1">INDEX(INDIRECT("CAM_WTPCore2_"&amp;$B47&amp;"_LevelValues"),1,MATCH("S2 MEAN",WTPCore2_LevelValues,0))</f>
        <v>0.33457681646237136</v>
      </c>
      <c r="W47" s="168">
        <f ca="1">SUM(U47:V47)</f>
        <v>0.38806748752898401</v>
      </c>
      <c r="X47" s="221">
        <f ca="1">E47*(S47-T47)</f>
        <v>1.4500000000000002</v>
      </c>
      <c r="Y47" s="89">
        <f ca="1">INDEX(INDIRECT("CAM_WTPCore_"&amp;$B47&amp;"_UnitValues"),MATCH("COMBINED-HH",WTPCore_Group,0),MATCH("MEAN",LMH,0))</f>
        <v>28.26566546881222</v>
      </c>
      <c r="Z47" s="89">
        <f ca="1">Y47*($S47-$T47)*(AllProps_CAM/HHProps_CAM)</f>
        <v>0.25044117647058828</v>
      </c>
      <c r="AA47" s="89">
        <f ca="1">INDEX(INDIRECT("CAM_WTPCore2_"&amp;$B47&amp;"_UnitValues"),1,MATCH("MEAN",LMH,0))</f>
        <v>43.79865138952065</v>
      </c>
      <c r="AB47" s="89">
        <f ca="1">AA47*($S47-$T47)*(AllProps_CAM/HHProps_CAM)</f>
        <v>0.3880674875289839</v>
      </c>
      <c r="AC47" s="512">
        <f t="shared" ref="AC47:AC50" ca="1" si="48">X47*AA$52/X$51</f>
        <v>0.60730157871477375</v>
      </c>
      <c r="AD47" s="377" t="s">
        <v>127</v>
      </c>
      <c r="AE47" s="391">
        <f ca="1">AC47*HHProps_CAM/((S47-T47)*AllProps_CAM)</f>
        <v>68.542176268882315</v>
      </c>
    </row>
    <row r="48" spans="1:31" x14ac:dyDescent="0.35">
      <c r="A48" s="7" t="s">
        <v>1118</v>
      </c>
      <c r="B48" s="7" t="s">
        <v>147</v>
      </c>
      <c r="C48" s="7" t="str">
        <f>B48</f>
        <v>Drought</v>
      </c>
      <c r="D48" s="377" t="s">
        <v>127</v>
      </c>
      <c r="E48" s="119">
        <f ca="1">INDEX(INDIRECT("ExtWTP19_"&amp;$C48&amp;"_UnitValues"),MATCH(A$45, INDIRECT("ExtWTP19_Comps_"&amp;C48),0),MATCH("HH",ExtWTP_Group,0))</f>
        <v>172</v>
      </c>
      <c r="F48" s="612">
        <f t="shared" ref="F48" ca="1" si="49">INDEX(INDIRECT("SSW_WTPCore_DCE_"&amp;$B48&amp;"_Levels"),MATCH("COMBINED-HH",WTPCore_Group,0),MATCH(F$4,WTPCore_AttLevels,0))</f>
        <v>1.2500000000000001E-2</v>
      </c>
      <c r="G48" s="612">
        <v>8.3000000000000001E-3</v>
      </c>
      <c r="H48" s="324">
        <f ca="1">INDEX(INDIRECT("SSW_WTPCore_DCE_"&amp;$B48&amp;"_LevelValues"),MATCH("COMBINED-HH",WTPCore_Group,0),MATCH("S1 MEAN",WTPCore_LevelValues,0))</f>
        <v>7.0000000000000007E-2</v>
      </c>
      <c r="I48" s="324">
        <f ca="1">INDEX(INDIRECT("SSW_WTPCore_DCE_"&amp;$B48&amp;"_LevelValues"),MATCH("COMBINED-HH",WTPCore_Group,0),MATCH("S2 MEAN",WTPCore_LevelValues,0))</f>
        <v>0.56999999999999995</v>
      </c>
      <c r="J48" s="16">
        <f ca="1">H48</f>
        <v>7.0000000000000007E-2</v>
      </c>
      <c r="K48" s="231">
        <f ca="1">E48*(F48-G48)</f>
        <v>0.72240000000000015</v>
      </c>
      <c r="L48" s="89">
        <f ca="1">INDEX(INDIRECT("SSW_WTPCore_DCE_"&amp;$B48&amp;"_UnitValues"),MATCH("COMBINED-HH",WTPCore_Group,0),MATCH("MEAN",LMH,0))</f>
        <v>90625.415999999997</v>
      </c>
      <c r="M48" s="89">
        <f ca="1">L48*(F48-G48)/HHProps_SSW*100</f>
        <v>7.0560000000000012E-2</v>
      </c>
      <c r="N48" s="89">
        <f ca="1">L48</f>
        <v>90625.415999999997</v>
      </c>
      <c r="O48" s="89">
        <f ca="1">N48*(F48-G48)/HHProps_SSW*100</f>
        <v>7.0560000000000012E-2</v>
      </c>
      <c r="P48" s="324">
        <f t="shared" ca="1" si="47"/>
        <v>0.14376120082166211</v>
      </c>
      <c r="Q48" s="377" t="s">
        <v>145</v>
      </c>
      <c r="R48" s="634">
        <f ca="1">P48*HHProps_SSW/((F48-G48)*100)</f>
        <v>184643.12116103558</v>
      </c>
      <c r="S48" s="615">
        <f t="shared" ref="S48" ca="1" si="50">INDEX(INDIRECT("CAM_WTPCore_"&amp;$B48&amp;"_Levels"),MATCH("COMBINED-HH",WTPCore_Group,0),MATCH(S$4,WTPCore_AttLevels,0))</f>
        <v>1.2500000000000001E-2</v>
      </c>
      <c r="T48" s="612">
        <v>8.3000000000000001E-3</v>
      </c>
      <c r="U48" s="512">
        <f ca="1">INDEX(INDIRECT("CAM_WTPCore_"&amp;$B48&amp;"_LevelValues"),MATCH("COMBINED-HH",WTPCore_Group,0),MATCH("S1 MEAN",WTPCore_LevelValues,0))</f>
        <v>1.5029903774694477</v>
      </c>
      <c r="V48" s="512">
        <f ca="1">INDEX(INDIRECT("CAM_WTPCore_"&amp;$B48&amp;"_LevelValues"),MATCH("COMBINED-HH",WTPCore_Group,0),MATCH("S2 MEAN",WTPCore_LevelValues,0))</f>
        <v>0.31632762130063785</v>
      </c>
      <c r="W48" s="168">
        <f ca="1">U48</f>
        <v>1.5029903774694477</v>
      </c>
      <c r="X48" s="221">
        <f ca="1">E48*(S48-T48)</f>
        <v>0.72240000000000015</v>
      </c>
      <c r="Y48" s="89">
        <f ca="1">INDEX(INDIRECT("CAM_WTPCore_"&amp;$B48&amp;"_UnitValues"),MATCH("COMBINED-HH",WTPCore_Group,0),MATCH("MEAN",LMH,0))</f>
        <v>490150.41233112832</v>
      </c>
      <c r="Z48" s="89">
        <f ca="1">Y48*(S48-T48)/HHProps_CAM*100</f>
        <v>1.5150143004892032</v>
      </c>
      <c r="AA48" s="89">
        <f ca="1">Y48</f>
        <v>490150.41233112832</v>
      </c>
      <c r="AB48" s="89">
        <f ca="1">AA48*(S48-T48)/HHProps_CAM*100</f>
        <v>1.5150143004892032</v>
      </c>
      <c r="AC48" s="512">
        <f t="shared" ca="1" si="48"/>
        <v>0.30256183480245008</v>
      </c>
      <c r="AD48" s="377" t="s">
        <v>145</v>
      </c>
      <c r="AE48" s="391">
        <f ca="1">AC48*HHProps_CAM/((S48-T48)*100)</f>
        <v>97887.398182444085</v>
      </c>
    </row>
    <row r="49" spans="1:31" x14ac:dyDescent="0.35">
      <c r="A49" s="7" t="s">
        <v>40</v>
      </c>
      <c r="B49" s="7" t="s">
        <v>40</v>
      </c>
      <c r="C49" s="7" t="str">
        <f>B49</f>
        <v>Leakage</v>
      </c>
      <c r="D49" s="377" t="s">
        <v>1168</v>
      </c>
      <c r="E49" s="124">
        <f ca="1">INDEX(INDIRECT("ExtWTP19_"&amp;$C49&amp;"_UnitValues"),MATCH(A$45, INDIRECT("ExtWTP19_Comps_"&amp;C49),0),MATCH("HH",ExtWTP_Group,0))</f>
        <v>291633</v>
      </c>
      <c r="F49" s="325">
        <f ca="1">INDEX(INDIRECT("SSW_WTPCore2_"&amp;$B49&amp;"_Levels"),1,MATCH(F$4,WTPCore2_AttLevels,0))</f>
        <v>70.5</v>
      </c>
      <c r="G49" s="325">
        <f ca="1">INDEX(INDIRECT("SSW_WTPCore2_"&amp;$B49&amp;"_Levels"),1,MATCH(G$4,WTPCore2_AttLevels,0))</f>
        <v>35.25</v>
      </c>
      <c r="H49" s="324">
        <f ca="1">INDEX(INDIRECT("SSW_WTPCore2_"&amp;$B49&amp;"_LevelValues"),1,MATCH("S1 MEAN",WTPCore2_LevelValues,0))</f>
        <v>1.2301339708448666</v>
      </c>
      <c r="I49" s="324">
        <f ca="1">INDEX(INDIRECT("SSW_WTPCore2_"&amp;$B49&amp;"_LevelValues"),1,MATCH("S2 MEAN",WTPCore2_LevelValues,0))</f>
        <v>0.44133293088857806</v>
      </c>
      <c r="J49" s="324">
        <f ca="1">SUM(H49:I49)</f>
        <v>1.6714669017334447</v>
      </c>
      <c r="K49" s="231">
        <f ca="1">E49*(F49-G49)/AllProps_SSW</f>
        <v>18.053410457918076</v>
      </c>
      <c r="L49" s="89">
        <f ca="1">INDEX(INDIRECT("SSW_WTPCore_DCE_"&amp;$B49&amp;"_UnitValues"),MATCH("COMBINED-HH",WTPCore_Group,0),MATCH("MEAN",LMH,0))</f>
        <v>30606.35460992908</v>
      </c>
      <c r="M49" s="89">
        <f ca="1">L49*(F49-G49)/HHProps_SSW</f>
        <v>2</v>
      </c>
      <c r="N49" s="89">
        <f ca="1">INDEX(INDIRECT("SSW_WTPCore2_"&amp;$B49&amp;"_UnitValues"),1,MATCH("MEAN",LMH,0))</f>
        <v>25578.754356606645</v>
      </c>
      <c r="O49" s="89">
        <f ca="1">N49*(F49-G49)/HHProps_SSW</f>
        <v>1.6714669017334447</v>
      </c>
      <c r="P49" s="324">
        <f t="shared" ca="1" si="47"/>
        <v>3.5927186688215049</v>
      </c>
      <c r="Q49" s="453" t="s">
        <v>1168</v>
      </c>
      <c r="R49" s="469">
        <f ca="1">P49*HHProps_SSW/((F49-G49))</f>
        <v>54980.010795831666</v>
      </c>
      <c r="S49" s="325">
        <f ca="1">INDEX(INDIRECT("CAM_WTPCore2_"&amp;$B49&amp;"_Levels"),1,MATCH(S$4,WTPCore2_AttLevels,0))</f>
        <v>13.5</v>
      </c>
      <c r="T49" s="325">
        <f ca="1">INDEX(INDIRECT("CAM_WTPCore2_"&amp;$B49&amp;"_Levels"),1,MATCH(T$4,WTPCore2_AttLevels,0))</f>
        <v>6.75</v>
      </c>
      <c r="U49" s="324">
        <f ca="1">INDEX(INDIRECT("CAM_WTPCore2_"&amp;$B49&amp;"_LevelValues"),1,MATCH("S1 MEAN",WTPCore2_LevelValues,0))</f>
        <v>3.1349723048319831</v>
      </c>
      <c r="V49" s="324">
        <f ca="1">INDEX(INDIRECT("CAM_WTPCore2_"&amp;$B49&amp;"_LevelValues"),1,MATCH("S2 MEAN",WTPCore2_LevelValues,0))</f>
        <v>5.1405797633106154E-3</v>
      </c>
      <c r="W49" s="168">
        <f ca="1">SUM(U49:V49)</f>
        <v>3.1401128845952937</v>
      </c>
      <c r="X49" s="221">
        <f ca="1">E49*(S49-T49)/AllProps_CAM</f>
        <v>13.625446447111591</v>
      </c>
      <c r="Y49" s="89">
        <f ca="1">INDEX(INDIRECT("CAM_WTPCore_"&amp;$B49&amp;"_UnitValues"),MATCH("COMBINED-HH",WTPCore_Group,0),MATCH("MEAN",LMH,0))</f>
        <v>145343.41333333333</v>
      </c>
      <c r="Z49" s="89">
        <f ca="1">Y49*(S49-T49)/HHProps_CAM</f>
        <v>7.2200000000000006</v>
      </c>
      <c r="AA49" s="89">
        <f ca="1">INDEX(INDIRECT("CAM_WTPCore2_"&amp;$B49&amp;"_UnitValues"),1,MATCH("MEAN",LMH,0))</f>
        <v>63212.565775492993</v>
      </c>
      <c r="AB49" s="89">
        <f ca="1">AA49*(S49-T49)/HHProps_CAM</f>
        <v>3.1401128845952937</v>
      </c>
      <c r="AC49" s="512">
        <f t="shared" ca="1" si="48"/>
        <v>5.7067276813961882</v>
      </c>
      <c r="AD49" s="377" t="s">
        <v>1168</v>
      </c>
      <c r="AE49" s="391">
        <f ca="1">AC49*HHProps_CAM/((S49-T49))</f>
        <v>114880.2327116262</v>
      </c>
    </row>
    <row r="50" spans="1:31" x14ac:dyDescent="0.35">
      <c r="A50" s="7" t="s">
        <v>726</v>
      </c>
      <c r="B50" s="7" t="s">
        <v>154</v>
      </c>
      <c r="C50" s="7" t="str">
        <f>B50</f>
        <v>Wildlife</v>
      </c>
      <c r="D50" s="377" t="s">
        <v>155</v>
      </c>
      <c r="E50" s="124">
        <f ca="1">INDEX(INDIRECT("ExtWTP19_"&amp;$C50&amp;"_UnitValues"),MATCH(A$45, INDIRECT("ExtWTP19_Comps_"&amp;C50),0),MATCH("HH",ExtWTP_Group,0))</f>
        <v>9092</v>
      </c>
      <c r="F50" s="325">
        <f ca="1">INDEX(INDIRECT("SSW_WTPCore2_"&amp;$B50&amp;"_Levels"),1,MATCH(F$4,WTPCore2_AttLevels,0))</f>
        <v>0</v>
      </c>
      <c r="G50" s="325">
        <f ca="1">INDEX(INDIRECT("SSW_WTPCore2_"&amp;$B50&amp;"_Levels"),1,MATCH(G$4,WTPCore2_AttLevels,0))</f>
        <v>50</v>
      </c>
      <c r="H50" s="324">
        <f ca="1">INDEX(INDIRECT("SSW_WTPCore2_"&amp;$B50&amp;"_LevelValues"),1,MATCH("S1 MEAN",WTPCore2_LevelValues,0))</f>
        <v>0.31132700138064179</v>
      </c>
      <c r="I50" s="324">
        <f ca="1">INDEX(INDIRECT("SSW_WTPCore2_"&amp;$B50&amp;"_LevelValues"),1,MATCH("S2 MEAN",WTPCore2_LevelValues,0))</f>
        <v>0.13284027031511708</v>
      </c>
      <c r="J50" s="324">
        <f ca="1">SUM(H50:I50)</f>
        <v>0.44416727169575887</v>
      </c>
      <c r="K50" s="231">
        <f ca="1">-E50*(F50-G50)/AllProps_SSW</f>
        <v>0.79834921192430963</v>
      </c>
      <c r="L50" s="89">
        <f ca="1">INDEX(INDIRECT("SSW_WTPCore_DCE_"&amp;$B50&amp;"_UnitValues"),MATCH("COMBINED-HH",WTPCore_Group,0),MATCH("MEAN",LMH,0))</f>
        <v>10249.302999999998</v>
      </c>
      <c r="M50" s="89">
        <f ca="1">-L50*(F50-G50)/HHProps_SSW</f>
        <v>0.94999999999999984</v>
      </c>
      <c r="N50" s="89">
        <f ca="1">INDEX(INDIRECT("SSW_WTPCore2_"&amp;$B50&amp;"_UnitValues"),1,MATCH("MEAN",LMH,0))</f>
        <v>4792.0052108349018</v>
      </c>
      <c r="O50" s="89">
        <f ca="1">-N50*(F50-G50)/HHProps_SSW</f>
        <v>0.44416727169575887</v>
      </c>
      <c r="P50" s="324">
        <f t="shared" ca="1" si="47"/>
        <v>0.15887547256542958</v>
      </c>
      <c r="Q50" s="453" t="s">
        <v>155</v>
      </c>
      <c r="R50" s="391">
        <f ca="1">-P50*HHProps_SSW/((F50-G50))</f>
        <v>1714.0661658855527</v>
      </c>
      <c r="S50" s="325">
        <f ca="1">INDEX(INDIRECT("CAM_WTPCore2_"&amp;$B50&amp;"_Levels"),1,MATCH(S$4,WTPCore2_AttLevels,0))</f>
        <v>0</v>
      </c>
      <c r="T50" s="325">
        <f ca="1">INDEX(INDIRECT("CAM_WTPCore2_"&amp;$B50&amp;"_Levels"),1,MATCH(T$4,WTPCore2_AttLevels,0))</f>
        <v>9</v>
      </c>
      <c r="U50" s="324">
        <f ca="1">INDEX(INDIRECT("CAM_WTPCore2_"&amp;$B50&amp;"_LevelValues"),1,MATCH("S1 MEAN",WTPCore2_LevelValues,0))</f>
        <v>0.16524275196632074</v>
      </c>
      <c r="V50" s="324">
        <f ca="1">INDEX(INDIRECT("CAM_WTPCore2_"&amp;$B50&amp;"_LevelValues"),1,MATCH("S2 MEAN",WTPCore2_LevelValues,0))</f>
        <v>2.2165878650139109E-2</v>
      </c>
      <c r="W50" s="168">
        <f ca="1">SUM(U50:V50)</f>
        <v>0.18740863061645985</v>
      </c>
      <c r="X50" s="221">
        <f ca="1">-E50*(S50-T50)/AllProps_CAM</f>
        <v>0.56638564724448692</v>
      </c>
      <c r="Y50" s="89">
        <f ca="1">INDEX(INDIRECT("CAM_WTPCore_"&amp;$B50&amp;"_UnitValues"),MATCH("COMBINED-HH",WTPCore_Group,0),MATCH("MEAN",LMH,0))</f>
        <v>15354.666000000001</v>
      </c>
      <c r="Z50" s="89">
        <f ca="1">-Y50*(S50-T50)/HHProps_CAM</f>
        <v>1.0170000000000001</v>
      </c>
      <c r="AA50" s="89">
        <f ca="1">INDEX(INDIRECT("CAM_WTPCore2_"&amp;$B50&amp;"_UnitValues"),1,MATCH("MEAN",LMH,0))</f>
        <v>2829.4955050473109</v>
      </c>
      <c r="AB50" s="89">
        <f ca="1">-AA50*(S50-T50)/HHProps_CAM</f>
        <v>0.18740863061645985</v>
      </c>
      <c r="AC50" s="512">
        <f t="shared" ca="1" si="48"/>
        <v>0.23721855016066606</v>
      </c>
      <c r="AD50" s="377" t="s">
        <v>155</v>
      </c>
      <c r="AE50" s="391">
        <f ca="1">-AC50*HHProps_CAM/((S50-T50))</f>
        <v>3581.5256703257364</v>
      </c>
    </row>
    <row r="51" spans="1:31" x14ac:dyDescent="0.35">
      <c r="D51" s="377"/>
      <c r="E51" s="124"/>
      <c r="F51" s="324"/>
      <c r="G51" s="324"/>
      <c r="H51" s="324"/>
      <c r="I51" s="324"/>
      <c r="J51" s="330">
        <f ca="1">SUM(J46:J50)</f>
        <v>4.0571946130899308</v>
      </c>
      <c r="K51" s="331">
        <f ca="1">SUM(K46:K50)</f>
        <v>21.878921574604291</v>
      </c>
      <c r="L51" s="331"/>
      <c r="M51" s="331">
        <f ca="1">SUM(M46:M50)</f>
        <v>4.6502742857142847</v>
      </c>
      <c r="N51" s="331"/>
      <c r="O51" s="223">
        <f ca="1">SUM(O46:O50)</f>
        <v>4.0577546130899309</v>
      </c>
      <c r="P51" s="330">
        <f ca="1">SUM(P46:P50)</f>
        <v>4.3540144494021078</v>
      </c>
      <c r="Q51" s="454"/>
      <c r="R51" s="466"/>
      <c r="S51" s="512"/>
      <c r="T51" s="512"/>
      <c r="U51" s="512"/>
      <c r="V51" s="512"/>
      <c r="W51" s="44">
        <f ca="1">SUM(W46:W50)</f>
        <v>5.606646867739169</v>
      </c>
      <c r="X51" s="389">
        <f ca="1">SUM(X46:X50)</f>
        <v>18.947565427689412</v>
      </c>
      <c r="Y51" s="331"/>
      <c r="Z51" s="331">
        <f ca="1">SUM(Z46:Z50)</f>
        <v>10.25289665343038</v>
      </c>
      <c r="AA51" s="331"/>
      <c r="AB51" s="331">
        <f ca="1">SUM(AB46:AB50)</f>
        <v>5.6186707907589248</v>
      </c>
      <c r="AC51" s="44">
        <f ca="1">SUM(AC46:AC50)</f>
        <v>7.9357837220946514</v>
      </c>
      <c r="AE51" s="391"/>
    </row>
    <row r="52" spans="1:31" s="50" customFormat="1" x14ac:dyDescent="0.35">
      <c r="D52" s="379"/>
      <c r="E52" s="14"/>
      <c r="F52" s="409"/>
      <c r="G52" s="409"/>
      <c r="H52" s="409"/>
      <c r="I52" s="409"/>
      <c r="J52" s="409"/>
      <c r="K52" s="613"/>
      <c r="L52" s="613"/>
      <c r="M52" s="163" t="s">
        <v>361</v>
      </c>
      <c r="N52" s="546">
        <f ca="1">AVERAGE(M51,O51)</f>
        <v>4.3540144494021078</v>
      </c>
      <c r="O52" s="163"/>
      <c r="P52" s="134"/>
      <c r="Q52" s="458"/>
      <c r="R52" s="467"/>
      <c r="S52" s="152"/>
      <c r="T52" s="152"/>
      <c r="U52" s="152"/>
      <c r="V52" s="152"/>
      <c r="W52" s="13"/>
      <c r="X52" s="613"/>
      <c r="Y52" s="613"/>
      <c r="Z52" s="163" t="s">
        <v>361</v>
      </c>
      <c r="AA52" s="546">
        <f ca="1">AVERAGE(Z51,AB51)</f>
        <v>7.9357837220946523</v>
      </c>
      <c r="AB52" s="163"/>
      <c r="AC52" s="134"/>
      <c r="AE52" s="392"/>
    </row>
    <row r="53" spans="1:31" x14ac:dyDescent="0.35">
      <c r="A53" s="424" t="s">
        <v>94</v>
      </c>
      <c r="B53" s="388"/>
      <c r="D53" s="378"/>
      <c r="E53" s="218"/>
      <c r="F53" s="218"/>
      <c r="G53" s="218"/>
      <c r="H53" s="330"/>
      <c r="I53" s="330"/>
      <c r="J53" s="330"/>
      <c r="K53" s="389"/>
      <c r="L53" s="389"/>
      <c r="M53" s="389"/>
      <c r="N53" s="389"/>
      <c r="O53" s="389"/>
      <c r="P53" s="45"/>
      <c r="Q53" s="456"/>
      <c r="R53" s="468"/>
      <c r="S53" s="45"/>
      <c r="T53" s="45"/>
      <c r="U53" s="44"/>
      <c r="V53" s="44"/>
      <c r="W53" s="44"/>
      <c r="X53" s="389"/>
      <c r="Y53" s="389"/>
      <c r="Z53" s="389"/>
      <c r="AA53" s="389"/>
      <c r="AB53" s="389"/>
      <c r="AC53" s="45"/>
      <c r="AE53" s="393"/>
    </row>
    <row r="54" spans="1:31" x14ac:dyDescent="0.35">
      <c r="A54" s="7" t="s">
        <v>726</v>
      </c>
      <c r="B54" s="7" t="s">
        <v>154</v>
      </c>
      <c r="C54" s="7" t="s">
        <v>154</v>
      </c>
      <c r="D54" s="377" t="s">
        <v>127</v>
      </c>
      <c r="E54" s="124">
        <f ca="1">INDEX(INDIRECT("ExtWTP19_"&amp;$C54&amp;"_UnitValues"),MATCH(A$53, INDIRECT("ExtWTP19_Comps_"&amp;C54),0),MATCH("HH",ExtWTP_Group,0))</f>
        <v>5838</v>
      </c>
      <c r="F54" s="614">
        <f ca="1">INDEX(INDIRECT("SSW_WTPCore2_"&amp;$B54&amp;"_Levels"),1,MATCH(F$4,WTPCore2_AttLevels,0))</f>
        <v>0</v>
      </c>
      <c r="G54" s="614">
        <f ca="1">INDEX(INDIRECT("SSW_WTPCore2_"&amp;$B54&amp;"_Levels"),1,MATCH(G$4,WTPCore2_AttLevels,0))</f>
        <v>50</v>
      </c>
      <c r="H54" s="324">
        <f ca="1">INDEX(INDIRECT("SSW_WTPCore2_"&amp;$B54&amp;"_LevelValues"),1,MATCH("S1 MEAN",WTPCore2_LevelValues,0))</f>
        <v>0.31132700138064179</v>
      </c>
      <c r="I54" s="324">
        <f ca="1">INDEX(INDIRECT("SSW_WTPCore2_"&amp;$B54&amp;"_LevelValues"),1,MATCH("S2 MEAN",WTPCore2_LevelValues,0))</f>
        <v>0.13284027031511708</v>
      </c>
      <c r="J54" s="324">
        <f ca="1">SUM(H54:I54)</f>
        <v>0.44416727169575887</v>
      </c>
      <c r="K54" s="231">
        <f ca="1">-E54*(F54-G54)/AllProps_SSW</f>
        <v>0.51262238222768586</v>
      </c>
      <c r="L54" s="89">
        <f ca="1">INDEX(INDIRECT("SSW_WTPCore_DCE_"&amp;$B54&amp;"_UnitValues"),MATCH("COMBINED-HH",WTPCore_Group,0),MATCH("MEAN",LMH,0))</f>
        <v>10249.302999999998</v>
      </c>
      <c r="M54" s="89">
        <f ca="1">-L54*(F54-G54)/HHProps_SSW</f>
        <v>0.94999999999999984</v>
      </c>
      <c r="N54" s="89">
        <f ca="1">INDEX(INDIRECT("SSW_WTPCore2_"&amp;$B54&amp;"_UnitValues"),1,MATCH("MEAN",LMH,0))</f>
        <v>4792.0052108349018</v>
      </c>
      <c r="O54" s="89">
        <f ca="1">-N54*(F54-G54)/HHProps_SSW</f>
        <v>0.44416727169575887</v>
      </c>
      <c r="P54" s="324">
        <f ca="1">K54*N$56/K$55</f>
        <v>0.69708363584787936</v>
      </c>
      <c r="Q54" s="453" t="s">
        <v>155</v>
      </c>
      <c r="R54" s="391">
        <f ca="1">P54*HHProps_SSW/((F54-G54)*AllProps_SSW)</f>
        <v>-1.3207453317675638E-2</v>
      </c>
      <c r="S54" s="614">
        <f ca="1">INDEX(INDIRECT("CAM_WTPCore2_"&amp;$B54&amp;"_Levels"),1,MATCH(S$4,WTPCore2_AttLevels,0))</f>
        <v>0</v>
      </c>
      <c r="T54" s="614">
        <f ca="1">INDEX(INDIRECT("CAM_WTPCore2_"&amp;$B54&amp;"_Levels"),1,MATCH(T$4,WTPCore2_AttLevels,0))</f>
        <v>9</v>
      </c>
      <c r="U54" s="324">
        <f ca="1">INDEX(INDIRECT("CAM_WTPCore2_"&amp;$B54&amp;"_LevelValues"),1,MATCH("S1 MEAN",WTPCore2_LevelValues,0))</f>
        <v>0.16524275196632074</v>
      </c>
      <c r="V54" s="324">
        <f ca="1">INDEX(INDIRECT("CAM_WTPCore2_"&amp;$B54&amp;"_LevelValues"),1,MATCH("S2 MEAN",WTPCore2_LevelValues,0))</f>
        <v>2.2165878650139109E-2</v>
      </c>
      <c r="W54" s="168">
        <f ca="1">SUM(U54:V54)</f>
        <v>0.18740863061645985</v>
      </c>
      <c r="X54" s="221">
        <f ca="1">-E54*(S54-T54)/AllProps_CAM</f>
        <v>0.36367789360023256</v>
      </c>
      <c r="Y54" s="89">
        <f ca="1">INDEX(INDIRECT("CAM_WTPCore_"&amp;$B54&amp;"_UnitValues"),MATCH("COMBINED-HH",WTPCore_Group,0),MATCH("MEAN",LMH,0))</f>
        <v>15354.666000000001</v>
      </c>
      <c r="Z54" s="89">
        <f ca="1">-Y54*(S54-T54)/HHProps_CAM</f>
        <v>1.0170000000000001</v>
      </c>
      <c r="AA54" s="89">
        <f ca="1">INDEX(INDIRECT("CAM_WTPCore2_"&amp;$B54&amp;"_UnitValues"),1,MATCH("MEAN",LMH,0))</f>
        <v>2829.4955050473109</v>
      </c>
      <c r="AB54" s="89">
        <f ca="1">-AA54*(S54-T54)/HHProps_CAM</f>
        <v>0.18740863061645985</v>
      </c>
      <c r="AC54" s="512">
        <f ca="1">X54*AA$56/X$55</f>
        <v>0.60220431530822993</v>
      </c>
      <c r="AD54" s="243" t="str">
        <f>Q54</f>
        <v>Hectare</v>
      </c>
      <c r="AE54" s="391">
        <f ca="1">AC54*HHProps_CAM/((S54-T54)*AllProps_CAM)</f>
        <v>-6.2932297524285724E-2</v>
      </c>
    </row>
    <row r="55" spans="1:31" x14ac:dyDescent="0.35">
      <c r="A55" s="388" t="s">
        <v>161</v>
      </c>
      <c r="D55" s="377"/>
      <c r="E55" s="124"/>
      <c r="F55" s="324"/>
      <c r="G55" s="324"/>
      <c r="H55" s="324"/>
      <c r="I55" s="324"/>
      <c r="J55" s="330">
        <f ca="1">SUM(J54:J54)</f>
        <v>0.44416727169575887</v>
      </c>
      <c r="K55" s="331">
        <f ca="1">SUM(K54:K54)</f>
        <v>0.51262238222768586</v>
      </c>
      <c r="L55" s="331"/>
      <c r="M55" s="331">
        <f ca="1">SUM(M54:M54)</f>
        <v>0.94999999999999984</v>
      </c>
      <c r="N55" s="331"/>
      <c r="O55" s="223">
        <f ca="1">SUM(O54:O54)</f>
        <v>0.44416727169575887</v>
      </c>
      <c r="P55" s="330">
        <f ca="1">SUM(P54:P54)</f>
        <v>0.69708363584787936</v>
      </c>
      <c r="Q55" s="454"/>
      <c r="R55" s="466"/>
      <c r="S55" s="512"/>
      <c r="T55" s="512"/>
      <c r="U55" s="512"/>
      <c r="V55" s="512"/>
      <c r="W55" s="44">
        <f ca="1">SUM(W54:W54)</f>
        <v>0.18740863061645985</v>
      </c>
      <c r="X55" s="389">
        <f ca="1">SUM(X54:X54)</f>
        <v>0.36367789360023256</v>
      </c>
      <c r="Y55" s="331"/>
      <c r="Z55" s="331">
        <f ca="1">SUM(Z54:Z54)</f>
        <v>1.0170000000000001</v>
      </c>
      <c r="AA55" s="331"/>
      <c r="AB55" s="223">
        <f ca="1">SUM(AB54:AB54)</f>
        <v>0.18740863061645985</v>
      </c>
      <c r="AC55" s="44">
        <f ca="1">SUM(AC54:AC54)</f>
        <v>0.60220431530822993</v>
      </c>
      <c r="AE55" s="391"/>
    </row>
    <row r="56" spans="1:31" s="50" customFormat="1" x14ac:dyDescent="0.35">
      <c r="D56" s="379"/>
      <c r="E56" s="14"/>
      <c r="F56" s="409"/>
      <c r="G56" s="409"/>
      <c r="H56" s="409"/>
      <c r="I56" s="409"/>
      <c r="J56" s="409"/>
      <c r="K56" s="613"/>
      <c r="L56" s="613"/>
      <c r="M56" s="163" t="s">
        <v>361</v>
      </c>
      <c r="N56" s="546">
        <f ca="1">AVERAGE(M55,O55)</f>
        <v>0.69708363584787936</v>
      </c>
      <c r="O56" s="163"/>
      <c r="P56" s="134"/>
      <c r="Q56" s="458"/>
      <c r="R56" s="467"/>
      <c r="S56" s="152"/>
      <c r="T56" s="152"/>
      <c r="U56" s="152"/>
      <c r="V56" s="152"/>
      <c r="W56" s="13"/>
      <c r="X56" s="613"/>
      <c r="Y56" s="613"/>
      <c r="Z56" s="163" t="s">
        <v>361</v>
      </c>
      <c r="AA56" s="546">
        <f ca="1">AVERAGE(Z55,AB55)</f>
        <v>0.60220431530822993</v>
      </c>
      <c r="AB56" s="163"/>
      <c r="AC56" s="134"/>
      <c r="AE56" s="392"/>
    </row>
    <row r="57" spans="1:31" x14ac:dyDescent="0.35">
      <c r="A57" s="51" t="s">
        <v>95</v>
      </c>
      <c r="B57" s="51"/>
      <c r="D57" s="378"/>
      <c r="E57" s="218"/>
      <c r="F57" s="218"/>
      <c r="G57" s="218"/>
      <c r="H57" s="330"/>
      <c r="I57" s="330"/>
      <c r="J57" s="330"/>
      <c r="K57" s="389"/>
      <c r="L57" s="389"/>
      <c r="M57" s="389"/>
      <c r="N57" s="389"/>
      <c r="O57" s="389"/>
      <c r="P57" s="45"/>
      <c r="Q57" s="456"/>
      <c r="R57" s="468"/>
      <c r="S57" s="45"/>
      <c r="T57" s="45"/>
      <c r="U57" s="44"/>
      <c r="V57" s="44"/>
      <c r="W57" s="44"/>
      <c r="X57" s="389"/>
      <c r="Y57" s="389"/>
      <c r="Z57" s="389"/>
      <c r="AA57" s="389"/>
      <c r="AB57" s="389"/>
      <c r="AC57" s="45"/>
      <c r="AE57" s="393"/>
    </row>
    <row r="58" spans="1:31" x14ac:dyDescent="0.35">
      <c r="A58" s="7" t="s">
        <v>131</v>
      </c>
      <c r="B58" s="7" t="s">
        <v>132</v>
      </c>
      <c r="C58" s="7" t="str">
        <f>B58</f>
        <v>TasteSmell</v>
      </c>
      <c r="D58" s="377" t="s">
        <v>127</v>
      </c>
      <c r="E58" s="124">
        <f ca="1">INDEX(INDIRECT("ExtWTP19_"&amp;$C58&amp;"_UnitValues"),MATCH(A$57, INDIRECT("ExtWTP19_Comps_"&amp;C58),0),MATCH("HH",ExtWTP_Group,0))</f>
        <v>38235</v>
      </c>
      <c r="F58" s="612">
        <f t="shared" ref="F58:G61" ca="1" si="51">INDEX(INDIRECT("SSW_WTPCore2_"&amp;$B58&amp;"_Levels"),1,MATCH(F$4,WTPCore2_AttLevels,0))</f>
        <v>1.6666666666666666E-2</v>
      </c>
      <c r="G58" s="612">
        <f t="shared" ca="1" si="51"/>
        <v>1.1111111111111112E-2</v>
      </c>
      <c r="H58" s="324">
        <f ca="1">INDEX(INDIRECT("SSW_WTPCore2_"&amp;$B58&amp;"_LevelValues"),1,MATCH("S1 MEAN",WTPCore2_LevelValues,0))</f>
        <v>0.30818609087835352</v>
      </c>
      <c r="I58" s="324">
        <f ca="1">INDEX(INDIRECT("SSW_WTPCore2_"&amp;$B58&amp;"_LevelValues"),1,MATCH("S2 MEAN",WTPCore2_LevelValues,0))</f>
        <v>0.18578205633963885</v>
      </c>
      <c r="J58" s="324">
        <f ca="1">SUM(H58:I58)</f>
        <v>0.49396814721799237</v>
      </c>
      <c r="K58" s="231">
        <f ca="1">E58*(F58-G58)</f>
        <v>212.41666666666663</v>
      </c>
      <c r="L58" s="89">
        <f ca="1">INDEX(INDIRECT("SSW_WTPCore_DCE_"&amp;$B58&amp;"_UnitValues"),MATCH("COMBINED-HH",WTPCore_Group,0),MATCH("MEAN",LMH,0))</f>
        <v>173.83878023943072</v>
      </c>
      <c r="M58" s="89">
        <f ca="1">L58*($F58-$G58)*(AllProps_SSW/HHProps_SSW)</f>
        <v>1.0194594594594593</v>
      </c>
      <c r="N58" s="89">
        <f ca="1">INDEX(INDIRECT("SSW_WTPCore2_"&amp;$B58&amp;"_UnitValues"),1,MATCH("MEAN",LMH,0))</f>
        <v>84.231716516748989</v>
      </c>
      <c r="O58" s="89">
        <f ca="1">N58*($F58-$G58)*(AllProps_SSW/HHProps_SSW)</f>
        <v>0.49396814721799237</v>
      </c>
      <c r="P58" s="324">
        <f ca="1">K58*N$63/K$62</f>
        <v>3.4079866336759577</v>
      </c>
      <c r="Q58" s="453" t="s">
        <v>127</v>
      </c>
      <c r="R58" s="391">
        <f ca="1">P58*HHProps_SSW/((F58-G58)*AllProps_SSW)</f>
        <v>581.13173012749075</v>
      </c>
      <c r="S58" s="612">
        <f t="shared" ref="S58:T61" ca="1" si="52">INDEX(INDIRECT("CAM_WTPCore2_"&amp;$B58&amp;"_Levels"),1,MATCH(S$4,WTPCore2_AttLevels,0))</f>
        <v>1.4285714285714285E-2</v>
      </c>
      <c r="T58" s="612">
        <f t="shared" ca="1" si="52"/>
        <v>0.01</v>
      </c>
      <c r="U58" s="324">
        <f ca="1">INDEX(INDIRECT("CAM_WTPCore2_"&amp;$B58&amp;"_LevelValues"),1,MATCH("S1 MEAN",WTPCore2_LevelValues,0))</f>
        <v>4.7204807663126298E-2</v>
      </c>
      <c r="V58" s="324">
        <f ca="1">INDEX(INDIRECT("CAM_WTPCore2_"&amp;$B58&amp;"_LevelValues"),1,MATCH("S2 MEAN",WTPCore2_LevelValues,0))</f>
        <v>0.1217094578997745</v>
      </c>
      <c r="W58" s="168">
        <f ca="1">SUM(U58:V58)</f>
        <v>0.16891426556290079</v>
      </c>
      <c r="X58" s="221">
        <f ca="1">E58*(S58-T58)</f>
        <v>163.8642857142857</v>
      </c>
      <c r="Y58" s="89">
        <f ca="1">INDEX(INDIRECT("CAM_WTPCore_"&amp;$B58&amp;"_UnitValues"),MATCH("COMBINED-HH",WTPCore_Group,0),MATCH("MEAN",LMH,0))</f>
        <v>207.69569571588755</v>
      </c>
      <c r="Z58" s="89">
        <f ca="1">Y58*($S58-$T58)*(AllProps_CAM/HHProps_CAM)</f>
        <v>0.94640816326530586</v>
      </c>
      <c r="AA58" s="89">
        <f ca="1">INDEX(INDIRECT("CAM_WTPCore2_"&amp;$B58&amp;"_UnitValues"),1,MATCH("MEAN",LMH,0))</f>
        <v>37.069382180075451</v>
      </c>
      <c r="AB58" s="89">
        <f ca="1">AA58*($S58-$T58)*(AllProps_CAM/HHProps_CAM)</f>
        <v>0.16891426556290079</v>
      </c>
      <c r="AC58" s="512">
        <f ca="1">X58*AA$63/X$62</f>
        <v>8.0616264244959588</v>
      </c>
      <c r="AD58" s="377" t="s">
        <v>127</v>
      </c>
      <c r="AE58" s="391">
        <f ca="1">AC58*HHProps_CAM/((S58-T58)*AllProps_CAM)</f>
        <v>1769.1786417610369</v>
      </c>
    </row>
    <row r="59" spans="1:31" x14ac:dyDescent="0.35">
      <c r="A59" s="7" t="s">
        <v>849</v>
      </c>
      <c r="B59" s="7" t="s">
        <v>138</v>
      </c>
      <c r="C59" s="7" t="s">
        <v>1009</v>
      </c>
      <c r="D59" s="377" t="s">
        <v>127</v>
      </c>
      <c r="E59" s="124">
        <f ca="1">INDEX(INDIRECT("ExtWTP19_"&amp;$C59&amp;"_UnitValues"),MATCH(A$57, INDIRECT("ExtWTP19_Comps_"&amp;C59),0),MATCH("HH",ExtWTP_Group,0))</f>
        <v>132</v>
      </c>
      <c r="F59" s="612">
        <f t="shared" ca="1" si="51"/>
        <v>1.4285714285714285E-2</v>
      </c>
      <c r="G59" s="612">
        <f t="shared" ca="1" si="51"/>
        <v>9.5238095238095247E-3</v>
      </c>
      <c r="H59" s="324">
        <f ca="1">INDEX(INDIRECT("SSW_WTPCore2_"&amp;$B59&amp;"_LevelValues"),1,MATCH("S1 MEAN",WTPCore2_LevelValues,0))</f>
        <v>0.39718669024665654</v>
      </c>
      <c r="I59" s="324">
        <f ca="1">INDEX(INDIRECT("SSW_WTPCore2_"&amp;$B59&amp;"_LevelValues"),1,MATCH("S2 MEAN",WTPCore2_LevelValues,0))</f>
        <v>0.53859352958370721</v>
      </c>
      <c r="J59" s="324">
        <f ca="1">SUM(H59:I59)</f>
        <v>0.93578021983036375</v>
      </c>
      <c r="K59" s="231">
        <f ca="1">E59*(F59-G59)</f>
        <v>0.62857142857142845</v>
      </c>
      <c r="L59" s="89">
        <f ca="1">INDEX(INDIRECT("SSW_WTPCore_DCE_"&amp;$B59&amp;"_UnitValues"),MATCH("COMBINED-HH",WTPCore_Group,0),MATCH("MEAN",LMH,0))</f>
        <v>162.10819588181059</v>
      </c>
      <c r="M59" s="89">
        <f ca="1">L59*($F59-$G59)*(AllProps_SSW/HHProps_SSW)</f>
        <v>0.8148571428571425</v>
      </c>
      <c r="N59" s="89">
        <f ca="1">INDEX(INDIRECT("SSW_WTPCore2_"&amp;$B59&amp;"_UnitValues"),1,MATCH("MEAN",LMH,0))</f>
        <v>186.16470937063306</v>
      </c>
      <c r="O59" s="89">
        <f ca="1">N59*($F59-$G59)*(AllProps_SSW/HHProps_SSW)</f>
        <v>0.93578021983036375</v>
      </c>
      <c r="P59" s="324">
        <f t="shared" ref="P59:P61" ca="1" si="53">K59*N$63/K$62</f>
        <v>1.0084721978259853E-2</v>
      </c>
      <c r="Q59" s="453" t="s">
        <v>127</v>
      </c>
      <c r="R59" s="391">
        <f ca="1">P59*HHProps_SSW/((F59-G59)*AllProps_SSW)</f>
        <v>2.0062609749399445</v>
      </c>
      <c r="S59" s="612">
        <f t="shared" ca="1" si="52"/>
        <v>2.5000000000000001E-2</v>
      </c>
      <c r="T59" s="612">
        <f t="shared" ca="1" si="52"/>
        <v>1.6666666666666666E-2</v>
      </c>
      <c r="U59" s="324">
        <f ca="1">INDEX(INDIRECT("CAM_WTPCore2_"&amp;$B59&amp;"_LevelValues"),1,MATCH("S1 MEAN",WTPCore2_LevelValues,0))</f>
        <v>5.3490671066612649E-2</v>
      </c>
      <c r="V59" s="324">
        <f ca="1">INDEX(INDIRECT("CAM_WTPCore2_"&amp;$B59&amp;"_LevelValues"),1,MATCH("S2 MEAN",WTPCore2_LevelValues,0))</f>
        <v>0.33457681646237136</v>
      </c>
      <c r="W59" s="168">
        <f ca="1">SUM(U59:V59)</f>
        <v>0.38806748752898401</v>
      </c>
      <c r="X59" s="221">
        <f ca="1">E59*(S59-T59)</f>
        <v>1.1000000000000003</v>
      </c>
      <c r="Y59" s="89">
        <f ca="1">INDEX(INDIRECT("CAM_WTPCore_"&amp;$B59&amp;"_UnitValues"),MATCH("COMBINED-HH",WTPCore_Group,0),MATCH("MEAN",LMH,0))</f>
        <v>28.26566546881222</v>
      </c>
      <c r="Z59" s="89">
        <f ca="1">Y59*($S59-$T59)*(AllProps_CAM/HHProps_CAM)</f>
        <v>0.25044117647058828</v>
      </c>
      <c r="AA59" s="89">
        <f ca="1">INDEX(INDIRECT("CAM_WTPCore2_"&amp;$B59&amp;"_UnitValues"),1,MATCH("MEAN",LMH,0))</f>
        <v>43.79865138952065</v>
      </c>
      <c r="AB59" s="89">
        <f ca="1">AA59*($S59-$T59)*(AllProps_CAM/HHProps_CAM)</f>
        <v>0.3880674875289839</v>
      </c>
      <c r="AC59" s="512">
        <f t="shared" ref="AC59:AC61" ca="1" si="54">X59*AA$63/X$62</f>
        <v>5.4116667511110154E-2</v>
      </c>
      <c r="AD59" s="377" t="s">
        <v>127</v>
      </c>
      <c r="AE59" s="391">
        <f ca="1">AC59*HHProps_CAM/((S59-T59)*AllProps_CAM)</f>
        <v>6.1077960170643868</v>
      </c>
    </row>
    <row r="60" spans="1:31" x14ac:dyDescent="0.35">
      <c r="A60" s="7" t="s">
        <v>1010</v>
      </c>
      <c r="B60" s="7" t="s">
        <v>144</v>
      </c>
      <c r="C60" s="7" t="str">
        <f>B60</f>
        <v>TempBan</v>
      </c>
      <c r="D60" s="377" t="s">
        <v>127</v>
      </c>
      <c r="E60" s="124">
        <f ca="1">INDEX(INDIRECT("ExtWTP19_"&amp;$C60&amp;"_UnitValues"),MATCH(A$57, INDIRECT("ExtWTP19_Comps_"&amp;C60),0),MATCH("HH",ExtWTP_Group,0))</f>
        <v>32</v>
      </c>
      <c r="F60" s="612">
        <f t="shared" ca="1" si="51"/>
        <v>2.5000000000000001E-2</v>
      </c>
      <c r="G60" s="612">
        <f t="shared" ca="1" si="51"/>
        <v>1.5384615384615385E-2</v>
      </c>
      <c r="H60" s="324">
        <f ca="1">INDEX(INDIRECT("SSW_WTPCore2_"&amp;$B60&amp;"_LevelValues"),1,MATCH("S1 MEAN",WTPCore2_LevelValues,0))</f>
        <v>0.4084226191643695</v>
      </c>
      <c r="I60" s="324">
        <f ca="1">INDEX(INDIRECT("SSW_WTPCore2_"&amp;$B60&amp;"_LevelValues"),1,MATCH("S2 MEAN",WTPCore2_LevelValues,0))</f>
        <v>0.28250000903457151</v>
      </c>
      <c r="J60" s="324">
        <f ca="1">SUM(H60:I60)</f>
        <v>0.69092262819894101</v>
      </c>
      <c r="K60" s="231">
        <f ca="1">E60*(F60-G60)</f>
        <v>0.30769230769230771</v>
      </c>
      <c r="L60" s="89">
        <f ca="1">INDEX(INDIRECT("SSW_WTPCore_DCE_"&amp;$B60&amp;"_UnitValues"),MATCH("COMBINED-HH",WTPCore_Group,0),MATCH("MEAN",LMH,0))</f>
        <v>245983.27199999994</v>
      </c>
      <c r="M60" s="89">
        <f ca="1">-L60*(F60-G60)/HHProps_SSW</f>
        <v>-4.3846153846153844E-3</v>
      </c>
      <c r="N60" s="89">
        <f ca="1">INDEX(INDIRECT("SSW_WTPCore2_"&amp;$B60&amp;"_UnitValues"),1,MATCH("MEAN",LMH,0))</f>
        <v>387617.59897926223</v>
      </c>
      <c r="O60" s="89">
        <f ca="1">N60*(F60-G60)/HHProps_SSW*100</f>
        <v>0.69092262819894101</v>
      </c>
      <c r="P60" s="324">
        <f t="shared" ca="1" si="53"/>
        <v>4.9365771921551739E-3</v>
      </c>
      <c r="Q60" s="457" t="s">
        <v>145</v>
      </c>
      <c r="R60" s="391">
        <f ca="1">P60*HHProps_SSW/((F60-G60)*100)</f>
        <v>2769.4912864367948</v>
      </c>
      <c r="S60" s="612">
        <f t="shared" ca="1" si="52"/>
        <v>0.05</v>
      </c>
      <c r="T60" s="612">
        <f t="shared" ca="1" si="52"/>
        <v>3.3333333333333333E-2</v>
      </c>
      <c r="U60" s="324">
        <f ca="1">INDEX(INDIRECT("CAM_WTPCore2_"&amp;$B60&amp;"_LevelValues"),1,MATCH("S1 MEAN",WTPCore2_LevelValues,0))</f>
        <v>0.15591350717379643</v>
      </c>
      <c r="V60" s="324">
        <f ca="1">INDEX(INDIRECT("CAM_WTPCore2_"&amp;$B60&amp;"_LevelValues"),1,MATCH("S2 MEAN",WTPCore2_LevelValues,0))</f>
        <v>5.0130987785217407E-2</v>
      </c>
      <c r="W60" s="168">
        <f ca="1">SUM(U60:V60)</f>
        <v>0.20604449495901384</v>
      </c>
      <c r="X60" s="221">
        <f ca="1">E60*(S60-T60)</f>
        <v>0.53333333333333344</v>
      </c>
      <c r="Y60" s="89">
        <f ca="1">INDEX(INDIRECT("CAM_WTPCore_"&amp;$B60&amp;"_UnitValues"),MATCH("COMBINED-HH",WTPCore_Group,0),MATCH("MEAN",LMH,0))</f>
        <v>469608.19199999986</v>
      </c>
      <c r="Z60" s="89">
        <f ca="1">Y60*(S60-T60)/HHProps_CAM*100</f>
        <v>5.76</v>
      </c>
      <c r="AA60" s="89">
        <f ca="1">INDEX(INDIRECT("CAM_WTPCore2_"&amp;$B60&amp;"_UnitValues"),1,MATCH("MEAN",LMH,0))</f>
        <v>16798.64283841243</v>
      </c>
      <c r="AB60" s="89">
        <f ca="1">AA60*(S60-T60)/HHProps_CAM*100</f>
        <v>0.20604449495901386</v>
      </c>
      <c r="AC60" s="512">
        <f t="shared" ca="1" si="54"/>
        <v>2.6238384247810984E-2</v>
      </c>
      <c r="AD60" s="477" t="s">
        <v>145</v>
      </c>
      <c r="AE60" s="391">
        <f ca="1">AC60*HHProps_CAM/((S60-T60)*100)</f>
        <v>2139.1944770166306</v>
      </c>
    </row>
    <row r="61" spans="1:31" x14ac:dyDescent="0.35">
      <c r="A61" s="7" t="s">
        <v>40</v>
      </c>
      <c r="B61" s="7" t="s">
        <v>40</v>
      </c>
      <c r="C61" s="7" t="str">
        <f>B61</f>
        <v>Leakage</v>
      </c>
      <c r="D61" s="377" t="s">
        <v>1168</v>
      </c>
      <c r="E61" s="124">
        <f ca="1">INDEX(INDIRECT("ExtWTP19_"&amp;$C61&amp;"_UnitValues"),MATCH(A$57, INDIRECT("ExtWTP19_Comps_"&amp;C61),0),MATCH("HH",ExtWTP_Group,0))</f>
        <v>390688</v>
      </c>
      <c r="F61" s="325">
        <f t="shared" ca="1" si="51"/>
        <v>70.5</v>
      </c>
      <c r="G61" s="325">
        <f t="shared" ca="1" si="51"/>
        <v>35.25</v>
      </c>
      <c r="H61" s="324">
        <f ca="1">INDEX(INDIRECT("SSW_WTPCore2_"&amp;$B61&amp;"_LevelValues"),1,MATCH("S1 MEAN",WTPCore2_LevelValues,0))</f>
        <v>1.2301339708448666</v>
      </c>
      <c r="I61" s="324">
        <f ca="1">INDEX(INDIRECT("SSW_WTPCore2_"&amp;$B61&amp;"_LevelValues"),1,MATCH("S2 MEAN",WTPCore2_LevelValues,0))</f>
        <v>0.44133293088857806</v>
      </c>
      <c r="J61" s="324">
        <f ca="1">SUM(H61:I61)</f>
        <v>1.6714669017334447</v>
      </c>
      <c r="K61" s="231">
        <f ca="1">E61*(F61-G61)/AllProps_SSW</f>
        <v>24.185365939324758</v>
      </c>
      <c r="L61" s="89">
        <f ca="1">INDEX(INDIRECT("SSW_WTPCore_DCE_"&amp;$B61&amp;"_UnitValues"),MATCH("COMBINED-HH",WTPCore_Group,0),MATCH("MEAN",LMH,0))</f>
        <v>30606.35460992908</v>
      </c>
      <c r="M61" s="89">
        <f ca="1">L61*(F61-G61)/HHProps_SSW</f>
        <v>2</v>
      </c>
      <c r="N61" s="89">
        <f ca="1">INDEX(INDIRECT("SSW_WTPCore2_"&amp;$B61&amp;"_UnitValues"),1,MATCH("MEAN",LMH,0))</f>
        <v>25578.754356606645</v>
      </c>
      <c r="O61" s="89">
        <f ca="1">N61*(F61-G61)/HHProps_SSW</f>
        <v>1.6714669017334447</v>
      </c>
      <c r="P61" s="324">
        <f t="shared" ca="1" si="53"/>
        <v>0.38802700910999088</v>
      </c>
      <c r="Q61" s="453" t="s">
        <v>1168</v>
      </c>
      <c r="R61" s="469">
        <f ca="1">P61*HHProps_SSW/((F61-G61))</f>
        <v>5938.046119525281</v>
      </c>
      <c r="S61" s="325">
        <f t="shared" ca="1" si="52"/>
        <v>13.5</v>
      </c>
      <c r="T61" s="325">
        <f t="shared" ca="1" si="52"/>
        <v>6.75</v>
      </c>
      <c r="U61" s="324">
        <f ca="1">INDEX(INDIRECT("CAM_WTPCore2_"&amp;$B61&amp;"_LevelValues"),1,MATCH("S1 MEAN",WTPCore2_LevelValues,0))</f>
        <v>3.1349723048319831</v>
      </c>
      <c r="V61" s="324">
        <f ca="1">INDEX(INDIRECT("CAM_WTPCore2_"&amp;$B61&amp;"_LevelValues"),1,MATCH("S2 MEAN",WTPCore2_LevelValues,0))</f>
        <v>5.1405797633106154E-3</v>
      </c>
      <c r="W61" s="168">
        <f ca="1">SUM(U61:V61)</f>
        <v>3.1401128845952937</v>
      </c>
      <c r="X61" s="221">
        <f ca="1">E61*(S61-T61)/AllProps_CAM</f>
        <v>18.25341583952822</v>
      </c>
      <c r="Y61" s="89">
        <f ca="1">INDEX(INDIRECT("CAM_WTPCore_"&amp;$B61&amp;"_UnitValues"),MATCH("COMBINED-HH",WTPCore_Group,0),MATCH("MEAN",LMH,0))</f>
        <v>145343.41333333333</v>
      </c>
      <c r="Z61" s="89">
        <f ca="1">Y61*(S61-T61)/HHProps_CAM</f>
        <v>7.2200000000000006</v>
      </c>
      <c r="AA61" s="89">
        <f ca="1">INDEX(INDIRECT("CAM_WTPCore2_"&amp;$B61&amp;"_UnitValues"),1,MATCH("MEAN",LMH,0))</f>
        <v>63212.565775492993</v>
      </c>
      <c r="AB61" s="89">
        <f ca="1">AA61*(S61-T61)/HHProps_CAM</f>
        <v>3.1401128845952937</v>
      </c>
      <c r="AC61" s="512">
        <f t="shared" ca="1" si="54"/>
        <v>0.89801275993616381</v>
      </c>
      <c r="AD61" s="377" t="s">
        <v>1168</v>
      </c>
      <c r="AE61" s="391">
        <f ca="1">AC61*HHProps_CAM/((S61-T61))</f>
        <v>18077.595532688269</v>
      </c>
    </row>
    <row r="62" spans="1:31" x14ac:dyDescent="0.35">
      <c r="D62" s="377"/>
      <c r="E62" s="124"/>
      <c r="F62" s="324"/>
      <c r="G62" s="324"/>
      <c r="H62" s="324"/>
      <c r="I62" s="324"/>
      <c r="J62" s="330">
        <f ca="1">SUM(J58:J61)</f>
        <v>3.7921378969807416</v>
      </c>
      <c r="K62" s="331">
        <f ca="1">SUM(K58:K61)</f>
        <v>237.53829634225514</v>
      </c>
      <c r="L62" s="331"/>
      <c r="M62" s="331">
        <f ca="1">SUM(M57:M61)</f>
        <v>3.8299319869319861</v>
      </c>
      <c r="N62" s="331"/>
      <c r="O62" s="223">
        <f ca="1">SUM(O57:O61)</f>
        <v>3.7921378969807416</v>
      </c>
      <c r="P62" s="330">
        <f ca="1">SUM(P58:P61)</f>
        <v>3.8110349419563638</v>
      </c>
      <c r="Q62" s="459"/>
      <c r="R62" s="466"/>
      <c r="S62" s="512"/>
      <c r="T62" s="512"/>
      <c r="U62" s="512"/>
      <c r="V62" s="512"/>
      <c r="W62" s="44">
        <f ca="1">SUM(W58:W61)</f>
        <v>3.9031391326461922</v>
      </c>
      <c r="X62" s="389">
        <f ca="1">SUM(X58:X61)</f>
        <v>183.75103488714726</v>
      </c>
      <c r="Y62" s="331"/>
      <c r="Z62" s="331">
        <f ca="1">SUM(Z57:Z61)</f>
        <v>14.176849339735895</v>
      </c>
      <c r="AA62" s="331"/>
      <c r="AB62" s="331">
        <f ca="1">SUM(AB57:AB61)</f>
        <v>3.9031391326461922</v>
      </c>
      <c r="AC62" s="44">
        <f ca="1">SUM(AC58:AC61)</f>
        <v>9.0399942361910437</v>
      </c>
      <c r="AE62" s="391"/>
    </row>
    <row r="63" spans="1:31" s="50" customFormat="1" x14ac:dyDescent="0.35">
      <c r="D63" s="379"/>
      <c r="E63" s="14"/>
      <c r="F63" s="409"/>
      <c r="G63" s="409"/>
      <c r="H63" s="409"/>
      <c r="I63" s="409"/>
      <c r="J63" s="409"/>
      <c r="K63" s="613"/>
      <c r="L63" s="613"/>
      <c r="M63" s="163" t="s">
        <v>361</v>
      </c>
      <c r="N63" s="546">
        <f ca="1">AVERAGE(M62,O62)</f>
        <v>3.8110349419563638</v>
      </c>
      <c r="O63" s="163"/>
      <c r="P63" s="134"/>
      <c r="Q63" s="458"/>
      <c r="R63" s="467"/>
      <c r="S63" s="152"/>
      <c r="T63" s="152"/>
      <c r="U63" s="152"/>
      <c r="V63" s="152"/>
      <c r="W63" s="13"/>
      <c r="X63" s="613"/>
      <c r="Y63" s="613"/>
      <c r="Z63" s="163" t="s">
        <v>361</v>
      </c>
      <c r="AA63" s="546">
        <f ca="1">AVERAGE(Z62,AB62)</f>
        <v>9.0399942361910437</v>
      </c>
      <c r="AB63" s="163"/>
      <c r="AC63" s="134"/>
      <c r="AE63" s="392"/>
    </row>
    <row r="64" spans="1:31" x14ac:dyDescent="0.35">
      <c r="A64" s="51" t="s">
        <v>97</v>
      </c>
      <c r="B64" s="51"/>
      <c r="D64" s="378"/>
      <c r="E64" s="218"/>
      <c r="F64" s="218"/>
      <c r="G64" s="218"/>
      <c r="H64" s="330"/>
      <c r="I64" s="330"/>
      <c r="J64" s="330"/>
      <c r="K64" s="389"/>
      <c r="L64" s="389"/>
      <c r="M64" s="389"/>
      <c r="N64" s="89"/>
      <c r="O64" s="389"/>
      <c r="P64" s="45"/>
      <c r="Q64" s="456"/>
      <c r="R64" s="468"/>
      <c r="S64" s="45"/>
      <c r="T64" s="45"/>
      <c r="U64" s="44"/>
      <c r="V64" s="44"/>
      <c r="W64" s="44"/>
      <c r="X64" s="389"/>
      <c r="Y64" s="389"/>
      <c r="Z64" s="389"/>
      <c r="AA64" s="89"/>
      <c r="AB64" s="389"/>
      <c r="AC64" s="45"/>
      <c r="AE64" s="393"/>
    </row>
    <row r="65" spans="1:31" x14ac:dyDescent="0.35">
      <c r="A65" s="7" t="s">
        <v>849</v>
      </c>
      <c r="B65" s="7" t="s">
        <v>138</v>
      </c>
      <c r="C65" s="7" t="s">
        <v>1009</v>
      </c>
      <c r="D65" s="377" t="s">
        <v>127</v>
      </c>
      <c r="E65" s="124">
        <f ca="1">INDEX(INDIRECT("ExtWTP19_"&amp;$C65&amp;"_UnitValues"),MATCH(A$64, INDIRECT("ExtWTP19_Comps_"&amp;C65),0),MATCH("HH",ExtWTP_Group,0))</f>
        <v>1312</v>
      </c>
      <c r="F65" s="612">
        <f t="shared" ref="F65:G68" ca="1" si="55">INDEX(INDIRECT("SSW_WTPCore2_"&amp;$B65&amp;"_Levels"),1,MATCH(F$4,WTPCore2_AttLevels,0))</f>
        <v>1.4285714285714285E-2</v>
      </c>
      <c r="G65" s="612">
        <f t="shared" ca="1" si="55"/>
        <v>9.5238095238095247E-3</v>
      </c>
      <c r="H65" s="324">
        <f ca="1">INDEX(INDIRECT("SSW_WTPCore2_"&amp;$B65&amp;"_LevelValues"),1,MATCH("S1 MEAN",WTPCore2_LevelValues,0))</f>
        <v>0.39718669024665654</v>
      </c>
      <c r="I65" s="324">
        <f ca="1">INDEX(INDIRECT("SSW_WTPCore2_"&amp;$B65&amp;"_LevelValues"),1,MATCH("S2 MEAN",WTPCore2_LevelValues,0))</f>
        <v>0.53859352958370721</v>
      </c>
      <c r="J65" s="324">
        <f ca="1">SUM(H65:I65)</f>
        <v>0.93578021983036375</v>
      </c>
      <c r="K65" s="231">
        <f ca="1">E65*(F65-G65)</f>
        <v>6.2476190476190459</v>
      </c>
      <c r="L65" s="89">
        <f ca="1">INDEX(INDIRECT("SSW_WTPCore_DCE_"&amp;$B65&amp;"_UnitValues"),MATCH("COMBINED-HH",WTPCore_Group,0),MATCH("MEAN",LMH,0))</f>
        <v>162.10819588181059</v>
      </c>
      <c r="M65" s="89">
        <f ca="1">L65*($F65-$G65)*(AllProps_SSW/HHProps_SSW)</f>
        <v>0.8148571428571425</v>
      </c>
      <c r="N65" s="89">
        <f ca="1">INDEX(INDIRECT("SSW_WTPCore2_"&amp;$B65&amp;"_UnitValues"),1,MATCH("MEAN",LMH,0))</f>
        <v>186.16470937063306</v>
      </c>
      <c r="O65" s="89">
        <f ca="1">N65*($F65-$G65)*(AllProps_SSW/HHProps_SSW)</f>
        <v>0.93578021983036375</v>
      </c>
      <c r="P65" s="324">
        <f ca="1">K65*N$70/K$69</f>
        <v>3.7514047744655175</v>
      </c>
      <c r="Q65" s="453" t="s">
        <v>127</v>
      </c>
      <c r="R65" s="391">
        <f ca="1">P65*HHProps_SSW/((F65-G65)*AllProps_SSW)</f>
        <v>746.30684082698292</v>
      </c>
      <c r="S65" s="612">
        <f t="shared" ref="S65:T68" ca="1" si="56">INDEX(INDIRECT("CAM_WTPCore2_"&amp;$B65&amp;"_Levels"),1,MATCH(S$4,WTPCore2_AttLevels,0))</f>
        <v>2.5000000000000001E-2</v>
      </c>
      <c r="T65" s="612">
        <f t="shared" ca="1" si="56"/>
        <v>1.6666666666666666E-2</v>
      </c>
      <c r="U65" s="324">
        <f ca="1">INDEX(INDIRECT("CAM_WTPCore2_"&amp;$B65&amp;"_LevelValues"),1,MATCH("S1 MEAN",WTPCore2_LevelValues,0))</f>
        <v>5.3490671066612649E-2</v>
      </c>
      <c r="V65" s="324">
        <f ca="1">INDEX(INDIRECT("CAM_WTPCore2_"&amp;$B65&amp;"_LevelValues"),1,MATCH("S2 MEAN",WTPCore2_LevelValues,0))</f>
        <v>0.33457681646237136</v>
      </c>
      <c r="W65" s="168">
        <f ca="1">SUM(U65:V65)</f>
        <v>0.38806748752898401</v>
      </c>
      <c r="X65" s="221">
        <f ca="1">E65*(S65-T65)</f>
        <v>10.933333333333335</v>
      </c>
      <c r="Y65" s="89">
        <f ca="1">INDEX(INDIRECT("CAM_WTPCore_"&amp;$B65&amp;"_UnitValues"),MATCH("COMBINED-HH",WTPCore_Group,0),MATCH("MEAN",LMH,0))</f>
        <v>28.26566546881222</v>
      </c>
      <c r="Z65" s="89">
        <f ca="1">Y65*($S65-$T65)*(AllProps_CAM/HHProps_CAM)</f>
        <v>0.25044117647058828</v>
      </c>
      <c r="AA65" s="89">
        <f ca="1">INDEX(INDIRECT("CAM_WTPCore2_"&amp;$B65&amp;"_UnitValues"),1,MATCH("MEAN",LMH,0))</f>
        <v>43.79865138952065</v>
      </c>
      <c r="AB65" s="89">
        <f ca="1">AA65*($S65-$T65)*(AllProps_CAM/HHProps_CAM)</f>
        <v>0.3880674875289839</v>
      </c>
      <c r="AC65" s="512">
        <f ca="1">X65*AA$70/X$69</f>
        <v>1.988207526477118</v>
      </c>
      <c r="AD65" s="377" t="s">
        <v>127</v>
      </c>
      <c r="AE65" s="391">
        <f ca="1">AC65*HHProps_CAM/((S65-T65)*AllProps_CAM)</f>
        <v>224.39604228810475</v>
      </c>
    </row>
    <row r="66" spans="1:31" x14ac:dyDescent="0.35">
      <c r="A66" s="7" t="s">
        <v>1010</v>
      </c>
      <c r="B66" s="7" t="s">
        <v>144</v>
      </c>
      <c r="C66" s="7" t="str">
        <f>B66</f>
        <v>TempBan</v>
      </c>
      <c r="D66" s="377" t="s">
        <v>127</v>
      </c>
      <c r="E66" s="124">
        <f ca="1">INDEX(INDIRECT("ExtWTP19_"&amp;$C66&amp;"_UnitValues"),MATCH(A$64, INDIRECT("ExtWTP19_Comps_"&amp;C66),0),MATCH("HH",ExtWTP_Group,0))</f>
        <v>0</v>
      </c>
      <c r="F66" s="612">
        <f t="shared" ca="1" si="55"/>
        <v>2.5000000000000001E-2</v>
      </c>
      <c r="G66" s="612">
        <f t="shared" ca="1" si="55"/>
        <v>1.5384615384615385E-2</v>
      </c>
      <c r="H66" s="324">
        <f ca="1">INDEX(INDIRECT("SSW_WTPCore2_"&amp;$B66&amp;"_LevelValues"),1,MATCH("S1 MEAN",WTPCore2_LevelValues,0))</f>
        <v>0.4084226191643695</v>
      </c>
      <c r="I66" s="324">
        <f ca="1">INDEX(INDIRECT("SSW_WTPCore2_"&amp;$B66&amp;"_LevelValues"),1,MATCH("S2 MEAN",WTPCore2_LevelValues,0))</f>
        <v>0.28250000903457151</v>
      </c>
      <c r="J66" s="324">
        <f ca="1">SUM(H66:I66)</f>
        <v>0.69092262819894101</v>
      </c>
      <c r="K66" s="231">
        <f ca="1">E66*(F66-G66)</f>
        <v>0</v>
      </c>
      <c r="L66" s="89">
        <f ca="1">INDEX(INDIRECT("SSW_WTPCore_DCE_"&amp;$B66&amp;"_UnitValues"),MATCH("COMBINED-HH",WTPCore_Group,0),MATCH("MEAN",LMH,0))</f>
        <v>245983.27199999994</v>
      </c>
      <c r="M66" s="89">
        <f ca="1">-L66*(F66-G66)/HHProps_SSW</f>
        <v>-4.3846153846153844E-3</v>
      </c>
      <c r="N66" s="89">
        <f ca="1">INDEX(INDIRECT("SSW_WTPCore2_"&amp;$B66&amp;"_UnitValues"),1,MATCH("MEAN",LMH,0))</f>
        <v>387617.59897926223</v>
      </c>
      <c r="O66" s="89">
        <f ca="1">N66*(F66-G66)/HHProps_SSW*100</f>
        <v>0.69092262819894101</v>
      </c>
      <c r="P66" s="324">
        <f t="shared" ref="P66:P68" ca="1" si="57">K66*N$70/K$69</f>
        <v>0</v>
      </c>
      <c r="Q66" s="457" t="s">
        <v>145</v>
      </c>
      <c r="R66" s="391">
        <f ca="1">P66*HHProps_SSW/((F66-G66)*100)</f>
        <v>0</v>
      </c>
      <c r="S66" s="612">
        <f t="shared" ca="1" si="56"/>
        <v>0.05</v>
      </c>
      <c r="T66" s="612">
        <f t="shared" ca="1" si="56"/>
        <v>3.3333333333333333E-2</v>
      </c>
      <c r="U66" s="324">
        <f ca="1">INDEX(INDIRECT("CAM_WTPCore2_"&amp;$B66&amp;"_LevelValues"),1,MATCH("S1 MEAN",WTPCore2_LevelValues,0))</f>
        <v>0.15591350717379643</v>
      </c>
      <c r="V66" s="324">
        <f ca="1">INDEX(INDIRECT("CAM_WTPCore2_"&amp;$B66&amp;"_LevelValues"),1,MATCH("S2 MEAN",WTPCore2_LevelValues,0))</f>
        <v>5.0130987785217407E-2</v>
      </c>
      <c r="W66" s="168">
        <f ca="1">SUM(U66:V66)</f>
        <v>0.20604449495901384</v>
      </c>
      <c r="X66" s="221">
        <f ca="1">E66*(S66-T66)</f>
        <v>0</v>
      </c>
      <c r="Y66" s="89">
        <f ca="1">INDEX(INDIRECT("CAM_WTPCore_"&amp;$B66&amp;"_UnitValues"),MATCH("COMBINED-HH",WTPCore_Group,0),MATCH("MEAN",LMH,0))</f>
        <v>469608.19199999986</v>
      </c>
      <c r="Z66" s="89">
        <f ca="1">Y66*(S66-T66)/HHProps_CAM*100</f>
        <v>5.76</v>
      </c>
      <c r="AA66" s="89">
        <f ca="1">INDEX(INDIRECT("CAM_WTPCore2_"&amp;$B66&amp;"_UnitValues"),1,MATCH("MEAN",LMH,0))</f>
        <v>16798.64283841243</v>
      </c>
      <c r="AB66" s="89">
        <f ca="1">AA66*(S66-T66)/HHProps_CAM*100</f>
        <v>0.20604449495901386</v>
      </c>
      <c r="AC66" s="512">
        <f t="shared" ref="AC66:AC68" ca="1" si="58">X66*AA$70/X$69</f>
        <v>0</v>
      </c>
      <c r="AD66" s="477" t="s">
        <v>145</v>
      </c>
      <c r="AE66" s="391">
        <f ca="1">AC66*HHProps_CAM/((S66-T66)*100)</f>
        <v>0</v>
      </c>
    </row>
    <row r="67" spans="1:31" x14ac:dyDescent="0.35">
      <c r="A67" s="7" t="s">
        <v>40</v>
      </c>
      <c r="B67" s="7" t="s">
        <v>40</v>
      </c>
      <c r="C67" s="7" t="str">
        <f>B67</f>
        <v>Leakage</v>
      </c>
      <c r="D67" s="377" t="s">
        <v>1168</v>
      </c>
      <c r="E67" s="124">
        <f ca="1">INDEX(INDIRECT("ExtWTP19_"&amp;$C67&amp;"_UnitValues"),MATCH(A$64, INDIRECT("ExtWTP19_Comps_"&amp;C67),0),MATCH("HH",ExtWTP_Group,0))</f>
        <v>753888</v>
      </c>
      <c r="F67" s="325">
        <f t="shared" ca="1" si="55"/>
        <v>70.5</v>
      </c>
      <c r="G67" s="325">
        <f t="shared" ca="1" si="55"/>
        <v>35.25</v>
      </c>
      <c r="H67" s="324">
        <f ca="1">INDEX(INDIRECT("SSW_WTPCore2_"&amp;$B67&amp;"_LevelValues"),1,MATCH("S1 MEAN",WTPCore2_LevelValues,0))</f>
        <v>1.2301339708448666</v>
      </c>
      <c r="I67" s="324">
        <f ca="1">INDEX(INDIRECT("SSW_WTPCore2_"&amp;$B67&amp;"_LevelValues"),1,MATCH("S2 MEAN",WTPCore2_LevelValues,0))</f>
        <v>0.44133293088857806</v>
      </c>
      <c r="J67" s="324">
        <f ca="1">SUM(H67:I67)</f>
        <v>1.6714669017334447</v>
      </c>
      <c r="K67" s="231">
        <f ca="1">E67*(F67-G67)/AllProps_SSW</f>
        <v>46.669099530227861</v>
      </c>
      <c r="L67" s="89">
        <f ca="1">INDEX(INDIRECT("SSW_WTPCore_DCE_"&amp;$B67&amp;"_UnitValues"),MATCH("COMBINED-HH",WTPCore_Group,0),MATCH("MEAN",LMH,0))</f>
        <v>30606.35460992908</v>
      </c>
      <c r="M67" s="89">
        <f ca="1">L67*(F67-G67)/HHProps_SSW</f>
        <v>2</v>
      </c>
      <c r="N67" s="89">
        <f ca="1">INDEX(INDIRECT("SSW_WTPCore2_"&amp;$B67&amp;"_UnitValues"),1,MATCH("MEAN",LMH,0))</f>
        <v>25578.754356606645</v>
      </c>
      <c r="O67" s="89">
        <f ca="1">N67*(F67-G67)/HHProps_SSW</f>
        <v>1.6714669017334447</v>
      </c>
      <c r="P67" s="324">
        <f t="shared" ca="1" si="57"/>
        <v>28.022624533168973</v>
      </c>
      <c r="Q67" s="453" t="s">
        <v>1168</v>
      </c>
      <c r="R67" s="391">
        <f ca="1">P67*HHProps_SSW/((F67-G67))</f>
        <v>428835.19178153394</v>
      </c>
      <c r="S67" s="325">
        <f t="shared" ca="1" si="56"/>
        <v>13.5</v>
      </c>
      <c r="T67" s="325">
        <f t="shared" ca="1" si="56"/>
        <v>6.75</v>
      </c>
      <c r="U67" s="324">
        <f ca="1">INDEX(INDIRECT("CAM_WTPCore2_"&amp;$B67&amp;"_LevelValues"),1,MATCH("S1 MEAN",WTPCore2_LevelValues,0))</f>
        <v>3.1349723048319831</v>
      </c>
      <c r="V67" s="324">
        <f ca="1">INDEX(INDIRECT("CAM_WTPCore2_"&amp;$B67&amp;"_LevelValues"),1,MATCH("S2 MEAN",WTPCore2_LevelValues,0))</f>
        <v>5.1405797633106154E-3</v>
      </c>
      <c r="W67" s="168">
        <f ca="1">SUM(U67:V67)</f>
        <v>3.1401128845952937</v>
      </c>
      <c r="X67" s="221">
        <f ca="1">E67*(S67-T67)/AllProps_CAM</f>
        <v>35.222559076373607</v>
      </c>
      <c r="Y67" s="89">
        <f ca="1">INDEX(INDIRECT("CAM_WTPCore_"&amp;$B67&amp;"_UnitValues"),MATCH("COMBINED-HH",WTPCore_Group,0),MATCH("MEAN",LMH,0))</f>
        <v>145343.41333333333</v>
      </c>
      <c r="Z67" s="89">
        <f ca="1">Y67*(S67-T67)/HHProps_CAM</f>
        <v>7.2200000000000006</v>
      </c>
      <c r="AA67" s="89">
        <f ca="1">INDEX(INDIRECT("CAM_WTPCore2_"&amp;$B67&amp;"_UnitValues"),1,MATCH("MEAN",LMH,0))</f>
        <v>63212.565775492993</v>
      </c>
      <c r="AB67" s="89">
        <f ca="1">AA67*(S67-T67)/HHProps_CAM</f>
        <v>3.1401128845952937</v>
      </c>
      <c r="AC67" s="512">
        <f ca="1">X67*AA$70/X$69</f>
        <v>6.4051607064723406</v>
      </c>
      <c r="AD67" s="377" t="s">
        <v>1168</v>
      </c>
      <c r="AE67" s="391">
        <f ca="1">AC67*HHProps_CAM/((S67-T67))</f>
        <v>128940.15512842586</v>
      </c>
    </row>
    <row r="68" spans="1:31" x14ac:dyDescent="0.35">
      <c r="A68" s="7" t="s">
        <v>726</v>
      </c>
      <c r="B68" s="7" t="s">
        <v>154</v>
      </c>
      <c r="C68" s="7" t="str">
        <f>B68</f>
        <v>Wildlife</v>
      </c>
      <c r="D68" s="377" t="s">
        <v>155</v>
      </c>
      <c r="E68" s="124">
        <f ca="1">INDEX(INDIRECT("ExtWTP19_"&amp;$C68&amp;"_UnitValues"),MATCH(A$64, INDIRECT("ExtWTP19_Comps_"&amp;C68),0),MATCH("HH",ExtWTP_Group,0))</f>
        <v>61013</v>
      </c>
      <c r="F68" s="325">
        <f t="shared" ca="1" si="55"/>
        <v>0</v>
      </c>
      <c r="G68" s="325">
        <f t="shared" ca="1" si="55"/>
        <v>50</v>
      </c>
      <c r="H68" s="324">
        <f ca="1">INDEX(INDIRECT("SSW_WTPCore2_"&amp;$B68&amp;"_LevelValues"),1,MATCH("S1 MEAN",WTPCore2_LevelValues,0))</f>
        <v>0.31132700138064179</v>
      </c>
      <c r="I68" s="324">
        <f ca="1">INDEX(INDIRECT("SSW_WTPCore2_"&amp;$B68&amp;"_LevelValues"),1,MATCH("S2 MEAN",WTPCore2_LevelValues,0))</f>
        <v>0.13284027031511708</v>
      </c>
      <c r="J68" s="324">
        <f ca="1">SUM(H68:I68)</f>
        <v>0.44416727169575887</v>
      </c>
      <c r="K68" s="231">
        <f ca="1">-E68*(F68-G68)/AllProps_SSW</f>
        <v>5.3574219607498792</v>
      </c>
      <c r="L68" s="89">
        <f ca="1">INDEX(INDIRECT("SSW_WTPCore_DCE_"&amp;$B68&amp;"_UnitValues"),MATCH("COMBINED-HH",WTPCore_Group,0),MATCH("MEAN",LMH,0))</f>
        <v>10249.302999999998</v>
      </c>
      <c r="M68" s="89">
        <f ca="1">-L68*(F68-G68)/HHProps_SSW</f>
        <v>0.94999999999999984</v>
      </c>
      <c r="N68" s="89">
        <f ca="1">INDEX(INDIRECT("SSW_WTPCore2_"&amp;$B68&amp;"_UnitValues"),1,MATCH("MEAN",LMH,0))</f>
        <v>4792.0052108349018</v>
      </c>
      <c r="O68" s="89">
        <f ca="1">-N68*(F68-G68)/HHProps_SSW</f>
        <v>0.44416727169575887</v>
      </c>
      <c r="P68" s="324">
        <f t="shared" ca="1" si="57"/>
        <v>3.2168828107473617</v>
      </c>
      <c r="Q68" s="453" t="s">
        <v>155</v>
      </c>
      <c r="R68" s="391">
        <f ca="1">-P68*HHProps_SSW/((F68-G68))</f>
        <v>34706.112255622495</v>
      </c>
      <c r="S68" s="325">
        <f t="shared" ca="1" si="56"/>
        <v>0</v>
      </c>
      <c r="T68" s="325">
        <f t="shared" ca="1" si="56"/>
        <v>9</v>
      </c>
      <c r="U68" s="324">
        <f ca="1">INDEX(INDIRECT("CAM_WTPCore2_"&amp;$B68&amp;"_LevelValues"),1,MATCH("S1 MEAN",WTPCore2_LevelValues,0))</f>
        <v>0.16524275196632074</v>
      </c>
      <c r="V68" s="324">
        <f ca="1">INDEX(INDIRECT("CAM_WTPCore2_"&amp;$B68&amp;"_LevelValues"),1,MATCH("S2 MEAN",WTPCore2_LevelValues,0))</f>
        <v>2.2165878650139109E-2</v>
      </c>
      <c r="W68" s="168">
        <f ca="1">SUM(U68:V68)</f>
        <v>0.18740863061645985</v>
      </c>
      <c r="X68" s="221">
        <f ca="1">-E68*(S68-T68)/AllProps_CAM</f>
        <v>3.8008015283026704</v>
      </c>
      <c r="Y68" s="89">
        <f ca="1">INDEX(INDIRECT("CAM_WTPCore_"&amp;$B68&amp;"_UnitValues"),MATCH("COMBINED-HH",WTPCore_Group,0),MATCH("MEAN",LMH,0))</f>
        <v>15354.666000000001</v>
      </c>
      <c r="Z68" s="89">
        <f ca="1">-Y68*(S68-T68)/HHProps_CAM</f>
        <v>1.0170000000000001</v>
      </c>
      <c r="AA68" s="89">
        <f ca="1">INDEX(INDIRECT("CAM_WTPCore2_"&amp;$B68&amp;"_UnitValues"),1,MATCH("MEAN",LMH,0))</f>
        <v>2829.4955050473109</v>
      </c>
      <c r="AB68" s="89">
        <f ca="1">-AA68*(S68-T68)/HHProps_CAM</f>
        <v>0.18740863061645985</v>
      </c>
      <c r="AC68" s="512">
        <f t="shared" ca="1" si="58"/>
        <v>0.69116910413571042</v>
      </c>
      <c r="AD68" s="377" t="s">
        <v>155</v>
      </c>
      <c r="AE68" s="391">
        <f ca="1">-AC68*HHProps_CAM/((S68-T68))</f>
        <v>10435.271134240955</v>
      </c>
    </row>
    <row r="69" spans="1:31" x14ac:dyDescent="0.35">
      <c r="D69" s="377"/>
      <c r="E69" s="124"/>
      <c r="F69" s="612"/>
      <c r="G69" s="612"/>
      <c r="H69" s="324"/>
      <c r="I69" s="324"/>
      <c r="J69" s="330">
        <f ca="1">SUM(J65:J68)</f>
        <v>3.7423370214585083</v>
      </c>
      <c r="K69" s="331">
        <f ca="1">SUM(K65:K66)</f>
        <v>6.2476190476190459</v>
      </c>
      <c r="L69" s="331"/>
      <c r="M69" s="331">
        <f ca="1">SUM(M64:M68)</f>
        <v>3.7604725274725266</v>
      </c>
      <c r="N69" s="331"/>
      <c r="O69" s="223">
        <f ca="1">SUM(O64:O68)</f>
        <v>3.7423370214585083</v>
      </c>
      <c r="P69" s="330">
        <f ca="1">SUM(P65:P66)</f>
        <v>3.7514047744655175</v>
      </c>
      <c r="Q69" s="459"/>
      <c r="R69" s="469"/>
      <c r="S69" s="615"/>
      <c r="T69" s="615"/>
      <c r="U69" s="512"/>
      <c r="V69" s="512"/>
      <c r="W69" s="44">
        <f ca="1">SUM(W65:W68)</f>
        <v>3.9216334976997516</v>
      </c>
      <c r="X69" s="389">
        <f ca="1">SUM(X65:X68)</f>
        <v>49.956693938009614</v>
      </c>
      <c r="Y69" s="331"/>
      <c r="Z69" s="331">
        <f ca="1">SUM(Z64:Z68)</f>
        <v>14.247441176470588</v>
      </c>
      <c r="AA69" s="331"/>
      <c r="AB69" s="331">
        <f ca="1">SUM(AB64:AB68)</f>
        <v>3.9216334976997516</v>
      </c>
      <c r="AC69" s="44">
        <f ca="1">SUM(AC65:AC68)</f>
        <v>9.0845373370851696</v>
      </c>
      <c r="AE69" s="391"/>
    </row>
    <row r="70" spans="1:31" s="50" customFormat="1" x14ac:dyDescent="0.35">
      <c r="D70" s="379"/>
      <c r="E70" s="14"/>
      <c r="F70" s="409"/>
      <c r="G70" s="409"/>
      <c r="H70" s="409"/>
      <c r="I70" s="409"/>
      <c r="J70" s="409"/>
      <c r="K70" s="613"/>
      <c r="L70" s="613"/>
      <c r="M70" s="163" t="s">
        <v>361</v>
      </c>
      <c r="N70" s="546">
        <f ca="1">AVERAGE(M69,O69)</f>
        <v>3.7514047744655175</v>
      </c>
      <c r="O70" s="163"/>
      <c r="P70" s="134"/>
      <c r="Q70" s="458"/>
      <c r="R70" s="467"/>
      <c r="S70" s="152"/>
      <c r="T70" s="152"/>
      <c r="U70" s="152"/>
      <c r="V70" s="152"/>
      <c r="W70" s="13"/>
      <c r="X70" s="613"/>
      <c r="Y70" s="613"/>
      <c r="Z70" s="163" t="s">
        <v>361</v>
      </c>
      <c r="AA70" s="546">
        <f ca="1">AVERAGE(Z69,AB69)</f>
        <v>9.0845373370851696</v>
      </c>
      <c r="AB70" s="163"/>
      <c r="AC70" s="134"/>
      <c r="AE70" s="392"/>
    </row>
    <row r="71" spans="1:31" x14ac:dyDescent="0.35">
      <c r="A71" s="51" t="s">
        <v>98</v>
      </c>
      <c r="B71" s="51"/>
      <c r="D71" s="378"/>
      <c r="E71" s="218"/>
      <c r="F71" s="218"/>
      <c r="G71" s="218"/>
      <c r="H71" s="330"/>
      <c r="I71" s="330"/>
      <c r="J71" s="330"/>
      <c r="K71" s="389"/>
      <c r="L71" s="389"/>
      <c r="M71" s="389"/>
      <c r="N71" s="389"/>
      <c r="O71" s="389"/>
      <c r="P71" s="45"/>
      <c r="Q71" s="456"/>
      <c r="R71" s="468"/>
      <c r="S71" s="45"/>
      <c r="T71" s="45"/>
      <c r="U71" s="44"/>
      <c r="V71" s="44"/>
      <c r="W71" s="44"/>
      <c r="X71" s="389"/>
      <c r="Y71" s="389"/>
      <c r="Z71" s="389"/>
      <c r="AA71" s="389"/>
      <c r="AB71" s="389"/>
      <c r="AC71" s="45"/>
      <c r="AE71" s="393"/>
    </row>
    <row r="72" spans="1:31" x14ac:dyDescent="0.35">
      <c r="A72" s="7" t="s">
        <v>131</v>
      </c>
      <c r="B72" s="7" t="s">
        <v>132</v>
      </c>
      <c r="C72" s="7" t="str">
        <f>B72</f>
        <v>TasteSmell</v>
      </c>
      <c r="D72" s="377" t="s">
        <v>127</v>
      </c>
      <c r="E72" s="124">
        <f ca="1">INDEX(INDIRECT("ExtWTP19_"&amp;$C72&amp;"_UnitValues"),MATCH(A$71, INDIRECT("ExtWTP19_Comps_"&amp;C72),0),MATCH("HH",ExtWTP_Group,0))</f>
        <v>1455</v>
      </c>
      <c r="F72" s="612">
        <f t="shared" ref="F72:G75" ca="1" si="59">INDEX(INDIRECT("SSW_WTPCore2_"&amp;$B72&amp;"_Levels"),1,MATCH(F$4,WTPCore2_AttLevels,0))</f>
        <v>1.6666666666666666E-2</v>
      </c>
      <c r="G72" s="612">
        <f t="shared" ca="1" si="59"/>
        <v>1.1111111111111112E-2</v>
      </c>
      <c r="H72" s="324">
        <f ca="1">INDEX(INDIRECT("SSW_WTPCore2_"&amp;$B72&amp;"_LevelValues"),1,MATCH("S1 MEAN",WTPCore2_LevelValues,0))</f>
        <v>0.30818609087835352</v>
      </c>
      <c r="I72" s="324">
        <f ca="1">INDEX(INDIRECT("SSW_WTPCore2_"&amp;$B72&amp;"_LevelValues"),1,MATCH("S2 MEAN",WTPCore2_LevelValues,0))</f>
        <v>0.18578205633963885</v>
      </c>
      <c r="J72" s="324">
        <f ca="1">SUM(H72:I72)</f>
        <v>0.49396814721799237</v>
      </c>
      <c r="K72" s="231">
        <f ca="1">E72*(F72-G72)</f>
        <v>8.0833333333333321</v>
      </c>
      <c r="L72" s="89">
        <f ca="1">INDEX(INDIRECT("SSW_WTPCore_DCE_"&amp;$B72&amp;"_UnitValues"),MATCH("COMBINED-HH",WTPCore_Group,0),MATCH("MEAN",LMH,0))</f>
        <v>173.83878023943072</v>
      </c>
      <c r="M72" s="89">
        <f ca="1">L72*($F72-$G72)*(AllProps_SSW/HHProps_SSW)</f>
        <v>1.0194594594594593</v>
      </c>
      <c r="N72" s="89">
        <f ca="1">INDEX(INDIRECT("SSW_WTPCore2_"&amp;$B72&amp;"_UnitValues"),1,MATCH("MEAN",LMH,0))</f>
        <v>84.231716516748989</v>
      </c>
      <c r="O72" s="89">
        <f ca="1">N72*($F72-$G72)*(AllProps_SSW/HHProps_SSW)</f>
        <v>0.49396814721799237</v>
      </c>
      <c r="P72" s="324">
        <f ca="1">K72*N$77/K$76</f>
        <v>1.4035030796042891</v>
      </c>
      <c r="Q72" s="453" t="s">
        <v>127</v>
      </c>
      <c r="R72" s="391">
        <f ca="1">P72*HHProps_SSW/((F72-G72)*AllProps_SSW)</f>
        <v>239.32610674882525</v>
      </c>
      <c r="S72" s="612">
        <f t="shared" ref="S72:T75" ca="1" si="60">INDEX(INDIRECT("CAM_WTPCore2_"&amp;$B72&amp;"_Levels"),1,MATCH(S$4,WTPCore2_AttLevels,0))</f>
        <v>1.4285714285714285E-2</v>
      </c>
      <c r="T72" s="612">
        <f t="shared" ca="1" si="60"/>
        <v>0.01</v>
      </c>
      <c r="U72" s="324">
        <f ca="1">INDEX(INDIRECT("CAM_WTPCore2_"&amp;$B72&amp;"_LevelValues"),1,MATCH("S1 MEAN",WTPCore2_LevelValues,0))</f>
        <v>4.7204807663126298E-2</v>
      </c>
      <c r="V72" s="324">
        <f ca="1">INDEX(INDIRECT("CAM_WTPCore2_"&amp;$B72&amp;"_LevelValues"),1,MATCH("S2 MEAN",WTPCore2_LevelValues,0))</f>
        <v>0.1217094578997745</v>
      </c>
      <c r="W72" s="168">
        <f ca="1">SUM(U72:V72)</f>
        <v>0.16891426556290079</v>
      </c>
      <c r="X72" s="221">
        <f ca="1">E72*(S72-T72)</f>
        <v>6.2357142857142849</v>
      </c>
      <c r="Y72" s="89">
        <f ca="1">INDEX(INDIRECT("CAM_WTPCore_"&amp;$B72&amp;"_UnitValues"),MATCH("COMBINED-HH",WTPCore_Group,0),MATCH("MEAN",LMH,0))</f>
        <v>207.69569571588755</v>
      </c>
      <c r="Z72" s="89">
        <f ca="1">Y72*($S72-$T72)*(AllProps_CAM/HHProps_CAM)</f>
        <v>0.94640816326530586</v>
      </c>
      <c r="AA72" s="89">
        <f ca="1">INDEX(INDIRECT("CAM_WTPCore2_"&amp;$B72&amp;"_UnitValues"),1,MATCH("MEAN",LMH,0))</f>
        <v>37.069382180075451</v>
      </c>
      <c r="AB72" s="89">
        <f ca="1">AA72*($S72-$T72)*(AllProps_CAM/HHProps_CAM)</f>
        <v>0.16891426556290079</v>
      </c>
      <c r="AC72" s="512">
        <f ca="1">X72*AA$77/X$76</f>
        <v>1.2547637484482681</v>
      </c>
      <c r="AD72" s="377" t="s">
        <v>127</v>
      </c>
      <c r="AE72" s="391">
        <f ca="1">AC72*HHProps_CAM/((S72-T72)*AllProps_CAM)</f>
        <v>275.36642202438577</v>
      </c>
    </row>
    <row r="73" spans="1:31" x14ac:dyDescent="0.35">
      <c r="A73" s="7" t="s">
        <v>1174</v>
      </c>
      <c r="B73" s="7" t="s">
        <v>138</v>
      </c>
      <c r="C73" s="7" t="s">
        <v>1008</v>
      </c>
      <c r="D73" s="377" t="s">
        <v>127</v>
      </c>
      <c r="E73" s="124">
        <f ca="1">INDEX(INDIRECT("ExtWTP19_"&amp;$C73&amp;"_UnitValues"),MATCH(A$71, INDIRECT("ExtWTP19_Comps_"&amp;C73),0),MATCH("HH",ExtWTP_Group,0))</f>
        <v>515</v>
      </c>
      <c r="F73" s="612">
        <f t="shared" ca="1" si="59"/>
        <v>1.4285714285714285E-2</v>
      </c>
      <c r="G73" s="612">
        <f t="shared" ca="1" si="59"/>
        <v>9.5238095238095247E-3</v>
      </c>
      <c r="H73" s="324">
        <f ca="1">INDEX(INDIRECT("SSW_WTPCore2_"&amp;$B73&amp;"_LevelValues"),1,MATCH("S1 MEAN",WTPCore2_LevelValues,0))</f>
        <v>0.39718669024665654</v>
      </c>
      <c r="I73" s="324">
        <f ca="1">INDEX(INDIRECT("SSW_WTPCore2_"&amp;$B73&amp;"_LevelValues"),1,MATCH("S2 MEAN",WTPCore2_LevelValues,0))</f>
        <v>0.53859352958370721</v>
      </c>
      <c r="J73" s="324">
        <f ca="1">SUM(H73:I73)</f>
        <v>0.93578021983036375</v>
      </c>
      <c r="K73" s="231">
        <f ca="1">E73*(F73-G73)</f>
        <v>2.4523809523809517</v>
      </c>
      <c r="L73" s="89">
        <f ca="1">INDEX(INDIRECT("SSW_WTPCore_DCE_"&amp;$B73&amp;"_UnitValues"),MATCH("COMBINED-HH",WTPCore_Group,0),MATCH("MEAN",LMH,0))</f>
        <v>162.10819588181059</v>
      </c>
      <c r="M73" s="89">
        <f ca="1">L73*($F73-$G73)*(AllProps_SSW/HHProps_SSW)</f>
        <v>0.8148571428571425</v>
      </c>
      <c r="N73" s="89">
        <f ca="1">INDEX(INDIRECT("SSW_WTPCore2_"&amp;$B73&amp;"_UnitValues"),1,MATCH("MEAN",LMH,0))</f>
        <v>186.16470937063306</v>
      </c>
      <c r="O73" s="89">
        <f ca="1">N73*($F73-$G73)*(AllProps_SSW/HHProps_SSW)</f>
        <v>0.93578021983036375</v>
      </c>
      <c r="P73" s="324">
        <f t="shared" ref="P73:P75" ca="1" si="61">K73*N$77/K$76</f>
        <v>0.42580505802427615</v>
      </c>
      <c r="Q73" s="453" t="s">
        <v>127</v>
      </c>
      <c r="R73" s="391">
        <f ca="1">P73*HHProps_SSW/((F73-G73)*AllProps_SSW)</f>
        <v>84.709927818312707</v>
      </c>
      <c r="S73" s="612">
        <f t="shared" ca="1" si="60"/>
        <v>2.5000000000000001E-2</v>
      </c>
      <c r="T73" s="612">
        <f t="shared" ca="1" si="60"/>
        <v>1.6666666666666666E-2</v>
      </c>
      <c r="U73" s="324">
        <f ca="1">INDEX(INDIRECT("CAM_WTPCore2_"&amp;$B73&amp;"_LevelValues"),1,MATCH("S1 MEAN",WTPCore2_LevelValues,0))</f>
        <v>5.3490671066612649E-2</v>
      </c>
      <c r="V73" s="324">
        <f ca="1">INDEX(INDIRECT("CAM_WTPCore2_"&amp;$B73&amp;"_LevelValues"),1,MATCH("S2 MEAN",WTPCore2_LevelValues,0))</f>
        <v>0.33457681646237136</v>
      </c>
      <c r="W73" s="168">
        <f ca="1">SUM(U73:V73)</f>
        <v>0.38806748752898401</v>
      </c>
      <c r="X73" s="221">
        <f ca="1">E73*(S73-T73)</f>
        <v>4.2916666666666679</v>
      </c>
      <c r="Y73" s="89">
        <f ca="1">INDEX(INDIRECT("CAM_WTPCore_"&amp;$B73&amp;"_UnitValues"),MATCH("COMBINED-HH",WTPCore_Group,0),MATCH("MEAN",LMH,0))</f>
        <v>28.26566546881222</v>
      </c>
      <c r="Z73" s="89">
        <f ca="1">Y73*($S73-$T73)*(AllProps_CAM/HHProps_CAM)</f>
        <v>0.25044117647058828</v>
      </c>
      <c r="AA73" s="89">
        <f ca="1">INDEX(INDIRECT("CAM_WTPCore2_"&amp;$B73&amp;"_UnitValues"),1,MATCH("MEAN",LMH,0))</f>
        <v>43.79865138952065</v>
      </c>
      <c r="AB73" s="89">
        <f ca="1">AA73*($S73-$T73)*(AllProps_CAM/HHProps_CAM)</f>
        <v>0.3880674875289839</v>
      </c>
      <c r="AC73" s="512">
        <f t="shared" ref="AC73:AC75" ca="1" si="62">X73*AA$77/X$76</f>
        <v>0.86357833393585504</v>
      </c>
      <c r="AD73" s="377" t="s">
        <v>127</v>
      </c>
      <c r="AE73" s="391">
        <f ca="1">AC73*HHProps_CAM/((S73-T73)*AllProps_CAM)</f>
        <v>97.466465527531739</v>
      </c>
    </row>
    <row r="74" spans="1:31" x14ac:dyDescent="0.35">
      <c r="A74" s="7" t="s">
        <v>1175</v>
      </c>
      <c r="B74" s="7" t="s">
        <v>138</v>
      </c>
      <c r="C74" s="7" t="s">
        <v>1007</v>
      </c>
      <c r="D74" s="377" t="s">
        <v>127</v>
      </c>
      <c r="E74" s="124">
        <f ca="1">INDEX(INDIRECT("ExtWTP19_"&amp;$C74&amp;"_UnitValues"),MATCH(A$71, INDIRECT("ExtWTP19_Comps_"&amp;C74),0),MATCH("HH",ExtWTP_Group,0))</f>
        <v>579</v>
      </c>
      <c r="F74" s="612">
        <f t="shared" ca="1" si="59"/>
        <v>1.4285714285714285E-2</v>
      </c>
      <c r="G74" s="612">
        <f t="shared" ca="1" si="59"/>
        <v>9.5238095238095247E-3</v>
      </c>
      <c r="H74" s="324">
        <f ca="1">INDEX(INDIRECT("SSW_WTPCore2_"&amp;$B74&amp;"_LevelValues"),1,MATCH("S1 MEAN",WTPCore2_LevelValues,0))</f>
        <v>0.39718669024665654</v>
      </c>
      <c r="I74" s="324">
        <f ca="1">INDEX(INDIRECT("SSW_WTPCore2_"&amp;$B74&amp;"_LevelValues"),1,MATCH("S2 MEAN",WTPCore2_LevelValues,0))</f>
        <v>0.53859352958370721</v>
      </c>
      <c r="J74" s="324">
        <f ca="1">SUM(H74:I74)</f>
        <v>0.93578021983036375</v>
      </c>
      <c r="K74" s="231">
        <f ca="1">E74*(F74-G74)</f>
        <v>2.7571428571428562</v>
      </c>
      <c r="L74" s="89">
        <f ca="1">INDEX(INDIRECT("SSW_WTPCore_DCE_"&amp;$B74&amp;"_UnitValues"),MATCH("COMBINED-HH",WTPCore_Group,0),MATCH("MEAN",LMH,0))</f>
        <v>162.10819588181059</v>
      </c>
      <c r="M74" s="89">
        <f ca="1">L74*($F74-$G74)*(AllProps_SSW/HHProps_SSW)</f>
        <v>0.8148571428571425</v>
      </c>
      <c r="N74" s="89">
        <f ca="1">INDEX(INDIRECT("SSW_WTPCore2_"&amp;$B74&amp;"_UnitValues"),1,MATCH("MEAN",LMH,0))</f>
        <v>186.16470937063306</v>
      </c>
      <c r="O74" s="89">
        <f ca="1">N74*($F74-$G74)*(AllProps_SSW/HHProps_SSW)</f>
        <v>0.93578021983036375</v>
      </c>
      <c r="P74" s="324">
        <f t="shared" ca="1" si="61"/>
        <v>0.47872063805059395</v>
      </c>
      <c r="Q74" s="453" t="s">
        <v>127</v>
      </c>
      <c r="R74" s="391">
        <f ca="1">P74*HHProps_SSW/((F74-G74)*AllProps_SSW)</f>
        <v>95.236986809326339</v>
      </c>
      <c r="S74" s="612">
        <f t="shared" ca="1" si="60"/>
        <v>2.5000000000000001E-2</v>
      </c>
      <c r="T74" s="612">
        <f t="shared" ca="1" si="60"/>
        <v>1.6666666666666666E-2</v>
      </c>
      <c r="U74" s="324">
        <f ca="1">INDEX(INDIRECT("CAM_WTPCore2_"&amp;$B74&amp;"_LevelValues"),1,MATCH("S1 MEAN",WTPCore2_LevelValues,0))</f>
        <v>5.3490671066612649E-2</v>
      </c>
      <c r="V74" s="324">
        <f ca="1">INDEX(INDIRECT("CAM_WTPCore2_"&amp;$B74&amp;"_LevelValues"),1,MATCH("S2 MEAN",WTPCore2_LevelValues,0))</f>
        <v>0.33457681646237136</v>
      </c>
      <c r="W74" s="168">
        <f ca="1">SUM(U74:V74)</f>
        <v>0.38806748752898401</v>
      </c>
      <c r="X74" s="221">
        <f ca="1">E74*(S74-T74)</f>
        <v>4.8250000000000011</v>
      </c>
      <c r="Y74" s="89">
        <f ca="1">INDEX(INDIRECT("CAM_WTPCore_"&amp;$B74&amp;"_UnitValues"),MATCH("COMBINED-HH",WTPCore_Group,0),MATCH("MEAN",LMH,0))</f>
        <v>28.26566546881222</v>
      </c>
      <c r="Z74" s="89">
        <f ca="1">Y74*($S74-$T74)*(AllProps_CAM/HHProps_CAM)</f>
        <v>0.25044117647058828</v>
      </c>
      <c r="AA74" s="89">
        <f ca="1">INDEX(INDIRECT("CAM_WTPCore2_"&amp;$B74&amp;"_UnitValues"),1,MATCH("MEAN",LMH,0))</f>
        <v>43.79865138952065</v>
      </c>
      <c r="AB74" s="89">
        <f ca="1">AA74*($S74-$T74)*(AllProps_CAM/HHProps_CAM)</f>
        <v>0.3880674875289839</v>
      </c>
      <c r="AC74" s="512">
        <f t="shared" ca="1" si="62"/>
        <v>0.97089680650264087</v>
      </c>
      <c r="AD74" s="377" t="s">
        <v>127</v>
      </c>
      <c r="AE74" s="391">
        <f ca="1">AC74*HHProps_CAM/((S74-T74)*AllProps_CAM)</f>
        <v>109.57880299114731</v>
      </c>
    </row>
    <row r="75" spans="1:31" x14ac:dyDescent="0.35">
      <c r="A75" s="7" t="s">
        <v>1010</v>
      </c>
      <c r="B75" s="7" t="s">
        <v>144</v>
      </c>
      <c r="C75" s="7" t="str">
        <f>B75</f>
        <v>TempBan</v>
      </c>
      <c r="D75" s="377" t="s">
        <v>127</v>
      </c>
      <c r="E75" s="124">
        <f ca="1">INDEX(INDIRECT("ExtWTP19_"&amp;$C75&amp;"_UnitValues"),MATCH(A$71, INDIRECT("ExtWTP19_Comps_"&amp;C75),0),MATCH("HH",ExtWTP_Group,0))</f>
        <v>325</v>
      </c>
      <c r="F75" s="612">
        <f t="shared" ca="1" si="59"/>
        <v>2.5000000000000001E-2</v>
      </c>
      <c r="G75" s="612">
        <f t="shared" ca="1" si="59"/>
        <v>1.5384615384615385E-2</v>
      </c>
      <c r="H75" s="324">
        <f ca="1">INDEX(INDIRECT("SSW_WTPCore2_"&amp;$B75&amp;"_LevelValues"),1,MATCH("S1 MEAN",WTPCore2_LevelValues,0))</f>
        <v>0.4084226191643695</v>
      </c>
      <c r="I75" s="324">
        <f ca="1">INDEX(INDIRECT("SSW_WTPCore2_"&amp;$B75&amp;"_LevelValues"),1,MATCH("S2 MEAN",WTPCore2_LevelValues,0))</f>
        <v>0.28250000903457151</v>
      </c>
      <c r="J75" s="324">
        <f ca="1">SUM(H75:I75)</f>
        <v>0.69092262819894101</v>
      </c>
      <c r="K75" s="231">
        <f ca="1">E75*(F75-G75)</f>
        <v>3.125</v>
      </c>
      <c r="L75" s="89">
        <f ca="1">INDEX(INDIRECT("SSW_WTPCore_DCE_"&amp;$B75&amp;"_UnitValues"),MATCH("COMBINED-HH",WTPCore_Group,0),MATCH("MEAN",LMH,0))</f>
        <v>245983.27199999994</v>
      </c>
      <c r="M75" s="89">
        <f ca="1">-L75*(F75-G75)/HHProps_SSW</f>
        <v>-4.3846153846153844E-3</v>
      </c>
      <c r="N75" s="89">
        <f ca="1">INDEX(INDIRECT("SSW_WTPCore2_"&amp;$B75&amp;"_UnitValues"),1,MATCH("MEAN",LMH,0))</f>
        <v>387617.59897926223</v>
      </c>
      <c r="O75" s="89">
        <f ca="1">N75*(F75-G75)/HHProps_SSW*100</f>
        <v>0.69092262819894101</v>
      </c>
      <c r="P75" s="324">
        <f t="shared" ca="1" si="61"/>
        <v>0.54259139675423551</v>
      </c>
      <c r="Q75" s="457" t="s">
        <v>145</v>
      </c>
      <c r="R75" s="391">
        <f ca="1">P75*HHProps_SSW/((F75-G75)*100)</f>
        <v>304401.63030255114</v>
      </c>
      <c r="S75" s="612">
        <f t="shared" ca="1" si="60"/>
        <v>0.05</v>
      </c>
      <c r="T75" s="612">
        <f t="shared" ca="1" si="60"/>
        <v>3.3333333333333333E-2</v>
      </c>
      <c r="U75" s="324">
        <f ca="1">INDEX(INDIRECT("CAM_WTPCore2_"&amp;$B75&amp;"_LevelValues"),1,MATCH("S1 MEAN",WTPCore2_LevelValues,0))</f>
        <v>0.15591350717379643</v>
      </c>
      <c r="V75" s="324">
        <f ca="1">INDEX(INDIRECT("CAM_WTPCore2_"&amp;$B75&amp;"_LevelValues"),1,MATCH("S2 MEAN",WTPCore2_LevelValues,0))</f>
        <v>5.0130987785217407E-2</v>
      </c>
      <c r="W75" s="168">
        <f ca="1">SUM(U75:V75)</f>
        <v>0.20604449495901384</v>
      </c>
      <c r="X75" s="221">
        <f ca="1">E75*(S75-T75)</f>
        <v>5.4166666666666679</v>
      </c>
      <c r="Y75" s="89">
        <f ca="1">INDEX(INDIRECT("CAM_WTPCore_"&amp;$B75&amp;"_UnitValues"),MATCH("COMBINED-HH",WTPCore_Group,0),MATCH("MEAN",LMH,0))</f>
        <v>469608.19199999986</v>
      </c>
      <c r="Z75" s="89">
        <f ca="1">Y75*(S75-T75)/HHProps_CAM*100</f>
        <v>5.76</v>
      </c>
      <c r="AA75" s="89">
        <f ca="1">INDEX(INDIRECT("CAM_WTPCore2_"&amp;$B75&amp;"_UnitValues"),1,MATCH("MEAN",LMH,0))</f>
        <v>16798.64283841243</v>
      </c>
      <c r="AB75" s="89">
        <f ca="1">AA75*(S75-T75)/HHProps_CAM*100</f>
        <v>0.20604449495901386</v>
      </c>
      <c r="AC75" s="512">
        <f t="shared" ca="1" si="62"/>
        <v>1.0899532370064189</v>
      </c>
      <c r="AD75" s="477" t="s">
        <v>145</v>
      </c>
      <c r="AE75" s="391">
        <f ca="1">AC75*HHProps_CAM/((S75-T75)*100)</f>
        <v>88863.015450543709</v>
      </c>
    </row>
    <row r="76" spans="1:31" x14ac:dyDescent="0.35">
      <c r="D76" s="377"/>
      <c r="E76" s="124"/>
      <c r="F76" s="612"/>
      <c r="G76" s="612"/>
      <c r="H76" s="324"/>
      <c r="I76" s="324"/>
      <c r="J76" s="330">
        <f ca="1">SUM(J72:J75)</f>
        <v>3.056451215077661</v>
      </c>
      <c r="K76" s="331">
        <f ca="1">SUM(K72:K75)</f>
        <v>16.417857142857141</v>
      </c>
      <c r="L76" s="331"/>
      <c r="M76" s="331">
        <f ca="1">SUM(M71:M75)</f>
        <v>2.6447891297891291</v>
      </c>
      <c r="N76" s="331"/>
      <c r="O76" s="223">
        <f ca="1">SUM(O71:O75)</f>
        <v>3.056451215077661</v>
      </c>
      <c r="P76" s="330">
        <f ca="1">SUM(P72:P75)</f>
        <v>2.8506201724333948</v>
      </c>
      <c r="Q76" s="459"/>
      <c r="R76" s="469"/>
      <c r="S76" s="615"/>
      <c r="T76" s="615"/>
      <c r="U76" s="512"/>
      <c r="V76" s="512"/>
      <c r="W76" s="44">
        <f ca="1">SUM(W72:W75)</f>
        <v>1.1510937355798827</v>
      </c>
      <c r="X76" s="389">
        <f ca="1">SUM(X72:X75)</f>
        <v>20.769047619047619</v>
      </c>
      <c r="Y76" s="331"/>
      <c r="Z76" s="331">
        <f ca="1">SUM(Z71:Z75)</f>
        <v>7.2072905162064824</v>
      </c>
      <c r="AA76" s="331"/>
      <c r="AB76" s="223">
        <f ca="1">SUM(AB71:AB75)</f>
        <v>1.1510937355798825</v>
      </c>
      <c r="AC76" s="44">
        <f ca="1">SUM(AC72:AC75)</f>
        <v>4.1791921258931826</v>
      </c>
      <c r="AE76" s="391"/>
    </row>
    <row r="77" spans="1:31" s="50" customFormat="1" x14ac:dyDescent="0.35">
      <c r="D77" s="379"/>
      <c r="E77" s="14"/>
      <c r="F77" s="409"/>
      <c r="G77" s="409"/>
      <c r="H77" s="409"/>
      <c r="I77" s="409"/>
      <c r="J77" s="409"/>
      <c r="K77" s="613"/>
      <c r="L77" s="613"/>
      <c r="M77" s="163" t="s">
        <v>361</v>
      </c>
      <c r="N77" s="546">
        <f ca="1">AVERAGE(M76,O76)</f>
        <v>2.8506201724333948</v>
      </c>
      <c r="O77" s="163"/>
      <c r="P77" s="134"/>
      <c r="Q77" s="458"/>
      <c r="R77" s="467"/>
      <c r="S77" s="152"/>
      <c r="T77" s="152"/>
      <c r="U77" s="152"/>
      <c r="V77" s="152"/>
      <c r="W77" s="13"/>
      <c r="X77" s="613"/>
      <c r="Y77" s="613"/>
      <c r="Z77" s="163" t="s">
        <v>361</v>
      </c>
      <c r="AA77" s="546">
        <f ca="1">AVERAGE(Z76,AB76)</f>
        <v>4.1791921258931826</v>
      </c>
      <c r="AB77" s="163"/>
      <c r="AC77" s="134"/>
      <c r="AE77" s="392"/>
    </row>
    <row r="78" spans="1:31" x14ac:dyDescent="0.35">
      <c r="A78" s="51" t="s">
        <v>100</v>
      </c>
      <c r="D78" s="377"/>
      <c r="E78" s="124"/>
      <c r="F78" s="324"/>
      <c r="G78" s="324"/>
      <c r="H78" s="324"/>
      <c r="I78" s="324"/>
      <c r="J78" s="324"/>
      <c r="K78" s="266"/>
      <c r="L78" s="266"/>
      <c r="M78" s="266"/>
      <c r="N78" s="266"/>
      <c r="O78" s="266"/>
      <c r="P78" s="133"/>
      <c r="R78" s="466"/>
      <c r="S78" s="90"/>
      <c r="T78" s="90"/>
      <c r="U78" s="90"/>
      <c r="V78" s="90"/>
      <c r="W78" s="10"/>
      <c r="X78" s="266"/>
      <c r="Y78" s="266"/>
      <c r="Z78" s="266"/>
      <c r="AA78" s="266"/>
      <c r="AB78" s="266"/>
      <c r="AC78" s="133"/>
      <c r="AE78" s="391"/>
    </row>
    <row r="79" spans="1:31" x14ac:dyDescent="0.35">
      <c r="A79" s="7" t="s">
        <v>129</v>
      </c>
      <c r="B79" s="7" t="s">
        <v>130</v>
      </c>
      <c r="C79" s="7" t="str">
        <f>B79</f>
        <v>Discolour</v>
      </c>
      <c r="D79" s="377" t="s">
        <v>127</v>
      </c>
      <c r="E79" s="124">
        <f t="shared" ref="E79:E86" ca="1" si="63">INDEX(INDIRECT("ExtWTP19_"&amp;$C79&amp;"_UnitValues"),MATCH(A$78, INDIRECT("ExtWTP19_Comps_"&amp;C79),0),MATCH("HH",ExtWTP_Group,0))</f>
        <v>60</v>
      </c>
      <c r="F79" s="612">
        <f t="shared" ref="F79:G85" ca="1" si="64">INDEX(INDIRECT("SSW_WTPCore2_"&amp;$B79&amp;"_Levels"),1,MATCH(F$4,WTPCore2_AttLevels,0))</f>
        <v>6.6666666666666666E-2</v>
      </c>
      <c r="G79" s="612">
        <f t="shared" ca="1" si="64"/>
        <v>0.04</v>
      </c>
      <c r="H79" s="324">
        <f t="shared" ref="H79:H85" ca="1" si="65">INDEX(INDIRECT("SSW_WTPCore2_"&amp;$B79&amp;"_LevelValues"),1,MATCH("S1 MEAN",WTPCore2_LevelValues,0))</f>
        <v>3.3679929677046498</v>
      </c>
      <c r="I79" s="324">
        <f t="shared" ref="I79:I85" ca="1" si="66">INDEX(INDIRECT("SSW_WTPCore2_"&amp;$B79&amp;"_LevelValues"),1,MATCH("S2 MEAN",WTPCore2_LevelValues,0))</f>
        <v>0.60669022375558512</v>
      </c>
      <c r="J79" s="324">
        <f t="shared" ref="J79:J86" ca="1" si="67">SUM(H79:I79)</f>
        <v>3.974683191460235</v>
      </c>
      <c r="K79" s="231">
        <f t="shared" ref="K79:K85" ca="1" si="68">E79*(F79-G79)</f>
        <v>1.5999999999999999</v>
      </c>
      <c r="L79" s="89">
        <f t="shared" ref="L79:L86" ca="1" si="69">INDEX(INDIRECT("SSW_WTPCore_DCE_"&amp;$B79&amp;"_UnitValues"),MATCH("COMBINED-HH",WTPCore_Group,0),MATCH("MEAN",LMH,0))</f>
        <v>28.111247840776404</v>
      </c>
      <c r="M79" s="89">
        <f ca="1">L79*($F79-$G79)*(AllProps_SSW/HHProps_SSW)</f>
        <v>0.79130635838150276</v>
      </c>
      <c r="N79" s="89">
        <f t="shared" ref="N79:N85" ca="1" si="70">INDEX(INDIRECT("SSW_WTPCore2_"&amp;$B79&amp;"_UnitValues"),1,MATCH("MEAN",LMH,0))</f>
        <v>141.20106972505607</v>
      </c>
      <c r="O79" s="89">
        <f ca="1">N79*($F79-$G79)*(AllProps_SSW/HHProps_SSW)</f>
        <v>3.9746831914602345</v>
      </c>
      <c r="P79" s="324">
        <f ca="1">K79*N$88/K$87</f>
        <v>1.4249060365821098</v>
      </c>
      <c r="Q79" s="453" t="s">
        <v>127</v>
      </c>
      <c r="R79" s="391">
        <f ca="1">P79*HHProps_SSW/((F79-G79)*AllProps_SSW)</f>
        <v>50.61994803896981</v>
      </c>
      <c r="S79" s="612">
        <f t="shared" ref="S79:T85" ca="1" si="71">INDEX(INDIRECT("CAM_WTPCore2_"&amp;$B79&amp;"_Levels"),1,MATCH(S$4,WTPCore2_AttLevels,0))</f>
        <v>2.2222222222222223E-2</v>
      </c>
      <c r="T79" s="612">
        <f t="shared" ca="1" si="71"/>
        <v>1.5384615384615385E-2</v>
      </c>
      <c r="U79" s="324">
        <f t="shared" ref="U79:U85" ca="1" si="72">INDEX(INDIRECT("CAM_WTPCore2_"&amp;$B79&amp;"_LevelValues"),1,MATCH("S1 MEAN",WTPCore2_LevelValues,0))</f>
        <v>3.1155463151224057</v>
      </c>
      <c r="V79" s="324">
        <f t="shared" ref="V79:V85" ca="1" si="73">INDEX(INDIRECT("CAM_WTPCore2_"&amp;$B79&amp;"_LevelValues"),1,MATCH("S2 MEAN",WTPCore2_LevelValues,0))</f>
        <v>1.3419840000849801</v>
      </c>
      <c r="W79" s="512">
        <f t="shared" ref="W79:W86" ca="1" si="74">SUM(U79:V79)</f>
        <v>4.4575303152073857</v>
      </c>
      <c r="X79" s="221">
        <f t="shared" ref="X79:X85" ca="1" si="75">E79*(S79-T79)</f>
        <v>0.41025641025641024</v>
      </c>
      <c r="Y79" s="89">
        <f t="shared" ref="Y79:Y86" ca="1" si="76">INDEX(INDIRECT("CAM_WTPCore_"&amp;$B79&amp;"_UnitValues"),MATCH("COMBINED-HH",WTPCore_Group,0),MATCH("MEAN",LMH,0))</f>
        <v>308.90334405201918</v>
      </c>
      <c r="Z79" s="89">
        <f ca="1">Y79*($S79-$T79)*(AllProps_CAM/HHProps_CAM)</f>
        <v>2.2457142857142856</v>
      </c>
      <c r="AA79" s="89">
        <f t="shared" ref="AA79:AA85" ca="1" si="77">INDEX(INDIRECT("CAM_WTPCore2_"&amp;$B79&amp;"_UnitValues"),1,MATCH("MEAN",LMH,0))</f>
        <v>613.1439022942551</v>
      </c>
      <c r="AB79" s="89">
        <f ca="1">AA79*($S79-$T79)*(AllProps_CAM/HHProps_CAM)</f>
        <v>4.4575303152073857</v>
      </c>
      <c r="AC79" s="512">
        <f ca="1">X79*AA$88/X$87</f>
        <v>0.43600106054148946</v>
      </c>
      <c r="AD79" s="377" t="s">
        <v>127</v>
      </c>
      <c r="AE79" s="391">
        <f ca="1">AC79*HHProps_CAM/((S79-T79)*AllProps_CAM)</f>
        <v>59.972983414786952</v>
      </c>
    </row>
    <row r="80" spans="1:31" x14ac:dyDescent="0.35">
      <c r="A80" s="7" t="s">
        <v>131</v>
      </c>
      <c r="B80" s="7" t="s">
        <v>132</v>
      </c>
      <c r="C80" s="7" t="str">
        <f>B80</f>
        <v>TasteSmell</v>
      </c>
      <c r="D80" s="377" t="s">
        <v>127</v>
      </c>
      <c r="E80" s="124">
        <f t="shared" ca="1" si="63"/>
        <v>147</v>
      </c>
      <c r="F80" s="612">
        <f t="shared" ca="1" si="64"/>
        <v>1.6666666666666666E-2</v>
      </c>
      <c r="G80" s="612">
        <f t="shared" ca="1" si="64"/>
        <v>1.1111111111111112E-2</v>
      </c>
      <c r="H80" s="324">
        <f t="shared" ca="1" si="65"/>
        <v>0.30818609087835352</v>
      </c>
      <c r="I80" s="324">
        <f t="shared" ca="1" si="66"/>
        <v>0.18578205633963885</v>
      </c>
      <c r="J80" s="324">
        <f t="shared" ca="1" si="67"/>
        <v>0.49396814721799237</v>
      </c>
      <c r="K80" s="231">
        <f t="shared" ca="1" si="68"/>
        <v>0.81666666666666654</v>
      </c>
      <c r="L80" s="89">
        <f t="shared" ca="1" si="69"/>
        <v>173.83878023943072</v>
      </c>
      <c r="M80" s="89">
        <f ca="1">L80*($F80-$G80)*(AllProps_SSW/HHProps_SSW)</f>
        <v>1.0194594594594593</v>
      </c>
      <c r="N80" s="89">
        <f t="shared" ca="1" si="70"/>
        <v>84.231716516748989</v>
      </c>
      <c r="O80" s="89">
        <f ca="1">N80*($F80-$G80)*(AllProps_SSW/HHProps_SSW)</f>
        <v>0.49396814721799237</v>
      </c>
      <c r="P80" s="324">
        <f t="shared" ref="P80:P86" ca="1" si="78">K80*N$88/K$87</f>
        <v>0.72729578950545182</v>
      </c>
      <c r="Q80" s="453" t="s">
        <v>127</v>
      </c>
      <c r="R80" s="391">
        <f ca="1">P80*HHProps_SSW/((F80-G80)*AllProps_SSW)</f>
        <v>124.01887269547605</v>
      </c>
      <c r="S80" s="612">
        <f t="shared" ca="1" si="71"/>
        <v>1.4285714285714285E-2</v>
      </c>
      <c r="T80" s="612">
        <f t="shared" ca="1" si="71"/>
        <v>0.01</v>
      </c>
      <c r="U80" s="324">
        <f t="shared" ca="1" si="72"/>
        <v>4.7204807663126298E-2</v>
      </c>
      <c r="V80" s="324">
        <f t="shared" ca="1" si="73"/>
        <v>0.1217094578997745</v>
      </c>
      <c r="W80" s="512">
        <f t="shared" ca="1" si="74"/>
        <v>0.16891426556290079</v>
      </c>
      <c r="X80" s="221">
        <f t="shared" ca="1" si="75"/>
        <v>0.62999999999999989</v>
      </c>
      <c r="Y80" s="89">
        <f t="shared" ca="1" si="76"/>
        <v>207.69569571588755</v>
      </c>
      <c r="Z80" s="89">
        <f ca="1">Y80*($S80-$T80)*(AllProps_CAM/HHProps_CAM)</f>
        <v>0.94640816326530586</v>
      </c>
      <c r="AA80" s="89">
        <f t="shared" ca="1" si="77"/>
        <v>37.069382180075451</v>
      </c>
      <c r="AB80" s="89">
        <f ca="1">AA80*($S80-$T80)*(AllProps_CAM/HHProps_CAM)</f>
        <v>0.16891426556290079</v>
      </c>
      <c r="AC80" s="512">
        <f t="shared" ref="AC80:AC86" ca="1" si="79">X80*AA$88/X$87</f>
        <v>0.66953412859402461</v>
      </c>
      <c r="AD80" s="377" t="s">
        <v>127</v>
      </c>
      <c r="AE80" s="391">
        <f ca="1">AC80*HHProps_CAM/((S80-T80)*AllProps_CAM)</f>
        <v>146.93380936622805</v>
      </c>
    </row>
    <row r="81" spans="1:31" x14ac:dyDescent="0.35">
      <c r="A81" s="7" t="s">
        <v>855</v>
      </c>
      <c r="B81" s="7" t="s">
        <v>138</v>
      </c>
      <c r="C81" s="7" t="s">
        <v>1008</v>
      </c>
      <c r="D81" s="377" t="s">
        <v>127</v>
      </c>
      <c r="E81" s="124">
        <f t="shared" ca="1" si="63"/>
        <v>136</v>
      </c>
      <c r="F81" s="612">
        <f t="shared" ca="1" si="64"/>
        <v>1.4285714285714285E-2</v>
      </c>
      <c r="G81" s="612">
        <f t="shared" ca="1" si="64"/>
        <v>9.5238095238095247E-3</v>
      </c>
      <c r="H81" s="324">
        <f t="shared" ca="1" si="65"/>
        <v>0.39718669024665654</v>
      </c>
      <c r="I81" s="324">
        <f t="shared" ca="1" si="66"/>
        <v>0.53859352958370721</v>
      </c>
      <c r="J81" s="324">
        <f t="shared" ca="1" si="67"/>
        <v>0.93578021983036375</v>
      </c>
      <c r="K81" s="231">
        <f t="shared" ca="1" si="68"/>
        <v>0.64761904761904743</v>
      </c>
      <c r="L81" s="89">
        <f t="shared" ca="1" si="69"/>
        <v>162.10819588181059</v>
      </c>
      <c r="M81" s="89">
        <f ca="1">L81*($F81-$G81)*(AllProps_SSW/HHProps_SSW)</f>
        <v>0.8148571428571425</v>
      </c>
      <c r="N81" s="89">
        <f t="shared" ca="1" si="70"/>
        <v>186.16470937063306</v>
      </c>
      <c r="O81" s="89">
        <f ca="1">N81*($F81-$G81)*(AllProps_SSW/HHProps_SSW)</f>
        <v>0.93578021983036375</v>
      </c>
      <c r="P81" s="324">
        <f t="shared" ca="1" si="78"/>
        <v>0.57674768147371103</v>
      </c>
      <c r="Q81" s="453" t="s">
        <v>127</v>
      </c>
      <c r="R81" s="391">
        <f ca="1">P81*HHProps_SSW/((F81-G81)*AllProps_SSW)</f>
        <v>114.73854888833158</v>
      </c>
      <c r="S81" s="612">
        <f t="shared" ca="1" si="71"/>
        <v>2.5000000000000001E-2</v>
      </c>
      <c r="T81" s="612">
        <f t="shared" ca="1" si="71"/>
        <v>1.6666666666666666E-2</v>
      </c>
      <c r="U81" s="324">
        <f t="shared" ca="1" si="72"/>
        <v>5.3490671066612649E-2</v>
      </c>
      <c r="V81" s="324">
        <f t="shared" ca="1" si="73"/>
        <v>0.33457681646237136</v>
      </c>
      <c r="W81" s="512">
        <f t="shared" ca="1" si="74"/>
        <v>0.38806748752898401</v>
      </c>
      <c r="X81" s="221">
        <f t="shared" ca="1" si="75"/>
        <v>1.1333333333333335</v>
      </c>
      <c r="Y81" s="89">
        <f t="shared" ca="1" si="76"/>
        <v>28.26566546881222</v>
      </c>
      <c r="Z81" s="89">
        <f ca="1">Y81*($S81-$T81)*(AllProps_CAM/HHProps_CAM)</f>
        <v>0.25044117647058828</v>
      </c>
      <c r="AA81" s="89">
        <f t="shared" ca="1" si="77"/>
        <v>43.79865138952065</v>
      </c>
      <c r="AB81" s="89">
        <f ca="1">AA81*($S81-$T81)*(AllProps_CAM/HHProps_CAM)</f>
        <v>0.3880674875289839</v>
      </c>
      <c r="AC81" s="512">
        <f t="shared" ca="1" si="79"/>
        <v>1.2044529297458648</v>
      </c>
      <c r="AD81" s="377" t="s">
        <v>127</v>
      </c>
      <c r="AE81" s="391">
        <f ca="1">AC81*HHProps_CAM/((S81-T81)*AllProps_CAM)</f>
        <v>135.93876240685043</v>
      </c>
    </row>
    <row r="82" spans="1:31" x14ac:dyDescent="0.35">
      <c r="A82" s="7" t="s">
        <v>1176</v>
      </c>
      <c r="B82" s="7" t="s">
        <v>138</v>
      </c>
      <c r="C82" s="7" t="s">
        <v>1007</v>
      </c>
      <c r="D82" s="377" t="s">
        <v>127</v>
      </c>
      <c r="E82" s="124">
        <f t="shared" ca="1" si="63"/>
        <v>287</v>
      </c>
      <c r="F82" s="612">
        <f t="shared" ca="1" si="64"/>
        <v>1.4285714285714285E-2</v>
      </c>
      <c r="G82" s="612">
        <f t="shared" ca="1" si="64"/>
        <v>9.5238095238095247E-3</v>
      </c>
      <c r="H82" s="324">
        <f t="shared" ca="1" si="65"/>
        <v>0.39718669024665654</v>
      </c>
      <c r="I82" s="324">
        <f t="shared" ca="1" si="66"/>
        <v>0.53859352958370721</v>
      </c>
      <c r="J82" s="324">
        <f t="shared" ca="1" si="67"/>
        <v>0.93578021983036375</v>
      </c>
      <c r="K82" s="231">
        <f t="shared" ca="1" si="68"/>
        <v>1.3666666666666663</v>
      </c>
      <c r="L82" s="89">
        <f t="shared" ca="1" si="69"/>
        <v>162.10819588181059</v>
      </c>
      <c r="M82" s="89">
        <f ca="1">L82*($F82-$G82)*(AllProps_SSW/HHProps_SSW)</f>
        <v>0.8148571428571425</v>
      </c>
      <c r="N82" s="89">
        <f t="shared" ca="1" si="70"/>
        <v>186.16470937063306</v>
      </c>
      <c r="O82" s="89">
        <f ca="1">N82*($F82-$G82)*(AllProps_SSW/HHProps_SSW)</f>
        <v>0.93578021983036375</v>
      </c>
      <c r="P82" s="324">
        <f t="shared" ca="1" si="78"/>
        <v>1.217107239580552</v>
      </c>
      <c r="Q82" s="453" t="s">
        <v>127</v>
      </c>
      <c r="R82" s="391">
        <f ca="1">P82*HHProps_SSW/((F82-G82)*AllProps_SSW)</f>
        <v>242.13208478640564</v>
      </c>
      <c r="S82" s="612">
        <f t="shared" ca="1" si="71"/>
        <v>2.5000000000000001E-2</v>
      </c>
      <c r="T82" s="612">
        <f t="shared" ca="1" si="71"/>
        <v>1.6666666666666666E-2</v>
      </c>
      <c r="U82" s="324">
        <f t="shared" ca="1" si="72"/>
        <v>5.3490671066612649E-2</v>
      </c>
      <c r="V82" s="324">
        <f t="shared" ca="1" si="73"/>
        <v>0.33457681646237136</v>
      </c>
      <c r="W82" s="512">
        <f t="shared" ca="1" si="74"/>
        <v>0.38806748752898401</v>
      </c>
      <c r="X82" s="221">
        <f t="shared" ca="1" si="75"/>
        <v>2.3916666666666671</v>
      </c>
      <c r="Y82" s="89">
        <f t="shared" ca="1" si="76"/>
        <v>28.26566546881222</v>
      </c>
      <c r="Z82" s="89">
        <f ca="1">Y82*($S82-$T82)*(AllProps_CAM/HHProps_CAM)</f>
        <v>0.25044117647058828</v>
      </c>
      <c r="AA82" s="89">
        <f t="shared" ca="1" si="77"/>
        <v>43.79865138952065</v>
      </c>
      <c r="AB82" s="89">
        <f ca="1">AA82*($S82-$T82)*(AllProps_CAM/HHProps_CAM)</f>
        <v>0.3880674875289839</v>
      </c>
      <c r="AC82" s="512">
        <f t="shared" ca="1" si="79"/>
        <v>2.5417499326254647</v>
      </c>
      <c r="AD82" s="377" t="s">
        <v>127</v>
      </c>
      <c r="AE82" s="391">
        <f ca="1">AC82*HHProps_CAM/((S82-T82)*AllProps_CAM)</f>
        <v>286.87077066739761</v>
      </c>
    </row>
    <row r="83" spans="1:31" x14ac:dyDescent="0.35">
      <c r="A83" s="7" t="s">
        <v>1177</v>
      </c>
      <c r="B83" s="7" t="s">
        <v>138</v>
      </c>
      <c r="C83" s="7" t="s">
        <v>1011</v>
      </c>
      <c r="D83" s="377" t="s">
        <v>127</v>
      </c>
      <c r="E83" s="124">
        <f t="shared" ca="1" si="63"/>
        <v>293</v>
      </c>
      <c r="F83" s="612">
        <f t="shared" ca="1" si="64"/>
        <v>1.4285714285714285E-2</v>
      </c>
      <c r="G83" s="612">
        <f t="shared" ca="1" si="64"/>
        <v>9.5238095238095247E-3</v>
      </c>
      <c r="H83" s="324">
        <f t="shared" ca="1" si="65"/>
        <v>0.39718669024665654</v>
      </c>
      <c r="I83" s="324">
        <f t="shared" ca="1" si="66"/>
        <v>0.53859352958370721</v>
      </c>
      <c r="J83" s="324">
        <f t="shared" ca="1" si="67"/>
        <v>0.93578021983036375</v>
      </c>
      <c r="K83" s="231">
        <f t="shared" ca="1" si="68"/>
        <v>1.3952380952380949</v>
      </c>
      <c r="L83" s="89">
        <f t="shared" ca="1" si="69"/>
        <v>162.10819588181059</v>
      </c>
      <c r="M83" s="89">
        <f ca="1">L83*($F83-$G83)*(AllProps_SSW/HHProps_SSW)</f>
        <v>0.8148571428571425</v>
      </c>
      <c r="N83" s="89">
        <f t="shared" ca="1" si="70"/>
        <v>186.16470937063306</v>
      </c>
      <c r="O83" s="89">
        <f ca="1">N83*($F83-$G83)*(AllProps_SSW/HHProps_SSW)</f>
        <v>0.93578021983036375</v>
      </c>
      <c r="P83" s="324">
        <f t="shared" ca="1" si="78"/>
        <v>1.242551990233804</v>
      </c>
      <c r="Q83" s="453" t="s">
        <v>127</v>
      </c>
      <c r="R83" s="391">
        <f ca="1">P83*HHProps_SSW/((F83-G83)*AllProps_SSW)</f>
        <v>247.19407959030264</v>
      </c>
      <c r="S83" s="612">
        <f t="shared" ca="1" si="71"/>
        <v>2.5000000000000001E-2</v>
      </c>
      <c r="T83" s="612">
        <f t="shared" ca="1" si="71"/>
        <v>1.6666666666666666E-2</v>
      </c>
      <c r="U83" s="324">
        <f t="shared" ca="1" si="72"/>
        <v>5.3490671066612649E-2</v>
      </c>
      <c r="V83" s="324">
        <f t="shared" ca="1" si="73"/>
        <v>0.33457681646237136</v>
      </c>
      <c r="W83" s="512">
        <f t="shared" ca="1" si="74"/>
        <v>0.38806748752898401</v>
      </c>
      <c r="X83" s="221">
        <f t="shared" ca="1" si="75"/>
        <v>2.4416666666666673</v>
      </c>
      <c r="Y83" s="89">
        <f t="shared" ca="1" si="76"/>
        <v>28.26566546881222</v>
      </c>
      <c r="Z83" s="89">
        <f ca="1">Y83*($S83-$T83)*(AllProps_CAM/HHProps_CAM)</f>
        <v>0.25044117647058828</v>
      </c>
      <c r="AA83" s="89">
        <f t="shared" ca="1" si="77"/>
        <v>43.79865138952065</v>
      </c>
      <c r="AB83" s="89">
        <f ca="1">AA83*($S83-$T83)*(AllProps_CAM/HHProps_CAM)</f>
        <v>0.3880674875289839</v>
      </c>
      <c r="AC83" s="512">
        <f t="shared" ca="1" si="79"/>
        <v>2.5948875618789593</v>
      </c>
      <c r="AD83" s="377" t="s">
        <v>127</v>
      </c>
      <c r="AE83" s="391">
        <f ca="1">AC83*HHProps_CAM/((S83-T83)*AllProps_CAM)</f>
        <v>292.86806900887632</v>
      </c>
    </row>
    <row r="84" spans="1:31" x14ac:dyDescent="0.35">
      <c r="A84" s="7" t="s">
        <v>1010</v>
      </c>
      <c r="B84" s="7" t="s">
        <v>144</v>
      </c>
      <c r="C84" s="7" t="str">
        <f>B84</f>
        <v>TempBan</v>
      </c>
      <c r="D84" s="377" t="s">
        <v>127</v>
      </c>
      <c r="E84" s="124">
        <f t="shared" ca="1" si="63"/>
        <v>38</v>
      </c>
      <c r="F84" s="612">
        <f t="shared" ca="1" si="64"/>
        <v>2.5000000000000001E-2</v>
      </c>
      <c r="G84" s="612">
        <f t="shared" ca="1" si="64"/>
        <v>1.5384615384615385E-2</v>
      </c>
      <c r="H84" s="324">
        <f t="shared" ca="1" si="65"/>
        <v>0.4084226191643695</v>
      </c>
      <c r="I84" s="324">
        <f t="shared" ca="1" si="66"/>
        <v>0.28250000903457151</v>
      </c>
      <c r="J84" s="324">
        <f t="shared" ca="1" si="67"/>
        <v>0.69092262819894101</v>
      </c>
      <c r="K84" s="231">
        <f t="shared" ca="1" si="68"/>
        <v>0.36538461538461542</v>
      </c>
      <c r="L84" s="89">
        <f t="shared" ca="1" si="69"/>
        <v>245983.27199999994</v>
      </c>
      <c r="M84" s="89">
        <f ca="1">-L84*(F84-G84)/HHProps_SSW</f>
        <v>-4.3846153846153844E-3</v>
      </c>
      <c r="N84" s="89">
        <f t="shared" ca="1" si="70"/>
        <v>387617.59897926223</v>
      </c>
      <c r="O84" s="89">
        <f ca="1">N84*(F84-G84)/HHProps_SSW*100</f>
        <v>0.69092262819894101</v>
      </c>
      <c r="P84" s="324">
        <f t="shared" ca="1" si="78"/>
        <v>0.32539921508485686</v>
      </c>
      <c r="Q84" s="457" t="s">
        <v>145</v>
      </c>
      <c r="R84" s="391">
        <f ca="1">P84*HHProps_SSW/((F84-G84)*100)</f>
        <v>182553.67144323912</v>
      </c>
      <c r="S84" s="612">
        <f t="shared" ca="1" si="71"/>
        <v>0.05</v>
      </c>
      <c r="T84" s="612">
        <f t="shared" ca="1" si="71"/>
        <v>3.3333333333333333E-2</v>
      </c>
      <c r="U84" s="324">
        <f t="shared" ca="1" si="72"/>
        <v>0.15591350717379643</v>
      </c>
      <c r="V84" s="324">
        <f t="shared" ca="1" si="73"/>
        <v>5.0130987785217407E-2</v>
      </c>
      <c r="W84" s="512">
        <f t="shared" ca="1" si="74"/>
        <v>0.20604449495901384</v>
      </c>
      <c r="X84" s="221">
        <f t="shared" ca="1" si="75"/>
        <v>0.63333333333333341</v>
      </c>
      <c r="Y84" s="89">
        <f t="shared" ca="1" si="76"/>
        <v>469608.19199999986</v>
      </c>
      <c r="Z84" s="89">
        <f ca="1">Y84*(S84-T84)/HHProps_CAM*100</f>
        <v>5.76</v>
      </c>
      <c r="AA84" s="89">
        <f t="shared" ca="1" si="77"/>
        <v>16798.64283841243</v>
      </c>
      <c r="AB84" s="89">
        <f ca="1">AA84*(S84-T84)/HHProps_CAM*100</f>
        <v>0.20604449495901386</v>
      </c>
      <c r="AC84" s="512">
        <f t="shared" ca="1" si="79"/>
        <v>0.67307663721092448</v>
      </c>
      <c r="AD84" s="477" t="s">
        <v>145</v>
      </c>
      <c r="AE84" s="391">
        <f ca="1">AC84*HHProps_CAM/((S84-T84)*100)</f>
        <v>54875.399770496901</v>
      </c>
    </row>
    <row r="85" spans="1:31" x14ac:dyDescent="0.35">
      <c r="A85" s="7" t="s">
        <v>929</v>
      </c>
      <c r="B85" s="7" t="s">
        <v>140</v>
      </c>
      <c r="C85" s="7" t="str">
        <f>B85</f>
        <v>LowPressure</v>
      </c>
      <c r="D85" s="377" t="s">
        <v>127</v>
      </c>
      <c r="E85" s="124">
        <f t="shared" ca="1" si="63"/>
        <v>80</v>
      </c>
      <c r="F85" s="612">
        <f t="shared" ca="1" si="64"/>
        <v>0.1</v>
      </c>
      <c r="G85" s="612">
        <f t="shared" ca="1" si="64"/>
        <v>6.6666666666666666E-2</v>
      </c>
      <c r="H85" s="324">
        <f t="shared" ca="1" si="65"/>
        <v>0.78010561855806027</v>
      </c>
      <c r="I85" s="324">
        <f t="shared" ca="1" si="66"/>
        <v>0.37050953266002729</v>
      </c>
      <c r="J85" s="324">
        <f t="shared" ca="1" si="67"/>
        <v>1.1506151512180876</v>
      </c>
      <c r="K85" s="231">
        <f t="shared" ca="1" si="68"/>
        <v>2.666666666666667</v>
      </c>
      <c r="L85" s="89">
        <f t="shared" ca="1" si="69"/>
        <v>41.08733075345431</v>
      </c>
      <c r="M85" s="89">
        <f ca="1">L85*($F85-$G85)*(AllProps_SSW/HHProps_SSW)</f>
        <v>1.4457142857142862</v>
      </c>
      <c r="N85" s="89">
        <f t="shared" ca="1" si="70"/>
        <v>32.700586661683175</v>
      </c>
      <c r="O85" s="89">
        <f ca="1">N85*($F85-$G85)*(AllProps_SSW/HHProps_SSW)</f>
        <v>1.1506151512180876</v>
      </c>
      <c r="P85" s="324">
        <f t="shared" ca="1" si="78"/>
        <v>2.3748433943035172</v>
      </c>
      <c r="Q85" s="453" t="s">
        <v>127</v>
      </c>
      <c r="R85" s="391">
        <f ca="1">P85*HHProps_SSW/((F85-G85)*AllProps_SSW)</f>
        <v>67.493264051959756</v>
      </c>
      <c r="S85" s="612">
        <f t="shared" ca="1" si="71"/>
        <v>9.0909090909090912E-2</v>
      </c>
      <c r="T85" s="612">
        <f t="shared" ca="1" si="71"/>
        <v>6.6666666666666666E-2</v>
      </c>
      <c r="U85" s="324">
        <f t="shared" ca="1" si="72"/>
        <v>2.1416418362159599</v>
      </c>
      <c r="V85" s="324">
        <f t="shared" ca="1" si="73"/>
        <v>0.84070533256091329</v>
      </c>
      <c r="W85" s="512">
        <f t="shared" ca="1" si="74"/>
        <v>2.9823471687768732</v>
      </c>
      <c r="X85" s="221">
        <f t="shared" ca="1" si="75"/>
        <v>1.9393939393939397</v>
      </c>
      <c r="Y85" s="89">
        <f t="shared" ca="1" si="76"/>
        <v>18.582387891224172</v>
      </c>
      <c r="Z85" s="89">
        <f ca="1">Y85*($S85-$T85)*(AllProps_CAM/HHProps_CAM)</f>
        <v>0.47896671634376553</v>
      </c>
      <c r="AA85" s="89">
        <f t="shared" ca="1" si="77"/>
        <v>115.70560129846363</v>
      </c>
      <c r="AB85" s="89">
        <f ca="1">AA85*($S85-$T85)*(AllProps_CAM/HHProps_CAM)</f>
        <v>2.9823471687768732</v>
      </c>
      <c r="AC85" s="512">
        <f t="shared" ca="1" si="79"/>
        <v>2.0610959225597685</v>
      </c>
      <c r="AD85" s="377" t="s">
        <v>127</v>
      </c>
      <c r="AE85" s="391">
        <f ca="1">AC85*HHProps_CAM/((S85-T85)*AllProps_CAM)</f>
        <v>79.963977886382594</v>
      </c>
    </row>
    <row r="86" spans="1:31" x14ac:dyDescent="0.35">
      <c r="A86" s="7" t="s">
        <v>158</v>
      </c>
      <c r="B86" s="7" t="s">
        <v>159</v>
      </c>
      <c r="C86" s="7" t="str">
        <f>B86</f>
        <v>Traffic</v>
      </c>
      <c r="D86" s="377" t="s">
        <v>127</v>
      </c>
      <c r="E86" s="119">
        <f t="shared" ca="1" si="63"/>
        <v>67</v>
      </c>
      <c r="F86" s="614">
        <f t="shared" ref="F86:G86" ca="1" si="80">INDEX(INDIRECT("SSW_WTPCore_DCE_"&amp;$B86&amp;"_Levels"),MATCH("COMBINED-HH",WTPCore_Group,0),MATCH(F$4,WTPCore_AttLevels,0))</f>
        <v>608.33333333333337</v>
      </c>
      <c r="G86" s="614">
        <f t="shared" ca="1" si="80"/>
        <v>243.33333333333334</v>
      </c>
      <c r="H86" s="324">
        <f t="shared" ref="H86" ca="1" si="81">INDEX(INDIRECT("SSW_WTPCore_DCE_"&amp;$B86&amp;"_LevelValues"),MATCH("COMBINED-HH",WTPCore_Group,0),MATCH("S1 MEAN",WTPCore_LevelValues,0))</f>
        <v>0.06</v>
      </c>
      <c r="I86" s="324">
        <f t="shared" ref="I86" ca="1" si="82">INDEX(INDIRECT("SSW_WTPCore_DCE_"&amp;$B86&amp;"_LevelValues"),MATCH("COMBINED-HH",WTPCore_Group,0),MATCH("S2 MEAN",WTPCore_LevelValues,0))</f>
        <v>0.46</v>
      </c>
      <c r="J86" s="324">
        <f t="shared" ca="1" si="67"/>
        <v>0.52</v>
      </c>
      <c r="K86" s="231">
        <f ca="1">E86*(F86-G86)/AllProps_SSW</f>
        <v>4.294683233086008E-2</v>
      </c>
      <c r="L86" s="89">
        <f t="shared" ca="1" si="69"/>
        <v>768.51298630136989</v>
      </c>
      <c r="M86" s="89">
        <f ca="1">L86*(F86-G86)/HHProps_SSW</f>
        <v>0.52</v>
      </c>
      <c r="N86" s="89">
        <f ca="1">L86</f>
        <v>768.51298630136989</v>
      </c>
      <c r="O86" s="89">
        <f ca="1">N86*(F86-G86)/HHProps_SSW</f>
        <v>0.52</v>
      </c>
      <c r="P86" s="324">
        <f t="shared" ca="1" si="78"/>
        <v>3.824700040020141E-2</v>
      </c>
      <c r="Q86" s="377" t="s">
        <v>160</v>
      </c>
      <c r="R86" s="469">
        <f ca="1">P86*HHProps_SSW/((F86-G86))</f>
        <v>56.5256086435163</v>
      </c>
      <c r="S86" s="616">
        <f t="shared" ref="S86:T86" ca="1" si="83">INDEX(INDIRECT("CAM_WTPCore_"&amp;$B86&amp;"_Levels"),MATCH("COMBINED-HH",WTPCore_Group,0),MATCH(S$4,WTPCore_AttLevels,0))</f>
        <v>365</v>
      </c>
      <c r="T86" s="616">
        <f t="shared" ca="1" si="83"/>
        <v>121.66666666666667</v>
      </c>
      <c r="U86" s="512">
        <f t="shared" ref="U86" ca="1" si="84">INDEX(INDIRECT("CAM_WTPCore_"&amp;$B86&amp;"_LevelValues"),MATCH("COMBINED-HH",WTPCore_Group,0),MATCH("S1 MEAN",WTPCore_LevelValues,0))</f>
        <v>0.21</v>
      </c>
      <c r="V86" s="512">
        <f t="shared" ref="V86" ca="1" si="85">INDEX(INDIRECT("CAM_WTPCore_"&amp;$B86&amp;"_LevelValues"),MATCH("COMBINED-HH",WTPCore_Group,0),MATCH("S2 MEAN",WTPCore_LevelValues,0))</f>
        <v>0.51</v>
      </c>
      <c r="W86" s="512">
        <f t="shared" ca="1" si="74"/>
        <v>0.72</v>
      </c>
      <c r="X86" s="221">
        <f ca="1">E86*(S86-T86)/AllProps_CAM</f>
        <v>0.11284614071274646</v>
      </c>
      <c r="Y86" s="89">
        <f t="shared" ca="1" si="76"/>
        <v>402.06180821917809</v>
      </c>
      <c r="Z86" s="89">
        <f ca="1">Y86*(S86-T86)/HHProps_CAM</f>
        <v>0.72</v>
      </c>
      <c r="AA86" s="89">
        <f ca="1">Y86</f>
        <v>402.06180821917809</v>
      </c>
      <c r="AB86" s="89">
        <f ca="1">AA86*(S86-T86)/HHProps_CAM</f>
        <v>0.72</v>
      </c>
      <c r="AC86" s="512">
        <f t="shared" ca="1" si="79"/>
        <v>0.1199275277576308</v>
      </c>
      <c r="AD86" s="377" t="s">
        <v>160</v>
      </c>
      <c r="AE86" s="391">
        <f ca="1">AC86*HHProps_CAM/((S86-T86))</f>
        <v>66.969831479845425</v>
      </c>
    </row>
    <row r="87" spans="1:31" x14ac:dyDescent="0.35">
      <c r="D87" s="377"/>
      <c r="E87" s="124"/>
      <c r="F87" s="324"/>
      <c r="G87" s="324"/>
      <c r="H87" s="324"/>
      <c r="I87" s="324"/>
      <c r="J87" s="330">
        <f ca="1">SUM(J79:J86)</f>
        <v>9.637529777586348</v>
      </c>
      <c r="K87" s="331">
        <f ca="1">SUM(K79:K86)</f>
        <v>8.9011885905726178</v>
      </c>
      <c r="L87" s="331"/>
      <c r="M87" s="331">
        <f ca="1">SUM(M79:M86)</f>
        <v>6.2166669167420601</v>
      </c>
      <c r="N87" s="331"/>
      <c r="O87" s="223">
        <f ca="1">SUM(O79:O86)</f>
        <v>9.637529777586348</v>
      </c>
      <c r="P87" s="330">
        <f ca="1">SUM(P79:P86)</f>
        <v>7.927098347164204</v>
      </c>
      <c r="R87" s="466"/>
      <c r="S87" s="90"/>
      <c r="T87" s="90"/>
      <c r="U87" s="90"/>
      <c r="V87" s="90"/>
      <c r="W87" s="44">
        <f ca="1">SUM(W79:W86)</f>
        <v>9.6990387070931252</v>
      </c>
      <c r="X87" s="389">
        <f ca="1">SUM(X79:X86)</f>
        <v>9.6924964903630961</v>
      </c>
      <c r="Y87" s="331"/>
      <c r="Z87" s="331">
        <f ca="1">SUM(Z79:Z86)</f>
        <v>10.902412694735123</v>
      </c>
      <c r="AA87" s="331"/>
      <c r="AB87" s="331">
        <f ca="1">SUM(AB79:AB86)</f>
        <v>9.6990387070931252</v>
      </c>
      <c r="AC87" s="44">
        <f ca="1">SUM(AC79:AC86)</f>
        <v>10.300725700914127</v>
      </c>
      <c r="AE87" s="391"/>
    </row>
    <row r="88" spans="1:31" s="50" customFormat="1" x14ac:dyDescent="0.35">
      <c r="D88" s="379"/>
      <c r="E88" s="14"/>
      <c r="F88" s="409"/>
      <c r="G88" s="409"/>
      <c r="H88" s="409"/>
      <c r="I88" s="409"/>
      <c r="J88" s="409"/>
      <c r="K88" s="613"/>
      <c r="L88" s="613"/>
      <c r="M88" s="163" t="s">
        <v>361</v>
      </c>
      <c r="N88" s="546">
        <f ca="1">AVERAGE(M87,O87)</f>
        <v>7.927098347164204</v>
      </c>
      <c r="O88" s="163"/>
      <c r="P88" s="134"/>
      <c r="Q88" s="458"/>
      <c r="R88" s="467"/>
      <c r="S88" s="152"/>
      <c r="T88" s="152"/>
      <c r="U88" s="152"/>
      <c r="V88" s="152"/>
      <c r="W88" s="152"/>
      <c r="X88" s="613"/>
      <c r="Y88" s="613"/>
      <c r="Z88" s="163" t="s">
        <v>361</v>
      </c>
      <c r="AA88" s="546">
        <f ca="1">AVERAGE(Z87,AB87)</f>
        <v>10.300725700914125</v>
      </c>
      <c r="AB88" s="163"/>
      <c r="AC88" s="134"/>
      <c r="AE88" s="392"/>
    </row>
    <row r="89" spans="1:31" x14ac:dyDescent="0.35">
      <c r="A89" s="51" t="s">
        <v>101</v>
      </c>
      <c r="B89" s="51"/>
      <c r="D89" s="378"/>
      <c r="E89" s="218"/>
      <c r="F89" s="218"/>
      <c r="G89" s="218"/>
      <c r="H89" s="330"/>
      <c r="I89" s="330"/>
      <c r="J89" s="330"/>
      <c r="K89" s="389"/>
      <c r="L89" s="389"/>
      <c r="M89" s="389"/>
      <c r="N89" s="389"/>
      <c r="O89" s="389"/>
      <c r="P89" s="45"/>
      <c r="Q89" s="456"/>
      <c r="R89" s="468"/>
      <c r="S89" s="45"/>
      <c r="T89" s="45"/>
      <c r="U89" s="44"/>
      <c r="V89" s="44"/>
      <c r="W89" s="44"/>
      <c r="X89" s="389"/>
      <c r="Y89" s="389"/>
      <c r="Z89" s="389"/>
      <c r="AA89" s="389"/>
      <c r="AB89" s="389"/>
      <c r="AC89" s="45"/>
      <c r="AE89" s="393"/>
    </row>
    <row r="90" spans="1:31" x14ac:dyDescent="0.35">
      <c r="A90" s="7" t="s">
        <v>129</v>
      </c>
      <c r="B90" s="7" t="s">
        <v>130</v>
      </c>
      <c r="C90" s="7" t="str">
        <f>B90</f>
        <v>Discolour</v>
      </c>
      <c r="D90" s="377" t="s">
        <v>127</v>
      </c>
      <c r="E90" s="124">
        <f ca="1">INDEX(INDIRECT("ExtWTP19_"&amp;$C90&amp;"_UnitValues"),MATCH(A$89, INDIRECT("ExtWTP19_Comps_"&amp;C90),0),MATCH("HH",ExtWTP_Group,0))</f>
        <v>139</v>
      </c>
      <c r="F90" s="612">
        <f t="shared" ref="F90:G94" ca="1" si="86">INDEX(INDIRECT("SSW_WTPCore2_"&amp;$B90&amp;"_Levels"),1,MATCH(F$4,WTPCore2_AttLevels,0))</f>
        <v>6.6666666666666666E-2</v>
      </c>
      <c r="G90" s="612">
        <f t="shared" ca="1" si="86"/>
        <v>0.04</v>
      </c>
      <c r="H90" s="324">
        <f ca="1">INDEX(INDIRECT("SSW_WTPCore2_"&amp;$B90&amp;"_LevelValues"),1,MATCH("S1 MEAN",WTPCore2_LevelValues,0))</f>
        <v>3.3679929677046498</v>
      </c>
      <c r="I90" s="324">
        <f ca="1">INDEX(INDIRECT("SSW_WTPCore2_"&amp;$B90&amp;"_LevelValues"),1,MATCH("S2 MEAN",WTPCore2_LevelValues,0))</f>
        <v>0.60669022375558512</v>
      </c>
      <c r="J90" s="324">
        <f ca="1">SUM(H90:I90)</f>
        <v>3.974683191460235</v>
      </c>
      <c r="K90" s="231">
        <f ca="1">E90*(F90-G90)</f>
        <v>3.7066666666666666</v>
      </c>
      <c r="L90" s="89">
        <f ca="1">INDEX(INDIRECT("SSW_WTPCore_DCE_"&amp;$B90&amp;"_UnitValues"),MATCH("COMBINED-HH",WTPCore_Group,0),MATCH("MEAN",LMH,0))</f>
        <v>28.111247840776404</v>
      </c>
      <c r="M90" s="89">
        <f ca="1">L90*($F90-$G90)*(AllProps_SSW/HHProps_SSW)</f>
        <v>0.79130635838150276</v>
      </c>
      <c r="N90" s="89">
        <f ca="1">INDEX(INDIRECT("SSW_WTPCore2_"&amp;$B90&amp;"_UnitValues"),1,MATCH("MEAN",LMH,0))</f>
        <v>141.20106972505607</v>
      </c>
      <c r="O90" s="89">
        <f ca="1">N90*($F90-$G90)*(AllProps_SSW/HHProps_SSW)</f>
        <v>3.9746831914602345</v>
      </c>
      <c r="P90" s="324">
        <f ca="1">K90*N$96/K$95</f>
        <v>1.9587151089590511</v>
      </c>
      <c r="Q90" s="453" t="s">
        <v>127</v>
      </c>
      <c r="R90" s="391">
        <f ca="1">P90*HHProps_SSW/((F90-G90)*AllProps_SSW)</f>
        <v>69.583575683685979</v>
      </c>
      <c r="S90" s="612">
        <f t="shared" ref="S90:T94" ca="1" si="87">INDEX(INDIRECT("CAM_WTPCore2_"&amp;$B90&amp;"_Levels"),1,MATCH(S$4,WTPCore2_AttLevels,0))</f>
        <v>2.2222222222222223E-2</v>
      </c>
      <c r="T90" s="612">
        <f t="shared" ca="1" si="87"/>
        <v>1.5384615384615385E-2</v>
      </c>
      <c r="U90" s="324">
        <f ca="1">INDEX(INDIRECT("CAM_WTPCore2_"&amp;$B90&amp;"_LevelValues"),1,MATCH("S1 MEAN",WTPCore2_LevelValues,0))</f>
        <v>3.1155463151224057</v>
      </c>
      <c r="V90" s="324">
        <f ca="1">INDEX(INDIRECT("CAM_WTPCore2_"&amp;$B90&amp;"_LevelValues"),1,MATCH("S2 MEAN",WTPCore2_LevelValues,0))</f>
        <v>1.3419840000849801</v>
      </c>
      <c r="W90" s="512">
        <f ca="1">SUM(U90:V90)</f>
        <v>4.4575303152073857</v>
      </c>
      <c r="X90" s="221">
        <f ca="1">E90*(S90-T90)</f>
        <v>0.95042735042735038</v>
      </c>
      <c r="Y90" s="89">
        <f ca="1">INDEX(INDIRECT("CAM_WTPCore_"&amp;$B90&amp;"_UnitValues"),MATCH("COMBINED-HH",WTPCore_Group,0),MATCH("MEAN",LMH,0))</f>
        <v>308.90334405201918</v>
      </c>
      <c r="Z90" s="89">
        <f ca="1">Y90*($S90-$T90)*(AllProps_CAM/HHProps_CAM)</f>
        <v>2.2457142857142856</v>
      </c>
      <c r="AA90" s="89">
        <f ca="1">INDEX(INDIRECT("CAM_WTPCore2_"&amp;$B90&amp;"_UnitValues"),1,MATCH("MEAN",LMH,0))</f>
        <v>613.1439022942551</v>
      </c>
      <c r="AB90" s="89">
        <f ca="1">AA90*($S90-$T90)*(AllProps_CAM/HHProps_CAM)</f>
        <v>4.4575303152073857</v>
      </c>
      <c r="AC90" s="512">
        <f ca="1">X90*AA$96/X$95</f>
        <v>0.42977450886853508</v>
      </c>
      <c r="AD90" s="377" t="s">
        <v>127</v>
      </c>
      <c r="AE90" s="391">
        <f ca="1">AC90*HHProps_CAM/((S90-T90)*AllProps_CAM)</f>
        <v>59.116506415052974</v>
      </c>
    </row>
    <row r="91" spans="1:31" x14ac:dyDescent="0.35">
      <c r="A91" s="7" t="s">
        <v>131</v>
      </c>
      <c r="B91" s="7" t="s">
        <v>132</v>
      </c>
      <c r="C91" s="7" t="str">
        <f>B91</f>
        <v>TasteSmell</v>
      </c>
      <c r="D91" s="377" t="s">
        <v>127</v>
      </c>
      <c r="E91" s="124">
        <f ca="1">INDEX(INDIRECT("ExtWTP19_"&amp;$C91&amp;"_UnitValues"),MATCH(A$89, INDIRECT("ExtWTP19_Comps_"&amp;C91),0),MATCH("HH",ExtWTP_Group,0))</f>
        <v>266</v>
      </c>
      <c r="F91" s="612">
        <f t="shared" ca="1" si="86"/>
        <v>1.6666666666666666E-2</v>
      </c>
      <c r="G91" s="612">
        <f t="shared" ca="1" si="86"/>
        <v>1.1111111111111112E-2</v>
      </c>
      <c r="H91" s="324">
        <f ca="1">INDEX(INDIRECT("SSW_WTPCore2_"&amp;$B91&amp;"_LevelValues"),1,MATCH("S1 MEAN",WTPCore2_LevelValues,0))</f>
        <v>0.30818609087835352</v>
      </c>
      <c r="I91" s="324">
        <f ca="1">INDEX(INDIRECT("SSW_WTPCore2_"&amp;$B91&amp;"_LevelValues"),1,MATCH("S2 MEAN",WTPCore2_LevelValues,0))</f>
        <v>0.18578205633963885</v>
      </c>
      <c r="J91" s="324">
        <f ca="1">SUM(H91:I91)</f>
        <v>0.49396814721799237</v>
      </c>
      <c r="K91" s="231">
        <f ca="1">E91*(F91-G91)</f>
        <v>1.4777777777777776</v>
      </c>
      <c r="L91" s="89">
        <f ca="1">INDEX(INDIRECT("SSW_WTPCore_DCE_"&amp;$B91&amp;"_UnitValues"),MATCH("COMBINED-HH",WTPCore_Group,0),MATCH("MEAN",LMH,0))</f>
        <v>173.83878023943072</v>
      </c>
      <c r="M91" s="89">
        <f ca="1">L91*($F91-$G91)*(AllProps_SSW/HHProps_SSW)</f>
        <v>1.0194594594594593</v>
      </c>
      <c r="N91" s="89">
        <f ca="1">INDEX(INDIRECT("SSW_WTPCore2_"&amp;$B91&amp;"_UnitValues"),1,MATCH("MEAN",LMH,0))</f>
        <v>84.231716516748989</v>
      </c>
      <c r="O91" s="89">
        <f ca="1">N91*($F91-$G91)*(AllProps_SSW/HHProps_SSW)</f>
        <v>0.49396814721799237</v>
      </c>
      <c r="P91" s="324">
        <f t="shared" ref="P91:P94" ca="1" si="88">K91*N$96/K$95</f>
        <v>0.78090260638954967</v>
      </c>
      <c r="Q91" s="453" t="s">
        <v>127</v>
      </c>
      <c r="R91" s="391">
        <f ca="1">P91*HHProps_SSW/((F91-G91)*AllProps_SSW)</f>
        <v>133.15993620043506</v>
      </c>
      <c r="S91" s="612">
        <f t="shared" ca="1" si="87"/>
        <v>1.4285714285714285E-2</v>
      </c>
      <c r="T91" s="612">
        <f t="shared" ca="1" si="87"/>
        <v>0.01</v>
      </c>
      <c r="U91" s="324">
        <f ca="1">INDEX(INDIRECT("CAM_WTPCore2_"&amp;$B91&amp;"_LevelValues"),1,MATCH("S1 MEAN",WTPCore2_LevelValues,0))</f>
        <v>4.7204807663126298E-2</v>
      </c>
      <c r="V91" s="324">
        <f ca="1">INDEX(INDIRECT("CAM_WTPCore2_"&amp;$B91&amp;"_LevelValues"),1,MATCH("S2 MEAN",WTPCore2_LevelValues,0))</f>
        <v>0.1217094578997745</v>
      </c>
      <c r="W91" s="512">
        <f ca="1">SUM(U91:V91)</f>
        <v>0.16891426556290079</v>
      </c>
      <c r="X91" s="221">
        <f ca="1">E91*(S91-T91)</f>
        <v>1.1399999999999999</v>
      </c>
      <c r="Y91" s="89">
        <f ca="1">INDEX(INDIRECT("CAM_WTPCore_"&amp;$B91&amp;"_UnitValues"),MATCH("COMBINED-HH",WTPCore_Group,0),MATCH("MEAN",LMH,0))</f>
        <v>207.69569571588755</v>
      </c>
      <c r="Z91" s="89">
        <f ca="1">Y91*($S91-$T91)*(AllProps_CAM/HHProps_CAM)</f>
        <v>0.94640816326530586</v>
      </c>
      <c r="AA91" s="89">
        <f ca="1">INDEX(INDIRECT("CAM_WTPCore2_"&amp;$B91&amp;"_UnitValues"),1,MATCH("MEAN",LMH,0))</f>
        <v>37.069382180075451</v>
      </c>
      <c r="AB91" s="89">
        <f ca="1">AA91*($S91-$T91)*(AllProps_CAM/HHProps_CAM)</f>
        <v>0.16891426556290079</v>
      </c>
      <c r="AC91" s="512">
        <f t="shared" ref="AC91:AC94" ca="1" si="89">X91*AA$96/X$95</f>
        <v>0.51549751792162957</v>
      </c>
      <c r="AD91" s="377" t="s">
        <v>127</v>
      </c>
      <c r="AE91" s="391">
        <f ca="1">AC91*HHProps_CAM/((S91-T91)*AllProps_CAM)</f>
        <v>113.12942954247549</v>
      </c>
    </row>
    <row r="92" spans="1:31" x14ac:dyDescent="0.35">
      <c r="A92" s="7" t="s">
        <v>855</v>
      </c>
      <c r="B92" s="7" t="s">
        <v>138</v>
      </c>
      <c r="C92" s="7" t="s">
        <v>1008</v>
      </c>
      <c r="D92" s="377" t="s">
        <v>127</v>
      </c>
      <c r="E92" s="124">
        <f ca="1">INDEX(INDIRECT("ExtWTP19_"&amp;$C92&amp;"_UnitValues"),MATCH(A$89, INDIRECT("ExtWTP19_Comps_"&amp;C92),0),MATCH("HH",ExtWTP_Group,0))</f>
        <v>282</v>
      </c>
      <c r="F92" s="612">
        <f t="shared" ca="1" si="86"/>
        <v>1.4285714285714285E-2</v>
      </c>
      <c r="G92" s="612">
        <f t="shared" ca="1" si="86"/>
        <v>9.5238095238095247E-3</v>
      </c>
      <c r="H92" s="324">
        <f ca="1">INDEX(INDIRECT("SSW_WTPCore2_"&amp;$B92&amp;"_LevelValues"),1,MATCH("S1 MEAN",WTPCore2_LevelValues,0))</f>
        <v>0.39718669024665654</v>
      </c>
      <c r="I92" s="324">
        <f ca="1">INDEX(INDIRECT("SSW_WTPCore2_"&amp;$B92&amp;"_LevelValues"),1,MATCH("S2 MEAN",WTPCore2_LevelValues,0))</f>
        <v>0.53859352958370721</v>
      </c>
      <c r="J92" s="324">
        <f ca="1">SUM(H92:I92)</f>
        <v>0.93578021983036375</v>
      </c>
      <c r="K92" s="231">
        <f ca="1">E92*(F92-G92)</f>
        <v>1.3428571428571425</v>
      </c>
      <c r="L92" s="89">
        <f ca="1">INDEX(INDIRECT("SSW_WTPCore_DCE_"&amp;$B92&amp;"_UnitValues"),MATCH("COMBINED-HH",WTPCore_Group,0),MATCH("MEAN",LMH,0))</f>
        <v>162.10819588181059</v>
      </c>
      <c r="M92" s="89">
        <f ca="1">L92*($F92-$G92)*(AllProps_SSW/HHProps_SSW)</f>
        <v>0.8148571428571425</v>
      </c>
      <c r="N92" s="89">
        <f ca="1">INDEX(INDIRECT("SSW_WTPCore2_"&amp;$B92&amp;"_UnitValues"),1,MATCH("MEAN",LMH,0))</f>
        <v>186.16470937063306</v>
      </c>
      <c r="O92" s="89">
        <f ca="1">N92*($F92-$G92)*(AllProps_SSW/HHProps_SSW)</f>
        <v>0.93578021983036375</v>
      </c>
      <c r="P92" s="324">
        <f t="shared" ca="1" si="88"/>
        <v>0.7096064500596766</v>
      </c>
      <c r="Q92" s="453" t="s">
        <v>127</v>
      </c>
      <c r="R92" s="391">
        <f ca="1">P92*HHProps_SSW/((F92-G92)*AllProps_SSW)</f>
        <v>141.16955642301758</v>
      </c>
      <c r="S92" s="612">
        <f t="shared" ca="1" si="87"/>
        <v>2.5000000000000001E-2</v>
      </c>
      <c r="T92" s="612">
        <f t="shared" ca="1" si="87"/>
        <v>1.6666666666666666E-2</v>
      </c>
      <c r="U92" s="324">
        <f ca="1">INDEX(INDIRECT("CAM_WTPCore2_"&amp;$B92&amp;"_LevelValues"),1,MATCH("S1 MEAN",WTPCore2_LevelValues,0))</f>
        <v>5.3490671066612649E-2</v>
      </c>
      <c r="V92" s="324">
        <f ca="1">INDEX(INDIRECT("CAM_WTPCore2_"&amp;$B92&amp;"_LevelValues"),1,MATCH("S2 MEAN",WTPCore2_LevelValues,0))</f>
        <v>0.33457681646237136</v>
      </c>
      <c r="W92" s="512">
        <f ca="1">SUM(U92:V92)</f>
        <v>0.38806748752898401</v>
      </c>
      <c r="X92" s="221">
        <f ca="1">E92*(S92-T92)</f>
        <v>2.3500000000000005</v>
      </c>
      <c r="Y92" s="89">
        <f ca="1">INDEX(INDIRECT("CAM_WTPCore_"&amp;$B92&amp;"_UnitValues"),MATCH("COMBINED-HH",WTPCore_Group,0),MATCH("MEAN",LMH,0))</f>
        <v>28.26566546881222</v>
      </c>
      <c r="Z92" s="89">
        <f ca="1">Y92*($S92-$T92)*(AllProps_CAM/HHProps_CAM)</f>
        <v>0.25044117647058828</v>
      </c>
      <c r="AA92" s="89">
        <f ca="1">INDEX(INDIRECT("CAM_WTPCore2_"&amp;$B92&amp;"_UnitValues"),1,MATCH("MEAN",LMH,0))</f>
        <v>43.79865138952065</v>
      </c>
      <c r="AB92" s="89">
        <f ca="1">AA92*($S92-$T92)*(AllProps_CAM/HHProps_CAM)</f>
        <v>0.3880674875289839</v>
      </c>
      <c r="AC92" s="512">
        <f t="shared" ca="1" si="89"/>
        <v>1.0626483922068684</v>
      </c>
      <c r="AD92" s="377" t="s">
        <v>127</v>
      </c>
      <c r="AE92" s="391">
        <f ca="1">AC92*HHProps_CAM/((S92-T92)*AllProps_CAM)</f>
        <v>119.93420725931614</v>
      </c>
    </row>
    <row r="93" spans="1:31" x14ac:dyDescent="0.35">
      <c r="A93" s="7" t="s">
        <v>1176</v>
      </c>
      <c r="B93" s="7" t="s">
        <v>138</v>
      </c>
      <c r="C93" s="7" t="s">
        <v>1007</v>
      </c>
      <c r="D93" s="377" t="s">
        <v>127</v>
      </c>
      <c r="E93" s="124">
        <f ca="1">INDEX(INDIRECT("ExtWTP19_"&amp;$C93&amp;"_UnitValues"),MATCH(A$89, INDIRECT("ExtWTP19_Comps_"&amp;C93),0),MATCH("HH",ExtWTP_Group,0))</f>
        <v>515</v>
      </c>
      <c r="F93" s="612">
        <f t="shared" ca="1" si="86"/>
        <v>1.4285714285714285E-2</v>
      </c>
      <c r="G93" s="612">
        <f t="shared" ca="1" si="86"/>
        <v>9.5238095238095247E-3</v>
      </c>
      <c r="H93" s="324">
        <f ca="1">INDEX(INDIRECT("SSW_WTPCore2_"&amp;$B93&amp;"_LevelValues"),1,MATCH("S1 MEAN",WTPCore2_LevelValues,0))</f>
        <v>0.39718669024665654</v>
      </c>
      <c r="I93" s="324">
        <f ca="1">INDEX(INDIRECT("SSW_WTPCore2_"&amp;$B93&amp;"_LevelValues"),1,MATCH("S2 MEAN",WTPCore2_LevelValues,0))</f>
        <v>0.53859352958370721</v>
      </c>
      <c r="J93" s="324">
        <f ca="1">SUM(H93:I93)</f>
        <v>0.93578021983036375</v>
      </c>
      <c r="K93" s="231">
        <f ca="1">E93*(F93-G93)</f>
        <v>2.4523809523809517</v>
      </c>
      <c r="L93" s="89">
        <f ca="1">INDEX(INDIRECT("SSW_WTPCore_DCE_"&amp;$B93&amp;"_UnitValues"),MATCH("COMBINED-HH",WTPCore_Group,0),MATCH("MEAN",LMH,0))</f>
        <v>162.10819588181059</v>
      </c>
      <c r="M93" s="89">
        <f ca="1">L93*($F93-$G93)*(AllProps_SSW/HHProps_SSW)</f>
        <v>0.8148571428571425</v>
      </c>
      <c r="N93" s="89">
        <f ca="1">INDEX(INDIRECT("SSW_WTPCore2_"&amp;$B93&amp;"_UnitValues"),1,MATCH("MEAN",LMH,0))</f>
        <v>186.16470937063306</v>
      </c>
      <c r="O93" s="89">
        <f ca="1">N93*($F93-$G93)*(AllProps_SSW/HHProps_SSW)</f>
        <v>0.93578021983036375</v>
      </c>
      <c r="P93" s="324">
        <f t="shared" ca="1" si="88"/>
        <v>1.2959124885841611</v>
      </c>
      <c r="Q93" s="453" t="s">
        <v>127</v>
      </c>
      <c r="R93" s="391">
        <f ca="1">P93*HHProps_SSW/((F93-G93)*AllProps_SSW)</f>
        <v>257.80965091437611</v>
      </c>
      <c r="S93" s="612">
        <f t="shared" ca="1" si="87"/>
        <v>2.5000000000000001E-2</v>
      </c>
      <c r="T93" s="612">
        <f t="shared" ca="1" si="87"/>
        <v>1.6666666666666666E-2</v>
      </c>
      <c r="U93" s="324">
        <f ca="1">INDEX(INDIRECT("CAM_WTPCore2_"&amp;$B93&amp;"_LevelValues"),1,MATCH("S1 MEAN",WTPCore2_LevelValues,0))</f>
        <v>5.3490671066612649E-2</v>
      </c>
      <c r="V93" s="324">
        <f ca="1">INDEX(INDIRECT("CAM_WTPCore2_"&amp;$B93&amp;"_LevelValues"),1,MATCH("S2 MEAN",WTPCore2_LevelValues,0))</f>
        <v>0.33457681646237136</v>
      </c>
      <c r="W93" s="512">
        <f ca="1">SUM(U93:V93)</f>
        <v>0.38806748752898401</v>
      </c>
      <c r="X93" s="221">
        <f ca="1">E93*(S93-T93)</f>
        <v>4.2916666666666679</v>
      </c>
      <c r="Y93" s="89">
        <f ca="1">INDEX(INDIRECT("CAM_WTPCore_"&amp;$B93&amp;"_UnitValues"),MATCH("COMBINED-HH",WTPCore_Group,0),MATCH("MEAN",LMH,0))</f>
        <v>28.26566546881222</v>
      </c>
      <c r="Z93" s="89">
        <f ca="1">Y93*($S93-$T93)*(AllProps_CAM/HHProps_CAM)</f>
        <v>0.25044117647058828</v>
      </c>
      <c r="AA93" s="89">
        <f ca="1">INDEX(INDIRECT("CAM_WTPCore2_"&amp;$B93&amp;"_UnitValues"),1,MATCH("MEAN",LMH,0))</f>
        <v>43.79865138952065</v>
      </c>
      <c r="AB93" s="89">
        <f ca="1">AA93*($S93-$T93)*(AllProps_CAM/HHProps_CAM)</f>
        <v>0.3880674875289839</v>
      </c>
      <c r="AC93" s="512">
        <f t="shared" ca="1" si="89"/>
        <v>1.9406522056260187</v>
      </c>
      <c r="AD93" s="377" t="s">
        <v>127</v>
      </c>
      <c r="AE93" s="391">
        <f ca="1">AC93*HHProps_CAM/((S93-T93)*AllProps_CAM)</f>
        <v>219.02878276080787</v>
      </c>
    </row>
    <row r="94" spans="1:31" x14ac:dyDescent="0.35">
      <c r="A94" s="7" t="s">
        <v>1010</v>
      </c>
      <c r="B94" s="7" t="s">
        <v>144</v>
      </c>
      <c r="C94" s="7" t="str">
        <f>B94</f>
        <v>TempBan</v>
      </c>
      <c r="D94" s="377" t="s">
        <v>127</v>
      </c>
      <c r="E94" s="124">
        <f ca="1">INDEX(INDIRECT("ExtWTP19_"&amp;$C94&amp;"_UnitValues"),MATCH(A$89, INDIRECT("ExtWTP19_Comps_"&amp;C94),0),MATCH("HH",ExtWTP_Group,0))</f>
        <v>97</v>
      </c>
      <c r="F94" s="612">
        <f t="shared" ca="1" si="86"/>
        <v>2.5000000000000001E-2</v>
      </c>
      <c r="G94" s="612">
        <f t="shared" ca="1" si="86"/>
        <v>1.5384615384615385E-2</v>
      </c>
      <c r="H94" s="324">
        <f ca="1">INDEX(INDIRECT("SSW_WTPCore2_"&amp;$B94&amp;"_LevelValues"),1,MATCH("S1 MEAN",WTPCore2_LevelValues,0))</f>
        <v>0.4084226191643695</v>
      </c>
      <c r="I94" s="324">
        <f ca="1">INDEX(INDIRECT("SSW_WTPCore2_"&amp;$B94&amp;"_LevelValues"),1,MATCH("S2 MEAN",WTPCore2_LevelValues,0))</f>
        <v>0.28250000903457151</v>
      </c>
      <c r="J94" s="324">
        <f ca="1">SUM(H94:I94)</f>
        <v>0.69092262819894101</v>
      </c>
      <c r="K94" s="231">
        <f ca="1">E94*(F94-G94)</f>
        <v>0.93269230769230771</v>
      </c>
      <c r="L94" s="89">
        <f ca="1">INDEX(INDIRECT("SSW_WTPCore_DCE_"&amp;$B94&amp;"_UnitValues"),MATCH("COMBINED-HH",WTPCore_Group,0),MATCH("MEAN",LMH,0))</f>
        <v>245983.27199999994</v>
      </c>
      <c r="M94" s="89">
        <f ca="1">L94*(F94-G94)/HHProps_SSW</f>
        <v>4.3846153846153844E-3</v>
      </c>
      <c r="N94" s="89">
        <f ca="1">INDEX(INDIRECT("SSW_WTPCore2_"&amp;$B94&amp;"_UnitValues"),1,MATCH("MEAN",LMH,0))</f>
        <v>387617.59897926223</v>
      </c>
      <c r="O94" s="89">
        <f ca="1">N94*(F94-G94)/HHProps_SSW*100</f>
        <v>0.69092262819894101</v>
      </c>
      <c r="P94" s="324">
        <f t="shared" ca="1" si="88"/>
        <v>0.49286290874644084</v>
      </c>
      <c r="Q94" s="457" t="s">
        <v>145</v>
      </c>
      <c r="R94" s="391">
        <f ca="1">P94*HHProps_SSW/((F94-G94)*100)</f>
        <v>276503.22846167197</v>
      </c>
      <c r="S94" s="612">
        <f t="shared" ca="1" si="87"/>
        <v>0.05</v>
      </c>
      <c r="T94" s="612">
        <f t="shared" ca="1" si="87"/>
        <v>3.3333333333333333E-2</v>
      </c>
      <c r="U94" s="324">
        <f ca="1">INDEX(INDIRECT("CAM_WTPCore2_"&amp;$B94&amp;"_LevelValues"),1,MATCH("S1 MEAN",WTPCore2_LevelValues,0))</f>
        <v>0.15591350717379643</v>
      </c>
      <c r="V94" s="324">
        <f ca="1">INDEX(INDIRECT("CAM_WTPCore2_"&amp;$B94&amp;"_LevelValues"),1,MATCH("S2 MEAN",WTPCore2_LevelValues,0))</f>
        <v>5.0130987785217407E-2</v>
      </c>
      <c r="W94" s="168">
        <f ca="1">SUM(U94:V94)</f>
        <v>0.20604449495901384</v>
      </c>
      <c r="X94" s="221">
        <f ca="1">E94*(S94-T94)</f>
        <v>1.6166666666666669</v>
      </c>
      <c r="Y94" s="89">
        <f ca="1">INDEX(INDIRECT("CAM_WTPCore_"&amp;$B94&amp;"_UnitValues"),MATCH("COMBINED-HH",WTPCore_Group,0),MATCH("MEAN",LMH,0))</f>
        <v>469608.19199999986</v>
      </c>
      <c r="Z94" s="89">
        <f ca="1">Y94*(S94-T94)/HHProps_CAM</f>
        <v>5.7599999999999998E-2</v>
      </c>
      <c r="AA94" s="89">
        <f ca="1">INDEX(INDIRECT("CAM_WTPCore2_"&amp;$B94&amp;"_UnitValues"),1,MATCH("MEAN",LMH,0))</f>
        <v>16798.64283841243</v>
      </c>
      <c r="AB94" s="89">
        <f ca="1">AA94*(S94-T94)/HHProps_CAM*100</f>
        <v>0.20604449495901386</v>
      </c>
      <c r="AC94" s="512">
        <f t="shared" ca="1" si="89"/>
        <v>0.73104180173096611</v>
      </c>
      <c r="AD94" s="477" t="s">
        <v>145</v>
      </c>
      <c r="AE94" s="391">
        <f ca="1">AC94*HHProps_CAM/((S94-T94)*100)</f>
        <v>59601.253261684273</v>
      </c>
    </row>
    <row r="95" spans="1:31" x14ac:dyDescent="0.35">
      <c r="D95" s="377"/>
      <c r="E95" s="124"/>
      <c r="F95" s="324"/>
      <c r="G95" s="324"/>
      <c r="H95" s="324"/>
      <c r="I95" s="324"/>
      <c r="J95" s="330">
        <f ca="1">SUM(J90:J94)</f>
        <v>7.0311344065378965</v>
      </c>
      <c r="K95" s="331">
        <f ca="1">SUM(K90:K94)</f>
        <v>9.9123748473748474</v>
      </c>
      <c r="L95" s="331"/>
      <c r="M95" s="331">
        <f ca="1">SUM(M90:M94)</f>
        <v>3.4448647189398622</v>
      </c>
      <c r="N95" s="331"/>
      <c r="O95" s="223">
        <f ca="1">SUM(O90:O94)</f>
        <v>7.0311344065378965</v>
      </c>
      <c r="P95" s="330">
        <f ca="1">SUM(P90:P94)</f>
        <v>5.2379995627388789</v>
      </c>
      <c r="R95" s="466"/>
      <c r="S95" s="90"/>
      <c r="T95" s="90"/>
      <c r="U95" s="90"/>
      <c r="V95" s="90"/>
      <c r="W95" s="44">
        <f ca="1">SUM(W90:W94)</f>
        <v>5.6086240507872676</v>
      </c>
      <c r="X95" s="389">
        <f ca="1">SUM(X90:X94)</f>
        <v>10.348760683760686</v>
      </c>
      <c r="Y95" s="331"/>
      <c r="Z95" s="331">
        <f ca="1">SUM(Z90:Z94)</f>
        <v>3.7506048019207681</v>
      </c>
      <c r="AA95" s="331"/>
      <c r="AB95" s="223">
        <f ca="1">SUM(AB90:AB94)</f>
        <v>5.6086240507872676</v>
      </c>
      <c r="AC95" s="44">
        <f ca="1">SUM(AC90:AC94)</f>
        <v>4.6796144263540178</v>
      </c>
      <c r="AE95" s="391"/>
    </row>
    <row r="96" spans="1:31" s="50" customFormat="1" x14ac:dyDescent="0.35">
      <c r="D96" s="379"/>
      <c r="E96" s="14"/>
      <c r="F96" s="409"/>
      <c r="G96" s="409"/>
      <c r="H96" s="409"/>
      <c r="I96" s="409"/>
      <c r="J96" s="409"/>
      <c r="K96" s="613"/>
      <c r="L96" s="613"/>
      <c r="M96" s="163" t="s">
        <v>361</v>
      </c>
      <c r="N96" s="546">
        <f ca="1">AVERAGE(M95,O95)</f>
        <v>5.2379995627388798</v>
      </c>
      <c r="O96" s="163"/>
      <c r="P96" s="134"/>
      <c r="Q96" s="458"/>
      <c r="R96" s="467"/>
      <c r="S96" s="152"/>
      <c r="T96" s="152"/>
      <c r="U96" s="152"/>
      <c r="V96" s="152"/>
      <c r="W96" s="152"/>
      <c r="X96" s="613"/>
      <c r="Y96" s="613"/>
      <c r="Z96" s="163" t="s">
        <v>361</v>
      </c>
      <c r="AA96" s="546">
        <f ca="1">AVERAGE(Z95,AB95)</f>
        <v>4.6796144263540178</v>
      </c>
      <c r="AB96" s="163"/>
      <c r="AC96" s="134"/>
      <c r="AE96" s="392"/>
    </row>
    <row r="97" spans="1:31" x14ac:dyDescent="0.35">
      <c r="A97" s="51" t="s">
        <v>104</v>
      </c>
      <c r="F97" s="90"/>
      <c r="G97" s="90"/>
      <c r="H97" s="90"/>
      <c r="I97" s="90"/>
      <c r="J97" s="90"/>
      <c r="K97" s="133"/>
      <c r="L97" s="133"/>
      <c r="M97" s="133"/>
      <c r="N97" s="133"/>
      <c r="O97" s="133"/>
      <c r="P97" s="133"/>
      <c r="R97" s="466"/>
      <c r="S97" s="90"/>
      <c r="T97" s="90"/>
      <c r="U97" s="90"/>
      <c r="V97" s="90"/>
      <c r="W97" s="90"/>
      <c r="X97" s="90"/>
      <c r="Y97" s="133"/>
      <c r="Z97" s="133"/>
      <c r="AA97" s="133"/>
      <c r="AB97" s="133"/>
      <c r="AC97" s="133"/>
      <c r="AE97" s="466"/>
    </row>
    <row r="98" spans="1:31" x14ac:dyDescent="0.35">
      <c r="A98" s="7" t="s">
        <v>1010</v>
      </c>
      <c r="B98" s="7" t="s">
        <v>144</v>
      </c>
      <c r="C98" s="7" t="str">
        <f>B98</f>
        <v>TempBan</v>
      </c>
      <c r="D98" s="377" t="s">
        <v>127</v>
      </c>
      <c r="E98" s="124">
        <f ca="1">INDEX(INDIRECT("ExtWTP19_"&amp;$C98&amp;"_UnitValues"),MATCH(A$78, INDIRECT("ExtWTP19_Comps_"&amp;C98),0),MATCH("HH",ExtWTP_Group,0))</f>
        <v>38</v>
      </c>
      <c r="F98" s="612">
        <f t="shared" ref="F98:G100" ca="1" si="90">INDEX(INDIRECT("SSW_WTPCore2_"&amp;$B98&amp;"_Levels"),1,MATCH(F$4,WTPCore2_AttLevels,0))</f>
        <v>2.5000000000000001E-2</v>
      </c>
      <c r="G98" s="612">
        <f t="shared" ca="1" si="90"/>
        <v>1.5384615384615385E-2</v>
      </c>
      <c r="H98" s="324">
        <f ca="1">INDEX(INDIRECT("SSW_WTPCore2_"&amp;$B98&amp;"_LevelValues"),1,MATCH("S1 MEAN",WTPCore2_LevelValues,0))</f>
        <v>0.4084226191643695</v>
      </c>
      <c r="I98" s="324">
        <f ca="1">INDEX(INDIRECT("SSW_WTPCore2_"&amp;$B98&amp;"_LevelValues"),1,MATCH("S2 MEAN",WTPCore2_LevelValues,0))</f>
        <v>0.28250000903457151</v>
      </c>
      <c r="J98" s="324">
        <f ca="1">SUM(H98:I98)</f>
        <v>0.69092262819894101</v>
      </c>
      <c r="K98" s="231">
        <f ca="1">E98*(F98-G98)</f>
        <v>0.36538461538461542</v>
      </c>
      <c r="L98" s="89">
        <f ca="1">INDEX(INDIRECT("SSW_WTPCore_DCE_"&amp;$B98&amp;"_UnitValues"),MATCH("COMBINED-HH",WTPCore_Group,0),MATCH("MEAN",LMH,0))</f>
        <v>245983.27199999994</v>
      </c>
      <c r="M98" s="89">
        <f ca="1">L98*(F98-G98)/HHProps_SSW</f>
        <v>4.3846153846153844E-3</v>
      </c>
      <c r="N98" s="89">
        <f ca="1">INDEX(INDIRECT("SSW_WTPCore2_"&amp;$B98&amp;"_UnitValues"),1,MATCH("MEAN",LMH,0))</f>
        <v>387617.59897926223</v>
      </c>
      <c r="O98" s="89">
        <f ca="1">N98*(F98-G98)/HHProps_SSW*100</f>
        <v>0.69092262819894101</v>
      </c>
      <c r="P98" s="324">
        <f ca="1">K98*N$102/K$101</f>
        <v>3.3558257699244962E-2</v>
      </c>
      <c r="Q98" s="457" t="s">
        <v>145</v>
      </c>
      <c r="R98" s="391">
        <f ca="1">P98*HHProps_SSW/((F98-G98)*100)</f>
        <v>18826.668492847908</v>
      </c>
      <c r="S98" s="612">
        <f t="shared" ref="S98:T100" ca="1" si="91">INDEX(INDIRECT("CAM_WTPCore2_"&amp;$B98&amp;"_Levels"),1,MATCH(S$4,WTPCore2_AttLevels,0))</f>
        <v>0.05</v>
      </c>
      <c r="T98" s="612">
        <f t="shared" ca="1" si="91"/>
        <v>3.3333333333333333E-2</v>
      </c>
      <c r="U98" s="324">
        <f ca="1">INDEX(INDIRECT("CAM_WTPCore2_"&amp;$B98&amp;"_LevelValues"),1,MATCH("S1 MEAN",WTPCore2_LevelValues,0))</f>
        <v>0.15591350717379643</v>
      </c>
      <c r="V98" s="324">
        <f ca="1">INDEX(INDIRECT("CAM_WTPCore2_"&amp;$B98&amp;"_LevelValues"),1,MATCH("S2 MEAN",WTPCore2_LevelValues,0))</f>
        <v>5.0130987785217407E-2</v>
      </c>
      <c r="W98" s="512">
        <f ca="1">SUM(U98:V98)</f>
        <v>0.20604449495901384</v>
      </c>
      <c r="X98" s="221">
        <f ca="1">E98*(S98-T98)</f>
        <v>0.63333333333333341</v>
      </c>
      <c r="Y98" s="89">
        <f ca="1">INDEX(INDIRECT("CAM_WTPCore_"&amp;$B98&amp;"_UnitValues"),MATCH("COMBINED-HH",WTPCore_Group,0),MATCH("MEAN",LMH,0))</f>
        <v>469608.19199999986</v>
      </c>
      <c r="Z98" s="89">
        <f ca="1">Y98*(S98-T98)/HHProps_CAM</f>
        <v>5.7599999999999998E-2</v>
      </c>
      <c r="AA98" s="89">
        <f ca="1">INDEX(INDIRECT("CAM_WTPCore2_"&amp;$B98&amp;"_UnitValues"),1,MATCH("MEAN",LMH,0))</f>
        <v>16798.64283841243</v>
      </c>
      <c r="AB98" s="89">
        <f ca="1">AA98*(S98-T98)/HHProps_CAM*100</f>
        <v>0.20604449495901386</v>
      </c>
      <c r="AC98" s="512">
        <f ca="1">X98*AA$102/X$101</f>
        <v>0.13541211700228303</v>
      </c>
      <c r="AD98" s="477" t="s">
        <v>145</v>
      </c>
      <c r="AE98" s="391">
        <f ca="1">AC98*HHProps_CAM/((S98-T98)*100)</f>
        <v>11040.041569502533</v>
      </c>
    </row>
    <row r="99" spans="1:31" x14ac:dyDescent="0.35">
      <c r="A99" s="7" t="s">
        <v>40</v>
      </c>
      <c r="B99" s="7" t="s">
        <v>40</v>
      </c>
      <c r="C99" s="7" t="str">
        <f>B99</f>
        <v>Leakage</v>
      </c>
      <c r="D99" s="377" t="s">
        <v>1168</v>
      </c>
      <c r="E99" s="124">
        <f ca="1">INDEX(INDIRECT("ExtWTP19_"&amp;$B99&amp;"_UnitValues"),8,1)</f>
        <v>655153</v>
      </c>
      <c r="F99" s="325">
        <f t="shared" ca="1" si="90"/>
        <v>70.5</v>
      </c>
      <c r="G99" s="325">
        <f t="shared" ca="1" si="90"/>
        <v>35.25</v>
      </c>
      <c r="H99" s="324">
        <f ca="1">INDEX(INDIRECT("SSW_WTPCore2_"&amp;$B99&amp;"_LevelValues"),1,MATCH("S1 MEAN",WTPCore2_LevelValues,0))</f>
        <v>1.2301339708448666</v>
      </c>
      <c r="I99" s="324">
        <f ca="1">INDEX(INDIRECT("SSW_WTPCore2_"&amp;$B99&amp;"_LevelValues"),1,MATCH("S2 MEAN",WTPCore2_LevelValues,0))</f>
        <v>0.44133293088857806</v>
      </c>
      <c r="J99" s="324">
        <f ca="1">SUM(H99:I99)</f>
        <v>1.6714669017334447</v>
      </c>
      <c r="K99" s="231">
        <f ca="1">E99*(F99-G99)/AllProps_SSW</f>
        <v>40.556953505729467</v>
      </c>
      <c r="L99" s="89">
        <f ca="1">INDEX(INDIRECT("SSW_WTPCore_DCE_"&amp;$B99&amp;"_UnitValues"),MATCH("COMBINED-HH",WTPCore_Group,0),MATCH("MEAN",LMH,0))</f>
        <v>30606.35460992908</v>
      </c>
      <c r="M99" s="89">
        <f ca="1">L99*(F99-G99)/HHProps_SSW</f>
        <v>2</v>
      </c>
      <c r="N99" s="89">
        <f ca="1">INDEX(INDIRECT("SSW_WTPCore2_"&amp;$B99&amp;"_UnitValues"),1,MATCH("MEAN",LMH,0))</f>
        <v>25578.754356606645</v>
      </c>
      <c r="O99" s="89">
        <f ca="1">N99*(F99-G99)/HHProps_SSW</f>
        <v>1.6714669017334447</v>
      </c>
      <c r="P99" s="324">
        <f t="shared" ref="P99:P100" ca="1" si="92">K99*N$102/K$101</f>
        <v>3.7248987503453379</v>
      </c>
      <c r="Q99" s="453" t="s">
        <v>1168</v>
      </c>
      <c r="R99" s="469">
        <f ca="1">P99*HHProps_SSW/((F99-G99))</f>
        <v>57002.786019575542</v>
      </c>
      <c r="S99" s="325">
        <f t="shared" ca="1" si="91"/>
        <v>13.5</v>
      </c>
      <c r="T99" s="325">
        <f t="shared" ca="1" si="91"/>
        <v>6.75</v>
      </c>
      <c r="U99" s="324">
        <f ca="1">INDEX(INDIRECT("CAM_WTPCore2_"&amp;$B99&amp;"_LevelValues"),1,MATCH("S1 MEAN",WTPCore2_LevelValues,0))</f>
        <v>3.1349723048319831</v>
      </c>
      <c r="V99" s="324">
        <f ca="1">INDEX(INDIRECT("CAM_WTPCore2_"&amp;$B99&amp;"_LevelValues"),1,MATCH("S2 MEAN",WTPCore2_LevelValues,0))</f>
        <v>5.1405797633106154E-3</v>
      </c>
      <c r="W99" s="512">
        <f ca="1">SUM(U99:V99)</f>
        <v>3.1401128845952937</v>
      </c>
      <c r="X99" s="221">
        <f ca="1">E99*(S99-T99)/AllProps_CAM</f>
        <v>30.609540470949792</v>
      </c>
      <c r="Y99" s="89">
        <f ca="1">INDEX(INDIRECT("CAM_WTPCore_"&amp;$B99&amp;"_UnitValues"),MATCH("COMBINED-HH",WTPCore_Group,0),MATCH("MEAN",LMH,0))</f>
        <v>145343.41333333333</v>
      </c>
      <c r="Z99" s="89">
        <f ca="1">Y99*(S99-T99)/HHProps_CAM</f>
        <v>7.2200000000000006</v>
      </c>
      <c r="AA99" s="89">
        <f ca="1">INDEX(INDIRECT("CAM_WTPCore2_"&amp;$B99&amp;"_UnitValues"),1,MATCH("MEAN",LMH,0))</f>
        <v>63212.565775492993</v>
      </c>
      <c r="AB99" s="89">
        <f ca="1">AA99*(S99-T99)/HHProps_CAM</f>
        <v>3.1401128845952937</v>
      </c>
      <c r="AC99" s="512">
        <f t="shared" ref="AC99:AC100" ca="1" si="93">X99*AA$102/X$101</f>
        <v>6.5445831720605847</v>
      </c>
      <c r="AD99" s="377" t="s">
        <v>1168</v>
      </c>
      <c r="AE99" s="391">
        <f ca="1">AC99*HHProps_CAM/((S99-T99))</f>
        <v>131746.82230902763</v>
      </c>
    </row>
    <row r="100" spans="1:31" x14ac:dyDescent="0.35">
      <c r="A100" s="7" t="s">
        <v>41</v>
      </c>
      <c r="B100" s="7" t="s">
        <v>149</v>
      </c>
      <c r="C100" s="7" t="str">
        <f>B100</f>
        <v>Metering</v>
      </c>
      <c r="D100" s="377" t="s">
        <v>1172</v>
      </c>
      <c r="E100" s="124">
        <f ca="1">INDEX(INDIRECT("ExtWTP19_"&amp;$B100&amp;"_UnitValues"),3,1)</f>
        <v>53</v>
      </c>
      <c r="F100" s="612">
        <f t="shared" ca="1" si="90"/>
        <v>0.33</v>
      </c>
      <c r="G100" s="612">
        <f t="shared" ca="1" si="90"/>
        <v>0.5</v>
      </c>
      <c r="H100" s="324">
        <f ca="1">INDEX(INDIRECT("SSW_WTPCore2_"&amp;$B100&amp;"_LevelValues"),1,MATCH("S1 MEAN",WTPCore2_LevelValues,0))</f>
        <v>3.9796847923577343</v>
      </c>
      <c r="I100" s="324">
        <f ca="1">INDEX(INDIRECT("SSW_WTPCore2_"&amp;$B100&amp;"_LevelValues"),1,MATCH("S2 MEAN",WTPCore2_LevelValues,0))</f>
        <v>0.52424962900217631</v>
      </c>
      <c r="J100" s="324">
        <f ca="1">SUM(H100:I100)</f>
        <v>4.5039344213599106</v>
      </c>
      <c r="K100" s="231">
        <f ca="1">-E100*(F100-G100)</f>
        <v>9.01</v>
      </c>
      <c r="L100" s="89">
        <f ca="1">INDEX(INDIRECT("SSW_WTPCore_DCE_"&amp;$B100&amp;"_UnitValues"),MATCH("COMBINED-HH",WTPCore_Group,0),MATCH("MEAN",LMH,0))</f>
        <v>1.7719298245614032</v>
      </c>
      <c r="M100" s="89">
        <f ca="1">-L100*($F100-$G100)</f>
        <v>0.30122807017543851</v>
      </c>
      <c r="N100" s="89">
        <f ca="1">INDEX(INDIRECT("SSW_WTPCore2_"&amp;$B100&amp;"_UnitValues"),1,MATCH("MEAN",LMH,0))</f>
        <v>26.493731890352418</v>
      </c>
      <c r="O100" s="89">
        <f ca="1">-N100*($F100-$G100)</f>
        <v>4.5039344213599106</v>
      </c>
      <c r="P100" s="324">
        <f t="shared" ca="1" si="92"/>
        <v>0.82751131038159209</v>
      </c>
      <c r="Q100" s="453" t="s">
        <v>1171</v>
      </c>
      <c r="R100" s="391">
        <f ca="1">-P100*HHProps_SSW/((F100-G100)*AllProps_SSW)</f>
        <v>4.6113620162580409</v>
      </c>
      <c r="S100" s="612">
        <f t="shared" ca="1" si="91"/>
        <v>0.7</v>
      </c>
      <c r="T100" s="612">
        <f t="shared" ca="1" si="91"/>
        <v>0.95</v>
      </c>
      <c r="U100" s="324">
        <f ca="1">INDEX(INDIRECT("CAM_WTPCore2_"&amp;$B100&amp;"_LevelValues"),1,MATCH("S1 MEAN",WTPCore2_LevelValues,0))</f>
        <v>1.4360208416640492</v>
      </c>
      <c r="V100" s="324">
        <f ca="1">INDEX(INDIRECT("CAM_WTPCore2_"&amp;$B100&amp;"_LevelValues"),1,MATCH("S2 MEAN",WTPCore2_LevelValues,0))</f>
        <v>0.918140410423955</v>
      </c>
      <c r="W100" s="512">
        <f ca="1">SUM(U100:V100)</f>
        <v>2.3541612520880042</v>
      </c>
      <c r="X100" s="221">
        <f ca="1">-E100*(S100-T100)</f>
        <v>13.25</v>
      </c>
      <c r="Y100" s="89">
        <f ca="1">INDEX(INDIRECT("CAM_WTPCore_"&amp;$B100&amp;"_UnitValues"),MATCH("COMBINED-HH",WTPCore_Group,0),MATCH("MEAN",LMH,0))</f>
        <v>8.64</v>
      </c>
      <c r="Z100" s="89">
        <f ca="1">Y100*($S100-TG100)</f>
        <v>6.048</v>
      </c>
      <c r="AA100" s="89">
        <f ca="1">INDEX(INDIRECT("CAM_WTPCore2_"&amp;$B100&amp;"_UnitValues"),1,MATCH("MEAN",LMH,0))</f>
        <v>9.4166450083520168</v>
      </c>
      <c r="AB100" s="89">
        <f ca="1">-AA100*($S100-T100)</f>
        <v>2.3541612520880042</v>
      </c>
      <c r="AC100" s="512">
        <f t="shared" ca="1" si="93"/>
        <v>2.8329640267582894</v>
      </c>
      <c r="AD100" s="377" t="s">
        <v>1171</v>
      </c>
      <c r="AE100" s="391">
        <f ca="1">-AC100*HHProps_CAM/((S100-T100)*AllProps_CAM)</f>
        <v>10.657940332072757</v>
      </c>
    </row>
    <row r="101" spans="1:31" x14ac:dyDescent="0.35">
      <c r="D101" s="377"/>
      <c r="E101" s="124"/>
      <c r="F101" s="146"/>
      <c r="G101" s="146"/>
      <c r="H101" s="324"/>
      <c r="I101" s="324"/>
      <c r="J101" s="194">
        <f ca="1">SUM(J98:J100)</f>
        <v>6.866323951292296</v>
      </c>
      <c r="K101" s="331">
        <f ca="1">SUM(K98:K100)</f>
        <v>49.932338121114078</v>
      </c>
      <c r="L101" s="331"/>
      <c r="M101" s="331">
        <f ca="1">SUM(M96:M100)</f>
        <v>2.3056126855600536</v>
      </c>
      <c r="N101" s="331"/>
      <c r="O101" s="223">
        <f ca="1">SUM(O96:O100)</f>
        <v>6.866323951292296</v>
      </c>
      <c r="P101" s="194">
        <f ca="1">SUM(P98:P100)</f>
        <v>4.5859683184261746</v>
      </c>
      <c r="R101" s="466"/>
      <c r="S101" s="90"/>
      <c r="T101" s="90"/>
      <c r="U101" s="90"/>
      <c r="V101" s="90"/>
      <c r="W101" s="44">
        <f ca="1">SUM(W98:W100)</f>
        <v>5.7003186316423111</v>
      </c>
      <c r="X101" s="222">
        <f ca="1">SUM(X98:X100)</f>
        <v>44.492873804283121</v>
      </c>
      <c r="Y101" s="331"/>
      <c r="Z101" s="331">
        <f ca="1">SUM(Z96:Z100)</f>
        <v>13.325600000000001</v>
      </c>
      <c r="AA101" s="331"/>
      <c r="AB101" s="331">
        <f ca="1">SUM(AB96:AB100)</f>
        <v>5.7003186316423111</v>
      </c>
      <c r="AC101" s="44">
        <f ca="1">SUM(AC98:AC100)</f>
        <v>9.5129593158211563</v>
      </c>
      <c r="AE101" s="466"/>
    </row>
    <row r="102" spans="1:31" s="50" customFormat="1" x14ac:dyDescent="0.35">
      <c r="D102" s="371"/>
      <c r="E102" s="371"/>
      <c r="F102" s="152"/>
      <c r="G102" s="152"/>
      <c r="H102" s="152"/>
      <c r="I102" s="152"/>
      <c r="J102" s="134"/>
      <c r="K102" s="134"/>
      <c r="L102" s="134"/>
      <c r="M102" s="163" t="s">
        <v>361</v>
      </c>
      <c r="N102" s="546">
        <f ca="1">AVERAGE(M101,O101)</f>
        <v>4.5859683184261746</v>
      </c>
      <c r="O102" s="163"/>
      <c r="P102" s="134"/>
      <c r="Q102" s="458"/>
      <c r="R102" s="467"/>
      <c r="S102" s="152"/>
      <c r="T102" s="152"/>
      <c r="U102" s="152"/>
      <c r="V102" s="152"/>
      <c r="W102" s="152"/>
      <c r="X102" s="152"/>
      <c r="Y102" s="134"/>
      <c r="Z102" s="163" t="s">
        <v>361</v>
      </c>
      <c r="AA102" s="546">
        <f ca="1">AVERAGE(Z101,AB101)</f>
        <v>9.5129593158211563</v>
      </c>
      <c r="AB102" s="163"/>
      <c r="AC102" s="134"/>
      <c r="AE102" s="467"/>
    </row>
    <row r="103" spans="1:31" x14ac:dyDescent="0.35">
      <c r="A103" s="51" t="s">
        <v>1033</v>
      </c>
      <c r="F103" s="90"/>
      <c r="G103" s="90"/>
      <c r="H103" s="90"/>
      <c r="I103" s="90"/>
      <c r="J103" s="90"/>
      <c r="K103" s="133"/>
      <c r="L103" s="133"/>
      <c r="M103" s="133"/>
      <c r="N103" s="133"/>
      <c r="O103" s="133"/>
      <c r="P103" s="133"/>
      <c r="R103" s="466"/>
      <c r="S103" s="90"/>
      <c r="T103" s="90"/>
      <c r="U103" s="90"/>
      <c r="V103" s="90"/>
      <c r="W103" s="90"/>
      <c r="X103" s="90"/>
      <c r="Y103" s="133"/>
      <c r="Z103" s="133"/>
      <c r="AA103" s="133"/>
      <c r="AB103" s="133"/>
      <c r="AC103" s="133"/>
      <c r="AE103" s="466"/>
    </row>
    <row r="104" spans="1:31" x14ac:dyDescent="0.35">
      <c r="A104" s="7" t="s">
        <v>129</v>
      </c>
      <c r="B104" s="7" t="s">
        <v>130</v>
      </c>
      <c r="C104" s="7" t="str">
        <f>B104</f>
        <v>Discolour</v>
      </c>
      <c r="D104" s="377" t="s">
        <v>127</v>
      </c>
      <c r="E104" s="124">
        <f ca="1">INDEX(INDIRECT("ExtWTP19_"&amp;$C104&amp;"_UnitValues"),MATCH(A$103, INDIRECT("ExtWTP19_Comps_"&amp;C104),0),MATCH("HH",ExtWTP_Group,0))</f>
        <v>90</v>
      </c>
      <c r="F104" s="612">
        <f t="shared" ref="F104:G108" ca="1" si="94">INDEX(INDIRECT("SSW_WTPCore2_"&amp;$B104&amp;"_Levels"),1,MATCH(F$4,WTPCore2_AttLevels,0))</f>
        <v>6.6666666666666666E-2</v>
      </c>
      <c r="G104" s="612">
        <f t="shared" ca="1" si="94"/>
        <v>0.04</v>
      </c>
      <c r="H104" s="324">
        <f ca="1">INDEX(INDIRECT("SSW_WTPCore2_"&amp;$B104&amp;"_LevelValues"),1,MATCH("S1 MEAN",WTPCore2_LevelValues,0))</f>
        <v>3.3679929677046498</v>
      </c>
      <c r="I104" s="324">
        <f ca="1">INDEX(INDIRECT("SSW_WTPCore2_"&amp;$B104&amp;"_LevelValues"),1,MATCH("S2 MEAN",WTPCore2_LevelValues,0))</f>
        <v>0.60669022375558512</v>
      </c>
      <c r="J104" s="324">
        <f ca="1">SUM(H104:I104)</f>
        <v>3.974683191460235</v>
      </c>
      <c r="K104" s="231">
        <f ca="1">E104*(F104-G104)</f>
        <v>2.4</v>
      </c>
      <c r="L104" s="89">
        <f ca="1">INDEX(INDIRECT("SSW_WTPCore_DCE_"&amp;$B104&amp;"_UnitValues"),MATCH("COMBINED-HH",WTPCore_Group,0),MATCH("MEAN",LMH,0))</f>
        <v>28.111247840776404</v>
      </c>
      <c r="M104" s="89">
        <f ca="1">L104*($F104-$G104)*(AllProps_SSW/HHProps_SSW)</f>
        <v>0.79130635838150276</v>
      </c>
      <c r="N104" s="89">
        <f ca="1">INDEX(INDIRECT("SSW_WTPCore2_"&amp;$B104&amp;"_UnitValues"),1,MATCH("MEAN",LMH,0))</f>
        <v>141.20106972505607</v>
      </c>
      <c r="O104" s="89">
        <f ca="1">N104*($F104-$G104)*(AllProps_SSW/HHProps_SSW)</f>
        <v>3.9746831914602345</v>
      </c>
      <c r="P104" s="324">
        <f ca="1">K104*N$110/K$109</f>
        <v>0.7717050707038422</v>
      </c>
      <c r="Q104" s="453" t="s">
        <v>127</v>
      </c>
      <c r="R104" s="391">
        <f ca="1">P104*HHProps_SSW/((F104-G104)*AllProps_SSW)</f>
        <v>27.414909880050175</v>
      </c>
      <c r="S104" s="612">
        <f t="shared" ref="S104:T108" ca="1" si="95">INDEX(INDIRECT("CAM_WTPCore2_"&amp;$B104&amp;"_Levels"),1,MATCH(S$4,WTPCore2_AttLevels,0))</f>
        <v>2.2222222222222223E-2</v>
      </c>
      <c r="T104" s="612">
        <f t="shared" ca="1" si="95"/>
        <v>1.5384615384615385E-2</v>
      </c>
      <c r="U104" s="324">
        <f ca="1">INDEX(INDIRECT("CAM_WTPCore2_"&amp;$B104&amp;"_LevelValues"),1,MATCH("S1 MEAN",WTPCore2_LevelValues,0))</f>
        <v>3.1155463151224057</v>
      </c>
      <c r="V104" s="324">
        <f ca="1">INDEX(INDIRECT("CAM_WTPCore2_"&amp;$B104&amp;"_LevelValues"),1,MATCH("S2 MEAN",WTPCore2_LevelValues,0))</f>
        <v>1.3419840000849801</v>
      </c>
      <c r="W104" s="512">
        <f ca="1">SUM(U104:V104)</f>
        <v>4.4575303152073857</v>
      </c>
      <c r="X104" s="221">
        <f ca="1">E104*(S104-T104)</f>
        <v>0.61538461538461542</v>
      </c>
      <c r="Y104" s="89">
        <f ca="1">INDEX(INDIRECT("CAM_WTPCore_"&amp;$B104&amp;"_UnitValues"),MATCH("COMBINED-HH",WTPCore_Group,0),MATCH("MEAN",LMH,0))</f>
        <v>308.90334405201918</v>
      </c>
      <c r="Z104" s="89">
        <f ca="1">Y104*($S104-T104)*(AllProps_CAM/HHProps_CAM)</f>
        <v>2.2457142857142856</v>
      </c>
      <c r="AA104" s="89">
        <f ca="1">INDEX(INDIRECT("CAM_WTPCore2_"&amp;$B104&amp;"_UnitValues"),1,MATCH("MEAN",LMH,0))</f>
        <v>613.1439022942551</v>
      </c>
      <c r="AB104" s="89">
        <f ca="1">AA104*($S104-$T104)*(AllProps_CAM/HHProps_CAM)</f>
        <v>4.4575303152073857</v>
      </c>
      <c r="AC104" s="512">
        <f ca="1">X104*AA$110/X$109</f>
        <v>0.36490200207535911</v>
      </c>
      <c r="AD104" s="377" t="s">
        <v>127</v>
      </c>
      <c r="AE104" s="391">
        <f ca="1">AC104*HHProps_CAM/((S104-T104)*AllProps_CAM)</f>
        <v>50.19313873069256</v>
      </c>
    </row>
    <row r="105" spans="1:31" x14ac:dyDescent="0.35">
      <c r="A105" s="7" t="s">
        <v>131</v>
      </c>
      <c r="B105" s="7" t="s">
        <v>132</v>
      </c>
      <c r="C105" s="7" t="str">
        <f>B105</f>
        <v>TasteSmell</v>
      </c>
      <c r="D105" s="377" t="s">
        <v>127</v>
      </c>
      <c r="E105" s="124">
        <f ca="1">INDEX(INDIRECT("ExtWTP19_"&amp;$C105&amp;"_UnitValues"),MATCH(A$103, INDIRECT("ExtWTP19_Comps_"&amp;C105),0),MATCH("HH",ExtWTP_Group,0))</f>
        <v>2132</v>
      </c>
      <c r="F105" s="612">
        <f t="shared" ca="1" si="94"/>
        <v>1.6666666666666666E-2</v>
      </c>
      <c r="G105" s="612">
        <f t="shared" ca="1" si="94"/>
        <v>1.1111111111111112E-2</v>
      </c>
      <c r="H105" s="324">
        <f ca="1">INDEX(INDIRECT("SSW_WTPCore2_"&amp;$B105&amp;"_LevelValues"),1,MATCH("S1 MEAN",WTPCore2_LevelValues,0))</f>
        <v>0.30818609087835352</v>
      </c>
      <c r="I105" s="324">
        <f ca="1">INDEX(INDIRECT("SSW_WTPCore2_"&amp;$B105&amp;"_LevelValues"),1,MATCH("S2 MEAN",WTPCore2_LevelValues,0))</f>
        <v>0.18578205633963885</v>
      </c>
      <c r="J105" s="324">
        <f ca="1">SUM(H105:I105)</f>
        <v>0.49396814721799237</v>
      </c>
      <c r="K105" s="231">
        <f ca="1">E105*(F105-G105)</f>
        <v>11.844444444444443</v>
      </c>
      <c r="L105" s="89">
        <f ca="1">INDEX(INDIRECT("SSW_WTPCore_DCE_"&amp;$B105&amp;"_UnitValues"),MATCH("COMBINED-HH",WTPCore_Group,0),MATCH("MEAN",LMH,0))</f>
        <v>173.83878023943072</v>
      </c>
      <c r="M105" s="89">
        <f ca="1">L105*($F105-$G105)*(AllProps_SSW/HHProps_SSW)</f>
        <v>1.0194594594594593</v>
      </c>
      <c r="N105" s="89">
        <f ca="1">INDEX(INDIRECT("SSW_WTPCore2_"&amp;$B105&amp;"_UnitValues"),1,MATCH("MEAN",LMH,0))</f>
        <v>84.231716516748989</v>
      </c>
      <c r="O105" s="89">
        <f ca="1">N105*($F105-$G105)*(AllProps_SSW/HHProps_SSW)</f>
        <v>0.49396814721799237</v>
      </c>
      <c r="P105" s="324">
        <f t="shared" ref="P105:P108" ca="1" si="96">K105*N$110/K$109</f>
        <v>3.8085074322698871</v>
      </c>
      <c r="Q105" s="453" t="s">
        <v>127</v>
      </c>
      <c r="R105" s="391">
        <f ca="1">P105*HHProps_SSW/((F105-G105)*AllProps_SSW)</f>
        <v>649.42875404741073</v>
      </c>
      <c r="S105" s="612">
        <f t="shared" ca="1" si="95"/>
        <v>1.4285714285714285E-2</v>
      </c>
      <c r="T105" s="612">
        <f t="shared" ca="1" si="95"/>
        <v>0.01</v>
      </c>
      <c r="U105" s="324">
        <f ca="1">INDEX(INDIRECT("CAM_WTPCore2_"&amp;$B105&amp;"_LevelValues"),1,MATCH("S1 MEAN",WTPCore2_LevelValues,0))</f>
        <v>4.7204807663126298E-2</v>
      </c>
      <c r="V105" s="324">
        <f ca="1">INDEX(INDIRECT("CAM_WTPCore2_"&amp;$B105&amp;"_LevelValues"),1,MATCH("S2 MEAN",WTPCore2_LevelValues,0))</f>
        <v>0.1217094578997745</v>
      </c>
      <c r="W105" s="512">
        <f ca="1">SUM(U105:V105)</f>
        <v>0.16891426556290079</v>
      </c>
      <c r="X105" s="221">
        <f ca="1">E105*(S105-T105)</f>
        <v>9.1371428571428552</v>
      </c>
      <c r="Y105" s="89">
        <f ca="1">INDEX(INDIRECT("CAM_WTPCore_"&amp;$B105&amp;"_UnitValues"),MATCH("COMBINED-HH",WTPCore_Group,0),MATCH("MEAN",LMH,0))</f>
        <v>207.69569571588755</v>
      </c>
      <c r="Z105" s="89">
        <f ca="1">Y105*($S106-$T106)*(AllProps_CAM/HHProps_CAM)</f>
        <v>1.8402380952380955</v>
      </c>
      <c r="AA105" s="89">
        <f ca="1">INDEX(INDIRECT("CAM_WTPCore2_"&amp;$B105&amp;"_UnitValues"),1,MATCH("MEAN",LMH,0))</f>
        <v>37.069382180075451</v>
      </c>
      <c r="AB105" s="89">
        <f ca="1">AA105*($S105-$T105)*(AllProps_CAM/HHProps_CAM)</f>
        <v>0.16891426556290079</v>
      </c>
      <c r="AC105" s="512">
        <f t="shared" ref="AC105:AC108" ca="1" si="97">X105*AA$110/X$109</f>
        <v>5.4180127979574912</v>
      </c>
      <c r="AD105" s="377" t="s">
        <v>127</v>
      </c>
      <c r="AE105" s="391">
        <f ca="1">AC105*HHProps_CAM/((S105-T105)*AllProps_CAM)</f>
        <v>1189.0196863759616</v>
      </c>
    </row>
    <row r="106" spans="1:31" x14ac:dyDescent="0.35">
      <c r="A106" s="7" t="s">
        <v>849</v>
      </c>
      <c r="B106" s="7" t="s">
        <v>138</v>
      </c>
      <c r="C106" s="7" t="s">
        <v>1009</v>
      </c>
      <c r="D106" s="377" t="s">
        <v>127</v>
      </c>
      <c r="E106" s="124">
        <f ca="1">INDEX(INDIRECT("ExtWTP19_"&amp;$C106&amp;"_UnitValues"),MATCH(A$103, INDIRECT("ExtWTP19_Comps_"&amp;C106),0),MATCH("HH",ExtWTP_Group,0))</f>
        <v>632</v>
      </c>
      <c r="F106" s="612">
        <f t="shared" ca="1" si="94"/>
        <v>1.4285714285714285E-2</v>
      </c>
      <c r="G106" s="612">
        <f t="shared" ca="1" si="94"/>
        <v>9.5238095238095247E-3</v>
      </c>
      <c r="H106" s="324">
        <f ca="1">INDEX(INDIRECT("SSW_WTPCore2_"&amp;$B106&amp;"_LevelValues"),1,MATCH("S1 MEAN",WTPCore2_LevelValues,0))</f>
        <v>0.39718669024665654</v>
      </c>
      <c r="I106" s="324">
        <f ca="1">INDEX(INDIRECT("SSW_WTPCore2_"&amp;$B106&amp;"_LevelValues"),1,MATCH("S2 MEAN",WTPCore2_LevelValues,0))</f>
        <v>0.53859352958370721</v>
      </c>
      <c r="J106" s="324">
        <f ca="1">SUM(H106:I106)</f>
        <v>0.93578021983036375</v>
      </c>
      <c r="K106" s="231">
        <f ca="1">E106*(F106-G106)</f>
        <v>3.0095238095238086</v>
      </c>
      <c r="L106" s="89">
        <f ca="1">INDEX(INDIRECT("SSW_WTPCore_DCE_"&amp;$B106&amp;"_UnitValues"),MATCH("COMBINED-HH",WTPCore_Group,0),MATCH("MEAN",LMH,0))</f>
        <v>162.10819588181059</v>
      </c>
      <c r="M106" s="89">
        <f ca="1">L106*($F106-$G106)*(AllProps_SSW/HHProps_SSW)</f>
        <v>0.8148571428571425</v>
      </c>
      <c r="N106" s="89">
        <f ca="1">INDEX(INDIRECT("SSW_WTPCore2_"&amp;$B106&amp;"_UnitValues"),1,MATCH("MEAN",LMH,0))</f>
        <v>186.16470937063306</v>
      </c>
      <c r="O106" s="89">
        <f ca="1">N106*($F106-$G106)*(AllProps_SSW/HHProps_SSW)</f>
        <v>0.93578021983036375</v>
      </c>
      <c r="P106" s="324">
        <f t="shared" ca="1" si="96"/>
        <v>0.96769366008894464</v>
      </c>
      <c r="Q106" s="453" t="s">
        <v>127</v>
      </c>
      <c r="R106" s="391">
        <f ca="1">P106*HHProps_SSW/((F106-G106)*AllProps_SSW)</f>
        <v>192.51358937990787</v>
      </c>
      <c r="S106" s="612">
        <f t="shared" ca="1" si="95"/>
        <v>2.5000000000000001E-2</v>
      </c>
      <c r="T106" s="612">
        <f t="shared" ca="1" si="95"/>
        <v>1.6666666666666666E-2</v>
      </c>
      <c r="U106" s="324">
        <f ca="1">INDEX(INDIRECT("CAM_WTPCore2_"&amp;$B106&amp;"_LevelValues"),1,MATCH("S1 MEAN",WTPCore2_LevelValues,0))</f>
        <v>5.3490671066612649E-2</v>
      </c>
      <c r="V106" s="324">
        <f ca="1">INDEX(INDIRECT("CAM_WTPCore2_"&amp;$B106&amp;"_LevelValues"),1,MATCH("S2 MEAN",WTPCore2_LevelValues,0))</f>
        <v>0.33457681646237136</v>
      </c>
      <c r="W106" s="512">
        <f ca="1">SUM(U106:V106)</f>
        <v>0.38806748752898401</v>
      </c>
      <c r="X106" s="221">
        <f ca="1">E106*(S106-T106)</f>
        <v>5.2666666666666675</v>
      </c>
      <c r="Y106" s="89">
        <f ca="1">INDEX(INDIRECT("CAM_WTPCore_"&amp;$B106&amp;"_UnitValues"),MATCH("COMBINED-HH",WTPCore_Group,0),MATCH("MEAN",LMH,0))</f>
        <v>28.26566546881222</v>
      </c>
      <c r="Z106" s="89">
        <f ca="1">Y106*($S107-$T107)*(AllProps_CAM/HHProps_CAM)</f>
        <v>0.50088235294117656</v>
      </c>
      <c r="AA106" s="89">
        <f ca="1">INDEX(INDIRECT("CAM_WTPCore2_"&amp;$B106&amp;"_UnitValues"),1,MATCH("MEAN",LMH,0))</f>
        <v>43.79865138952065</v>
      </c>
      <c r="AB106" s="89">
        <f ca="1">AA106*($S106-$T106)*(AllProps_CAM/HHProps_CAM)</f>
        <v>0.3880674875289839</v>
      </c>
      <c r="AC106" s="512">
        <f t="shared" ca="1" si="97"/>
        <v>3.1229529677616155</v>
      </c>
      <c r="AD106" s="377" t="s">
        <v>127</v>
      </c>
      <c r="AE106" s="391">
        <f ca="1">AC106*HHProps_CAM/((S106-T106)*AllProps_CAM)</f>
        <v>352.46737419775218</v>
      </c>
    </row>
    <row r="107" spans="1:31" x14ac:dyDescent="0.35">
      <c r="A107" s="7" t="s">
        <v>1010</v>
      </c>
      <c r="B107" s="7" t="s">
        <v>144</v>
      </c>
      <c r="C107" s="7" t="str">
        <f>B107</f>
        <v>TempBan</v>
      </c>
      <c r="D107" s="377" t="s">
        <v>127</v>
      </c>
      <c r="E107" s="124">
        <f ca="1">INDEX(INDIRECT("ExtWTP19_"&amp;$C107&amp;"_UnitValues"),MATCH(A$103, INDIRECT("ExtWTP19_Comps_"&amp;C107),0),MATCH("HH",ExtWTP_Group,0))</f>
        <v>54</v>
      </c>
      <c r="F107" s="612">
        <f t="shared" ca="1" si="94"/>
        <v>2.5000000000000001E-2</v>
      </c>
      <c r="G107" s="612">
        <f t="shared" ca="1" si="94"/>
        <v>1.5384615384615385E-2</v>
      </c>
      <c r="H107" s="324">
        <f ca="1">INDEX(INDIRECT("SSW_WTPCore2_"&amp;$B107&amp;"_LevelValues"),1,MATCH("S1 MEAN",WTPCore2_LevelValues,0))</f>
        <v>0.4084226191643695</v>
      </c>
      <c r="I107" s="324">
        <f ca="1">INDEX(INDIRECT("SSW_WTPCore2_"&amp;$B107&amp;"_LevelValues"),1,MATCH("S2 MEAN",WTPCore2_LevelValues,0))</f>
        <v>0.28250000903457151</v>
      </c>
      <c r="J107" s="324">
        <f ca="1">SUM(H107:I107)</f>
        <v>0.69092262819894101</v>
      </c>
      <c r="K107" s="231">
        <f ca="1">E107*(F107-G107)</f>
        <v>0.51923076923076927</v>
      </c>
      <c r="L107" s="89">
        <f ca="1">INDEX(INDIRECT("SSW_WTPCore_DCE_"&amp;$B107&amp;"_UnitValues"),MATCH("COMBINED-HH",WTPCore_Group,0),MATCH("MEAN",LMH,0))</f>
        <v>245983.27199999994</v>
      </c>
      <c r="M107" s="89">
        <f ca="1">L107*(F107-G107)/HHProps_SSW</f>
        <v>4.3846153846153844E-3</v>
      </c>
      <c r="N107" s="89">
        <f ca="1">INDEX(INDIRECT("SSW_WTPCore2_"&amp;$B107&amp;"_UnitValues"),1,MATCH("MEAN",LMH,0))</f>
        <v>387617.59897926223</v>
      </c>
      <c r="O107" s="89">
        <f ca="1">N107*(F107-G107)/HHProps_SSW*100</f>
        <v>0.69092262819894101</v>
      </c>
      <c r="P107" s="324">
        <f t="shared" ca="1" si="96"/>
        <v>0.16695542395035048</v>
      </c>
      <c r="Q107" s="457" t="s">
        <v>145</v>
      </c>
      <c r="R107" s="391">
        <f ca="1">P107*HHProps_SSW/((F107-G107)*100)</f>
        <v>93664.41035068543</v>
      </c>
      <c r="S107" s="612">
        <f t="shared" ca="1" si="95"/>
        <v>0.05</v>
      </c>
      <c r="T107" s="612">
        <f t="shared" ca="1" si="95"/>
        <v>3.3333333333333333E-2</v>
      </c>
      <c r="U107" s="324">
        <f ca="1">INDEX(INDIRECT("CAM_WTPCore2_"&amp;$B107&amp;"_LevelValues"),1,MATCH("S1 MEAN",WTPCore2_LevelValues,0))</f>
        <v>0.15591350717379643</v>
      </c>
      <c r="V107" s="324">
        <f ca="1">INDEX(INDIRECT("CAM_WTPCore2_"&amp;$B107&amp;"_LevelValues"),1,MATCH("S2 MEAN",WTPCore2_LevelValues,0))</f>
        <v>5.0130987785217407E-2</v>
      </c>
      <c r="W107" s="512">
        <f ca="1">SUM(U107:V107)</f>
        <v>0.20604449495901384</v>
      </c>
      <c r="X107" s="221">
        <f ca="1">E107*(S107-T107)</f>
        <v>0.90000000000000013</v>
      </c>
      <c r="Y107" s="89">
        <f ca="1">INDEX(INDIRECT("CAM_WTPCore_"&amp;$B107&amp;"_UnitValues"),MATCH("COMBINED-HH",WTPCore_Group,0),MATCH("MEAN",LMH,0))</f>
        <v>469608.19199999986</v>
      </c>
      <c r="Z107" s="89">
        <f ca="1">Y107*(S107-T107)/HHProps_CAM</f>
        <v>5.7599999999999998E-2</v>
      </c>
      <c r="AA107" s="89">
        <f ca="1">INDEX(INDIRECT("CAM_WTPCore2_"&amp;$B107&amp;"_UnitValues"),1,MATCH("MEAN",LMH,0))</f>
        <v>16798.64283841243</v>
      </c>
      <c r="AB107" s="89">
        <f ca="1">AA107*(S107-T107)/HHProps_CAM*100</f>
        <v>0.20604449495901386</v>
      </c>
      <c r="AC107" s="512">
        <f t="shared" ca="1" si="97"/>
        <v>0.53366917803521274</v>
      </c>
      <c r="AD107" s="477" t="s">
        <v>145</v>
      </c>
      <c r="AE107" s="391">
        <f ca="1">AC107*HHProps_CAM/((S107-T107)*100)</f>
        <v>43509.621149868457</v>
      </c>
    </row>
    <row r="108" spans="1:31" x14ac:dyDescent="0.35">
      <c r="A108" s="7" t="s">
        <v>40</v>
      </c>
      <c r="B108" s="7" t="s">
        <v>40</v>
      </c>
      <c r="C108" s="7" t="str">
        <f>B108</f>
        <v>Leakage</v>
      </c>
      <c r="D108" s="377" t="s">
        <v>1168</v>
      </c>
      <c r="E108" s="124">
        <f ca="1">INDEX(INDIRECT("ExtWTP19_"&amp;$C108&amp;"_UnitValues"),MATCH(A$103, INDIRECT("ExtWTP19_Comps_"&amp;C108),0),MATCH("HH",ExtWTP_Group,0))</f>
        <v>24293</v>
      </c>
      <c r="F108" s="325">
        <f t="shared" ca="1" si="94"/>
        <v>70.5</v>
      </c>
      <c r="G108" s="325">
        <f t="shared" ca="1" si="94"/>
        <v>35.25</v>
      </c>
      <c r="H108" s="324">
        <f ca="1">INDEX(INDIRECT("SSW_WTPCore2_"&amp;$B108&amp;"_LevelValues"),1,MATCH("S1 MEAN",WTPCore2_LevelValues,0))</f>
        <v>1.2301339708448666</v>
      </c>
      <c r="I108" s="324">
        <f ca="1">INDEX(INDIRECT("SSW_WTPCore2_"&amp;$B108&amp;"_LevelValues"),1,MATCH("S2 MEAN",WTPCore2_LevelValues,0))</f>
        <v>0.44133293088857806</v>
      </c>
      <c r="J108" s="324">
        <f ca="1">SUM(H108:I108)</f>
        <v>1.6714669017334447</v>
      </c>
      <c r="K108" s="231">
        <f ca="1">E108*(F108-G108)/AllProps_SSW</f>
        <v>1.5038473021029986</v>
      </c>
      <c r="L108" s="89">
        <f ca="1">INDEX(INDIRECT("SSW_WTPCore_DCE_"&amp;$B108&amp;"_UnitValues"),MATCH("COMBINED-HH",WTPCore_Group,0),MATCH("MEAN",LMH,0))</f>
        <v>30606.35460992908</v>
      </c>
      <c r="M108" s="89">
        <f ca="1">L108*(F108-G108)/HHProps_SSW</f>
        <v>2</v>
      </c>
      <c r="N108" s="89">
        <f ca="1">INDEX(INDIRECT("SSW_WTPCore2_"&amp;$B108&amp;"_UnitValues"),1,MATCH("MEAN",LMH,0))</f>
        <v>25578.754356606645</v>
      </c>
      <c r="O108" s="89">
        <f ca="1">N108*(F108-G108)/HHProps_SSW</f>
        <v>1.6714669017334447</v>
      </c>
      <c r="P108" s="324">
        <f t="shared" ca="1" si="96"/>
        <v>0.48355274524882369</v>
      </c>
      <c r="Q108" s="453" t="s">
        <v>1168</v>
      </c>
      <c r="R108" s="469">
        <f ca="1">P108*HHProps_SSW/((F108-G108))</f>
        <v>7399.8933968450983</v>
      </c>
      <c r="S108" s="325">
        <f t="shared" ca="1" si="95"/>
        <v>13.5</v>
      </c>
      <c r="T108" s="325">
        <f t="shared" ca="1" si="95"/>
        <v>6.75</v>
      </c>
      <c r="U108" s="324">
        <f ca="1">INDEX(INDIRECT("CAM_WTPCore2_"&amp;$B108&amp;"_LevelValues"),1,MATCH("S1 MEAN",WTPCore2_LevelValues,0))</f>
        <v>3.1349723048319831</v>
      </c>
      <c r="V108" s="324">
        <f ca="1">INDEX(INDIRECT("CAM_WTPCore2_"&amp;$B108&amp;"_LevelValues"),1,MATCH("S2 MEAN",WTPCore2_LevelValues,0))</f>
        <v>5.1405797633106154E-3</v>
      </c>
      <c r="W108" s="512">
        <f ca="1">SUM(U108:V108)</f>
        <v>3.1401128845952937</v>
      </c>
      <c r="X108" s="221">
        <f ca="1">E108*(S108-T108)/AllProps_CAM</f>
        <v>1.1349983388014453</v>
      </c>
      <c r="Y108" s="89">
        <f ca="1">INDEX(INDIRECT("CAM_WTPCore_"&amp;$B108&amp;"_UnitValues"),MATCH("COMBINED-HH",WTPCore_Group,0),MATCH("MEAN",LMH,0))</f>
        <v>145343.41333333333</v>
      </c>
      <c r="Z108" s="89">
        <f ca="1">Y108*(S108-T108)/HHProps_CAM</f>
        <v>7.2200000000000006</v>
      </c>
      <c r="AA108" s="89">
        <f ca="1">INDEX(INDIRECT("CAM_WTPCore2_"&amp;$B108&amp;"_UnitValues"),1,MATCH("MEAN",LMH,0))</f>
        <v>63212.565775492993</v>
      </c>
      <c r="AB108" s="89">
        <f ca="1">AA108*(S108-T108)/HHProps_CAM</f>
        <v>3.1401128845952937</v>
      </c>
      <c r="AC108" s="512">
        <f t="shared" ca="1" si="97"/>
        <v>0.67301514504388793</v>
      </c>
      <c r="AD108" s="377" t="s">
        <v>1168</v>
      </c>
      <c r="AE108" s="391">
        <f ca="1">AC108*HHProps_CAM/((S108-T108))</f>
        <v>13548.243546496828</v>
      </c>
    </row>
    <row r="109" spans="1:31" x14ac:dyDescent="0.35">
      <c r="D109" s="377"/>
      <c r="E109" s="124"/>
      <c r="F109" s="325"/>
      <c r="G109" s="325"/>
      <c r="H109" s="324"/>
      <c r="I109" s="324"/>
      <c r="J109" s="330">
        <f ca="1">SUM(J104:J108)</f>
        <v>7.7668210884409774</v>
      </c>
      <c r="K109" s="331">
        <f ca="1">SUM(K104:K108)</f>
        <v>19.27704632530202</v>
      </c>
      <c r="L109" s="331"/>
      <c r="M109" s="331">
        <f ca="1">SUM(M104:M108)</f>
        <v>4.6300075760827202</v>
      </c>
      <c r="N109" s="331"/>
      <c r="O109" s="223">
        <f ca="1">SUM(O104:O108)</f>
        <v>7.7668210884409774</v>
      </c>
      <c r="P109" s="194">
        <f ca="1">SUM(P104:P108)</f>
        <v>6.1984143322618488</v>
      </c>
      <c r="R109" s="466"/>
      <c r="S109" s="90"/>
      <c r="T109" s="90"/>
      <c r="U109" s="90"/>
      <c r="V109" s="90"/>
      <c r="W109" s="44">
        <f ca="1">SUM(W104:W108)</f>
        <v>8.3606694478535779</v>
      </c>
      <c r="X109" s="222">
        <f ca="1">SUM(X104:X108)</f>
        <v>17.054192477995585</v>
      </c>
      <c r="Y109" s="331"/>
      <c r="Z109" s="331">
        <f ca="1">SUM(Z104:Z108)</f>
        <v>11.864434733893559</v>
      </c>
      <c r="AA109" s="331"/>
      <c r="AB109" s="223">
        <f ca="1">SUM(AB104:AB108)</f>
        <v>8.3606694478535779</v>
      </c>
      <c r="AC109" s="44">
        <f ca="1">SUM(AC104:AC108)</f>
        <v>10.112552090873566</v>
      </c>
      <c r="AE109" s="466"/>
    </row>
    <row r="110" spans="1:31" s="50" customFormat="1" x14ac:dyDescent="0.35">
      <c r="D110" s="371"/>
      <c r="E110" s="371"/>
      <c r="F110" s="152"/>
      <c r="G110" s="152"/>
      <c r="H110" s="152"/>
      <c r="I110" s="152"/>
      <c r="J110" s="152"/>
      <c r="K110" s="134"/>
      <c r="L110" s="134"/>
      <c r="M110" s="163" t="s">
        <v>361</v>
      </c>
      <c r="N110" s="546">
        <f ca="1">AVERAGE(M109,O109)</f>
        <v>6.1984143322618488</v>
      </c>
      <c r="O110" s="163"/>
      <c r="P110" s="134"/>
      <c r="Q110" s="458"/>
      <c r="R110" s="467"/>
      <c r="S110" s="152"/>
      <c r="T110" s="152"/>
      <c r="U110" s="152"/>
      <c r="V110" s="152"/>
      <c r="W110" s="152"/>
      <c r="X110" s="152"/>
      <c r="Y110" s="134"/>
      <c r="Z110" s="163" t="s">
        <v>361</v>
      </c>
      <c r="AA110" s="546">
        <f ca="1">AVERAGE(Z109,AB109)</f>
        <v>10.112552090873567</v>
      </c>
      <c r="AB110" s="163"/>
      <c r="AC110" s="134"/>
      <c r="AE110" s="467"/>
    </row>
    <row r="111" spans="1:31" x14ac:dyDescent="0.35">
      <c r="A111" s="51" t="s">
        <v>105</v>
      </c>
      <c r="F111" s="90"/>
      <c r="G111" s="90"/>
      <c r="H111" s="90"/>
      <c r="I111" s="90"/>
      <c r="J111" s="90"/>
      <c r="K111" s="133"/>
      <c r="L111" s="133"/>
      <c r="M111" s="133"/>
      <c r="N111" s="133"/>
      <c r="O111" s="133"/>
      <c r="P111" s="133"/>
      <c r="R111" s="466"/>
      <c r="S111" s="90"/>
      <c r="T111" s="90"/>
      <c r="U111" s="90"/>
      <c r="V111" s="90"/>
      <c r="W111" s="90"/>
      <c r="X111" s="90"/>
      <c r="Y111" s="133"/>
      <c r="Z111" s="133"/>
      <c r="AA111" s="133"/>
      <c r="AB111" s="133"/>
      <c r="AC111" s="133"/>
      <c r="AE111" s="466"/>
    </row>
    <row r="112" spans="1:31" x14ac:dyDescent="0.35">
      <c r="A112" s="7" t="s">
        <v>855</v>
      </c>
      <c r="B112" s="7" t="s">
        <v>138</v>
      </c>
      <c r="C112" s="7" t="s">
        <v>1008</v>
      </c>
      <c r="D112" s="377" t="s">
        <v>127</v>
      </c>
      <c r="E112" s="124">
        <f ca="1">INDEX(INDIRECT("ExtWTP19_"&amp;$C112&amp;"_UnitValues"),MATCH(A$111, INDIRECT("ExtWTP19_Comps_"&amp;C112),0),MATCH("HH",ExtWTP_Group,0))</f>
        <v>319</v>
      </c>
      <c r="F112" s="612">
        <f ca="1">INDEX(INDIRECT("SSW_WTPCore2_"&amp;$B112&amp;"_Levels"),1,MATCH(F$4,WTPCore2_AttLevels,0))</f>
        <v>1.4285714285714285E-2</v>
      </c>
      <c r="G112" s="612">
        <f ca="1">INDEX(INDIRECT("SSW_WTPCore2_"&amp;$B112&amp;"_Levels"),1,MATCH(G$4,WTPCore2_AttLevels,0))</f>
        <v>9.5238095238095247E-3</v>
      </c>
      <c r="H112" s="324">
        <f ca="1">INDEX(INDIRECT("SSW_WTPCore2_"&amp;$B112&amp;"_LevelValues"),1,MATCH("S1 MEAN",WTPCore2_LevelValues,0))</f>
        <v>0.39718669024665654</v>
      </c>
      <c r="I112" s="324">
        <f ca="1">INDEX(INDIRECT("SSW_WTPCore2_"&amp;$B112&amp;"_LevelValues"),1,MATCH("S2 MEAN",WTPCore2_LevelValues,0))</f>
        <v>0.53859352958370721</v>
      </c>
      <c r="J112" s="324">
        <f ca="1">SUM(H112:I112)</f>
        <v>0.93578021983036375</v>
      </c>
      <c r="K112" s="231">
        <f ca="1">E112*(F112-G112)</f>
        <v>1.5190476190476185</v>
      </c>
      <c r="L112" s="89">
        <f ca="1">INDEX(INDIRECT("SSW_WTPCore_DCE_"&amp;$B112&amp;"_UnitValues"),MATCH("COMBINED-HH",WTPCore_Group,0),MATCH("MEAN",LMH,0))</f>
        <v>162.10819588181059</v>
      </c>
      <c r="M112" s="89">
        <f ca="1">L112*($F112-$G112)*(AllProps_SSW/HHProps_SSW)</f>
        <v>0.8148571428571425</v>
      </c>
      <c r="N112" s="89">
        <f ca="1">INDEX(INDIRECT("SSW_WTPCore2_"&amp;$B112&amp;"_UnitValues"),1,MATCH("MEAN",LMH,0))</f>
        <v>186.16470937063306</v>
      </c>
      <c r="O112" s="89">
        <f ca="1">N112*($F112-$G112)*(AllProps_SSW/HHProps_SSW)</f>
        <v>0.93578021983036375</v>
      </c>
      <c r="P112" s="324">
        <f ca="1">K112*N$115/K$114</f>
        <v>1.7580956263492074E-2</v>
      </c>
      <c r="Q112" s="453" t="s">
        <v>127</v>
      </c>
      <c r="R112" s="471">
        <f ca="1">P112*HHProps_SSW/((F112-G112)*AllProps_SSW)</f>
        <v>3.4975665694709028</v>
      </c>
      <c r="S112" s="612">
        <f ca="1">INDEX(INDIRECT("CAM_WTPCore2_"&amp;$B112&amp;"_Levels"),1,MATCH(S$4,WTPCore2_AttLevels,0))</f>
        <v>2.5000000000000001E-2</v>
      </c>
      <c r="T112" s="612">
        <f ca="1">INDEX(INDIRECT("CAM_WTPCore2_"&amp;$B112&amp;"_Levels"),1,MATCH(T$4,WTPCore2_AttLevels,0))</f>
        <v>1.6666666666666666E-2</v>
      </c>
      <c r="U112" s="324">
        <f ca="1">INDEX(INDIRECT("CAM_WTPCore2_"&amp;$B112&amp;"_LevelValues"),1,MATCH("S1 MEAN",WTPCore2_LevelValues,0))</f>
        <v>5.3490671066612649E-2</v>
      </c>
      <c r="V112" s="324">
        <f ca="1">INDEX(INDIRECT("CAM_WTPCore2_"&amp;$B112&amp;"_LevelValues"),1,MATCH("S2 MEAN",WTPCore2_LevelValues,0))</f>
        <v>0.33457681646237136</v>
      </c>
      <c r="W112" s="512">
        <f ca="1">SUM(U112:V112)</f>
        <v>0.38806748752898401</v>
      </c>
      <c r="X112" s="221">
        <f ca="1">E112*(S112-T112)</f>
        <v>2.6583333333333337</v>
      </c>
      <c r="Y112" s="89">
        <f ca="1">INDEX(INDIRECT("CAM_WTPCore_"&amp;$B112&amp;"_UnitValues"),MATCH("COMBINED-HH",WTPCore_Group,0),MATCH("MEAN",LMH,0))</f>
        <v>28.26566546881222</v>
      </c>
      <c r="Z112" s="89">
        <f ca="1">Y112*($S112-$T112)*(AllProps_CAM/HHProps_CAM)</f>
        <v>0.25044117647058828</v>
      </c>
      <c r="AA112" s="89">
        <f ca="1">INDEX(INDIRECT("CAM_WTPCore2_"&amp;$B112&amp;"_UnitValues"),1,MATCH("MEAN",LMH,0))</f>
        <v>43.79865138952065</v>
      </c>
      <c r="AB112" s="89">
        <f ca="1">AA112*($S112-T112)*(AllProps_CAM/HHProps_CAM)</f>
        <v>0.3880674875289839</v>
      </c>
      <c r="AC112" s="512">
        <f ca="1">X112*AA$115/X$114</f>
        <v>2.6257397555984545E-2</v>
      </c>
      <c r="AD112" s="377" t="s">
        <v>127</v>
      </c>
      <c r="AE112" s="471">
        <f ca="1">AC112*HHProps_CAM/((S112-T112)*AllProps_CAM)</f>
        <v>2.9635015529733719</v>
      </c>
    </row>
    <row r="113" spans="1:31" x14ac:dyDescent="0.35">
      <c r="A113" s="7" t="s">
        <v>125</v>
      </c>
      <c r="B113" s="7" t="s">
        <v>126</v>
      </c>
      <c r="C113" s="7" t="str">
        <f>B113</f>
        <v>NotSafe</v>
      </c>
      <c r="D113" s="377" t="s">
        <v>127</v>
      </c>
      <c r="E113" s="124">
        <f ca="1">INDEX(INDIRECT("ExtWTP19_"&amp;$C113&amp;"_UnitValues"),MATCH(A$111, INDIRECT("ExtWTP19_Comps_"&amp;C113),0),MATCH("HH",ExtWTP_Group,0))</f>
        <v>63964</v>
      </c>
      <c r="F113" s="612">
        <f ca="1">INDEX(INDIRECT("SSW_WTPCore2_"&amp;$B113&amp;"_Levels"),1,MATCH(F$4,WTPCore2_AttLevels,0))</f>
        <v>1.2500000000000001E-2</v>
      </c>
      <c r="G113" s="612">
        <f ca="1">INDEX(INDIRECT("SSW_WTPCore2_"&amp;$B113&amp;"_Levels"),1,MATCH(G$4,WTPCore2_AttLevels,0))</f>
        <v>8.3333333333333332E-3</v>
      </c>
      <c r="H113" s="324">
        <f ca="1">INDEX(INDIRECT("SSW_WTPCore2_"&amp;$B113&amp;"_LevelValues"),1,MATCH("S1 MEAN",WTPCore2_LevelValues,0))</f>
        <v>0.88929876177631462</v>
      </c>
      <c r="I113" s="324">
        <f ca="1">INDEX(INDIRECT("SSW_WTPCore2_"&amp;$B113&amp;"_LevelValues"),1,MATCH("S2 MEAN",WTPCore2_LevelValues,0))</f>
        <v>0.22437782965097952</v>
      </c>
      <c r="J113" s="324">
        <f ca="1">SUM(H113:I113)</f>
        <v>1.1136765914272941</v>
      </c>
      <c r="K113" s="231">
        <f ca="1">E113*(F113-G113)</f>
        <v>266.51666666666671</v>
      </c>
      <c r="L113" s="89">
        <f ca="1">INDEX(INDIRECT("SSW_WTPCore_DCE_"&amp;$B113&amp;"_UnitValues"),MATCH("COMBINED-HH",WTPCore_Group,0),MATCH("MEAN",LMH,0))</f>
        <v>759.38481661325</v>
      </c>
      <c r="M113" s="89">
        <f ca="1">L113*($F113-$G113)*(AllProps_SSW/HHProps_SSW)</f>
        <v>3.34</v>
      </c>
      <c r="N113" s="89">
        <f ca="1">INDEX(INDIRECT("SSW_WTPCore2_"&amp;$B113&amp;"_UnitValues"),1,MATCH("MEAN",LMH,0))</f>
        <v>253.20631561301954</v>
      </c>
      <c r="O113" s="89">
        <f ca="1">N113*($F113-$G113)*(AllProps_SSW/HHProps_SSW)</f>
        <v>1.1136765914272941</v>
      </c>
      <c r="P113" s="324">
        <f ca="1">K113*N$115/K$114</f>
        <v>3.0845760207939081</v>
      </c>
      <c r="Q113" s="453" t="s">
        <v>127</v>
      </c>
      <c r="R113" s="391">
        <f ca="1">P113*HHProps_SSW/((F113-G113)*AllProps_SSW)</f>
        <v>701.31143589227872</v>
      </c>
      <c r="S113" s="612">
        <f ca="1">INDEX(INDIRECT("CAM_WTPCore2_"&amp;$B113&amp;"_Levels"),1,MATCH(S$4,WTPCore2_AttLevels,0))</f>
        <v>1.2500000000000001E-2</v>
      </c>
      <c r="T113" s="612">
        <f ca="1">INDEX(INDIRECT("CAM_WTPCore2_"&amp;$B113&amp;"_Levels"),1,MATCH(T$4,WTPCore2_AttLevels,0))</f>
        <v>8.3333333333333332E-3</v>
      </c>
      <c r="U113" s="324">
        <f ca="1">INDEX(INDIRECT("CAM_WTPCore2_"&amp;$B113&amp;"_LevelValues"),1,MATCH("S1 MEAN",WTPCore2_LevelValues,0))</f>
        <v>1.0483009561625427</v>
      </c>
      <c r="V113" s="324">
        <f ca="1">INDEX(INDIRECT("CAM_WTPCore2_"&amp;$B113&amp;"_LevelValues"),1,MATCH("S2 MEAN",WTPCore2_LevelValues,0))</f>
        <v>1.4106837870846367</v>
      </c>
      <c r="W113" s="512">
        <f ca="1">SUM(U113:V113)</f>
        <v>2.4589847432471794</v>
      </c>
      <c r="X113" s="221">
        <f ca="1">E113*(S113-T113)</f>
        <v>266.51666666666671</v>
      </c>
      <c r="Y113" s="89">
        <f ca="1">INDEX(INDIRECT("CAM_WTPCore_"&amp;$B113&amp;"_UnitValues"),MATCH("COMBINED-HH",WTPCore_Group,0),MATCH("MEAN",LMH,0))</f>
        <v>501.11390007890685</v>
      </c>
      <c r="Z113" s="89">
        <f ca="1">Y113*($S113-$T113)*(AllProps_CAM/HHProps_CAM)</f>
        <v>2.2200000000000002</v>
      </c>
      <c r="AA113" s="89">
        <f ca="1">INDEX(INDIRECT("CAM_WTPCore2_"&amp;$B113&amp;"_UnitValues"),1,MATCH("MEAN",LMH,0))</f>
        <v>555.0592049203259</v>
      </c>
      <c r="AB113" s="89">
        <f ca="1">AA113*($S113-T113)*(AllProps_CAM/HHProps_CAM)</f>
        <v>2.4589847432471794</v>
      </c>
      <c r="AC113" s="512">
        <f ca="1">X113*AA$115/X$114</f>
        <v>2.6324893060673911</v>
      </c>
      <c r="AD113" s="377" t="s">
        <v>127</v>
      </c>
      <c r="AE113" s="391">
        <f ca="1">AC113*HHProps_CAM/((S113-T113)*AllProps_CAM)</f>
        <v>594.22386625200238</v>
      </c>
    </row>
    <row r="114" spans="1:31" x14ac:dyDescent="0.35">
      <c r="D114" s="377"/>
      <c r="E114" s="124"/>
      <c r="F114" s="612"/>
      <c r="G114" s="612"/>
      <c r="H114" s="324"/>
      <c r="I114" s="324"/>
      <c r="J114" s="330">
        <f ca="1">SUM(J112:J113)</f>
        <v>2.0494568112576577</v>
      </c>
      <c r="K114" s="331">
        <f ca="1">SUM(K112:K113)</f>
        <v>268.03571428571433</v>
      </c>
      <c r="L114" s="331"/>
      <c r="M114" s="331">
        <f ca="1">SUM(M112:M113)</f>
        <v>4.1548571428571428</v>
      </c>
      <c r="N114" s="331"/>
      <c r="O114" s="223">
        <f ca="1">SUM(O112:O113)</f>
        <v>2.0494568112576577</v>
      </c>
      <c r="P114" s="194">
        <f ca="1">SUM(P112:P113)</f>
        <v>3.1021569770574002</v>
      </c>
      <c r="R114" s="466"/>
      <c r="S114" s="90"/>
      <c r="T114" s="90"/>
      <c r="U114" s="90"/>
      <c r="V114" s="90"/>
      <c r="W114" s="44">
        <f ca="1">SUM(W112:W113)</f>
        <v>2.8470522307761632</v>
      </c>
      <c r="X114" s="222">
        <f ca="1">SUM(X112:X113)</f>
        <v>269.17500000000007</v>
      </c>
      <c r="Y114" s="331"/>
      <c r="Z114" s="331">
        <f ca="1">SUM(Z112:Z113)</f>
        <v>2.4704411764705885</v>
      </c>
      <c r="AA114" s="331"/>
      <c r="AB114" s="223">
        <f ca="1">SUM(AB112:AB113)</f>
        <v>2.8470522307761632</v>
      </c>
      <c r="AC114" s="44">
        <f ca="1">SUM(AC112:AC113)</f>
        <v>2.6587467036233754</v>
      </c>
      <c r="AE114" s="466"/>
    </row>
    <row r="115" spans="1:31" s="50" customFormat="1" x14ac:dyDescent="0.35">
      <c r="D115" s="371"/>
      <c r="E115" s="371"/>
      <c r="F115" s="152"/>
      <c r="G115" s="152"/>
      <c r="H115" s="152"/>
      <c r="I115" s="152"/>
      <c r="J115" s="152"/>
      <c r="K115" s="134"/>
      <c r="L115" s="134"/>
      <c r="M115" s="163" t="s">
        <v>361</v>
      </c>
      <c r="N115" s="546">
        <f ca="1">AVERAGE(M114,O114)</f>
        <v>3.1021569770574002</v>
      </c>
      <c r="O115" s="163"/>
      <c r="P115" s="134"/>
      <c r="Q115" s="458"/>
      <c r="R115" s="467"/>
      <c r="S115" s="152"/>
      <c r="T115" s="152"/>
      <c r="U115" s="152"/>
      <c r="V115" s="152"/>
      <c r="W115" s="152"/>
      <c r="X115" s="152"/>
      <c r="Y115" s="134"/>
      <c r="Z115" s="163" t="s">
        <v>361</v>
      </c>
      <c r="AA115" s="546">
        <f ca="1">AVERAGE(Z114,AB114)</f>
        <v>2.6587467036233758</v>
      </c>
      <c r="AB115" s="163"/>
      <c r="AC115" s="134"/>
      <c r="AE115" s="467"/>
    </row>
    <row r="116" spans="1:31" x14ac:dyDescent="0.35">
      <c r="A116" s="51" t="s">
        <v>106</v>
      </c>
      <c r="F116" s="90"/>
      <c r="G116" s="90"/>
      <c r="H116" s="90"/>
      <c r="I116" s="90"/>
      <c r="J116" s="90"/>
      <c r="K116" s="133"/>
      <c r="L116" s="133"/>
      <c r="M116" s="133"/>
      <c r="N116" s="133"/>
      <c r="O116" s="133"/>
      <c r="P116" s="133"/>
      <c r="R116" s="466"/>
      <c r="S116" s="90"/>
      <c r="T116" s="90"/>
      <c r="U116" s="90"/>
      <c r="V116" s="90"/>
      <c r="W116" s="90"/>
      <c r="X116" s="90"/>
      <c r="Y116" s="133"/>
      <c r="Z116" s="133"/>
      <c r="AA116" s="133"/>
      <c r="AB116" s="133"/>
      <c r="AC116" s="133"/>
      <c r="AE116" s="466"/>
    </row>
    <row r="117" spans="1:31" x14ac:dyDescent="0.35">
      <c r="A117" s="7" t="s">
        <v>876</v>
      </c>
      <c r="B117" s="7" t="s">
        <v>138</v>
      </c>
      <c r="C117" s="7" t="s">
        <v>1007</v>
      </c>
      <c r="D117" s="377" t="s">
        <v>127</v>
      </c>
      <c r="E117" s="124">
        <f ca="1">INDEX(INDIRECT("ExtWTP19_"&amp;$C117&amp;"_UnitValues"),MATCH(A$116, INDIRECT("ExtWTP19_Comps_"&amp;C117),0),MATCH("HH",ExtWTP_Group,0))</f>
        <v>2495</v>
      </c>
      <c r="F117" s="612">
        <f ca="1">INDEX(INDIRECT("SSW_WTPCore2_"&amp;$B117&amp;"_Levels"),1,MATCH(F$4,WTPCore2_AttLevels,0))</f>
        <v>1.4285714285714285E-2</v>
      </c>
      <c r="G117" s="612">
        <f ca="1">INDEX(INDIRECT("SSW_WTPCore2_"&amp;$B117&amp;"_Levels"),1,MATCH(G$4,WTPCore2_AttLevels,0))</f>
        <v>9.5238095238095247E-3</v>
      </c>
      <c r="H117" s="324">
        <f ca="1">INDEX(INDIRECT("SSW_WTPCore2_"&amp;$B117&amp;"_LevelValues"),1,MATCH("S1 MEAN",WTPCore2_LevelValues,0))</f>
        <v>0.39718669024665654</v>
      </c>
      <c r="I117" s="324">
        <f ca="1">INDEX(INDIRECT("SSW_WTPCore2_"&amp;$B117&amp;"_LevelValues"),1,MATCH("S2 MEAN",WTPCore2_LevelValues,0))</f>
        <v>0.53859352958370721</v>
      </c>
      <c r="J117" s="324">
        <f ca="1">SUM(H117:I117)</f>
        <v>0.93578021983036375</v>
      </c>
      <c r="K117" s="231">
        <f ca="1">E117*(F117-G117)</f>
        <v>11.880952380952378</v>
      </c>
      <c r="L117" s="89">
        <f ca="1">INDEX(INDIRECT("SSW_WTPCore_DCE_"&amp;$B117&amp;"_UnitValues"),MATCH("COMBINED-HH",WTPCore_Group,0),MATCH("MEAN",LMH,0))</f>
        <v>162.10819588181059</v>
      </c>
      <c r="M117" s="89">
        <f ca="1">L117*($F117-$G117)*(AllProps_SSW/HHProps_SSW)</f>
        <v>0.8148571428571425</v>
      </c>
      <c r="N117" s="89">
        <f ca="1">INDEX(INDIRECT("SSW_WTPCore2_"&amp;$B117&amp;"_UnitValues"),1,MATCH("MEAN",LMH,0))</f>
        <v>186.16470937063306</v>
      </c>
      <c r="O117" s="89">
        <f ca="1">N117*($F117-$G117)*(AllProps_SSW/HHProps_SSW)</f>
        <v>0.93578021983036375</v>
      </c>
      <c r="P117" s="324">
        <f ca="1">K117*N$120/K$119</f>
        <v>0.64730498954187077</v>
      </c>
      <c r="Q117" s="453" t="s">
        <v>127</v>
      </c>
      <c r="R117" s="471">
        <f ca="1">P117*HHProps_SSW/((F117-G117)*AllProps_SSW)</f>
        <v>128.77526442487533</v>
      </c>
      <c r="S117" s="612">
        <f ca="1">INDEX(INDIRECT("CAM_WTPCore2_"&amp;$B117&amp;"_Levels"),1,MATCH(S$4,WTPCore2_AttLevels,0))</f>
        <v>2.5000000000000001E-2</v>
      </c>
      <c r="T117" s="612">
        <f ca="1">INDEX(INDIRECT("CAM_WTPCore2_"&amp;$B117&amp;"_Levels"),1,MATCH(T$4,WTPCore2_AttLevels,0))</f>
        <v>1.6666666666666666E-2</v>
      </c>
      <c r="U117" s="324">
        <f ca="1">INDEX(INDIRECT("CAM_WTPCore2_"&amp;$B117&amp;"_LevelValues"),1,MATCH("S1 MEAN",WTPCore2_LevelValues,0))</f>
        <v>5.3490671066612649E-2</v>
      </c>
      <c r="V117" s="324">
        <f ca="1">INDEX(INDIRECT("CAM_WTPCore2_"&amp;$B117&amp;"_LevelValues"),1,MATCH("S2 MEAN",WTPCore2_LevelValues,0))</f>
        <v>0.33457681646237136</v>
      </c>
      <c r="W117" s="512">
        <f ca="1">SUM(U117:V117)</f>
        <v>0.38806748752898401</v>
      </c>
      <c r="X117" s="221">
        <f ca="1">E117*(S117-T117)</f>
        <v>20.791666666666671</v>
      </c>
      <c r="Y117" s="89">
        <f ca="1">INDEX(INDIRECT("CAM_WTPCore_"&amp;$B117&amp;"_UnitValues"),MATCH("COMBINED-HH",WTPCore_Group,0),MATCH("MEAN",LMH,0))</f>
        <v>28.26566546881222</v>
      </c>
      <c r="Z117" s="89">
        <f ca="1">Y117*($S117-$T117)*(AllProps_CAM/HHProps_CAM)</f>
        <v>0.25044117647058828</v>
      </c>
      <c r="AA117" s="89">
        <f ca="1">INDEX(INDIRECT("CAM_WTPCore2_"&amp;$B117&amp;"_UnitValues"),1,MATCH("MEAN",LMH,0))</f>
        <v>43.79865138952065</v>
      </c>
      <c r="AB117" s="89">
        <f ca="1">AA117*($S117-T117)*(AllProps_CAM/HHProps_CAM)</f>
        <v>0.3880674875289839</v>
      </c>
      <c r="AC117" s="512">
        <f ca="1">X117*AA$120/X$119</f>
        <v>2.3155046185848702</v>
      </c>
      <c r="AD117" s="377" t="s">
        <v>127</v>
      </c>
      <c r="AE117" s="471">
        <f ca="1">AC117*HHProps_CAM/((S117-T117)*AllProps_CAM)</f>
        <v>261.33593470040228</v>
      </c>
    </row>
    <row r="118" spans="1:31" x14ac:dyDescent="0.35">
      <c r="A118" s="7" t="s">
        <v>40</v>
      </c>
      <c r="B118" s="7" t="s">
        <v>40</v>
      </c>
      <c r="C118" s="7" t="str">
        <f>B118</f>
        <v>Leakage</v>
      </c>
      <c r="D118" s="377" t="s">
        <v>1168</v>
      </c>
      <c r="E118" s="124">
        <f ca="1">INDEX(INDIRECT("ExtWTP19_"&amp;$C118&amp;"_UnitValues"),MATCH(A$116, INDIRECT("ExtWTP19_Comps_"&amp;C118),0),MATCH("HH",ExtWTP_Group,0))</f>
        <v>611894</v>
      </c>
      <c r="F118" s="325">
        <f ca="1">INDEX(INDIRECT("SSW_WTPCore2_"&amp;$B118&amp;"_Levels"),1,MATCH(F$4,WTPCore2_AttLevels,0))</f>
        <v>70.5</v>
      </c>
      <c r="G118" s="325">
        <f ca="1">INDEX(INDIRECT("SSW_WTPCore2_"&amp;$B118&amp;"_Levels"),1,MATCH(G$4,WTPCore2_AttLevels,0))</f>
        <v>35.25</v>
      </c>
      <c r="H118" s="324">
        <f ca="1">INDEX(INDIRECT("SSW_WTPCore2_"&amp;$B118&amp;"_LevelValues"),1,MATCH("S1 MEAN",WTPCore2_LevelValues,0))</f>
        <v>1.2301339708448666</v>
      </c>
      <c r="I118" s="324">
        <f ca="1">INDEX(INDIRECT("SSW_WTPCore2_"&amp;$B118&amp;"_LevelValues"),1,MATCH("S2 MEAN",WTPCore2_LevelValues,0))</f>
        <v>0.44133293088857806</v>
      </c>
      <c r="J118" s="324">
        <f ca="1">SUM(H118:I118)</f>
        <v>1.6714669017334447</v>
      </c>
      <c r="K118" s="231">
        <f ca="1">E118*(F118-G118)/AllProps_SSW</f>
        <v>37.879024454493567</v>
      </c>
      <c r="L118" s="89">
        <f ca="1">INDEX(INDIRECT("SSW_WTPCore_DCE_"&amp;$B118&amp;"_UnitValues"),MATCH("COMBINED-HH",WTPCore_Group,0),MATCH("MEAN",LMH,0))</f>
        <v>30606.35460992908</v>
      </c>
      <c r="M118" s="89">
        <f ca="1">L118*(F118-G118)/HHProps_SSW</f>
        <v>2</v>
      </c>
      <c r="N118" s="89">
        <f ca="1">INDEX(INDIRECT("SSW_WTPCore2_"&amp;$B118&amp;"_UnitValues"),1,MATCH("MEAN",LMH,0))</f>
        <v>25578.754356606645</v>
      </c>
      <c r="O118" s="89">
        <f ca="1">N118*(F118-G118)/HHProps_SSW</f>
        <v>1.6714669017334447</v>
      </c>
      <c r="P118" s="324">
        <f ca="1">K118*N$120/K$119</f>
        <v>2.0637471426686047</v>
      </c>
      <c r="Q118" s="453" t="s">
        <v>1168</v>
      </c>
      <c r="R118" s="469">
        <f ca="1">P118*HHProps_SSW/((F118-G118))</f>
        <v>31581.888436871606</v>
      </c>
      <c r="S118" s="325">
        <f ca="1">INDEX(INDIRECT("CAM_WTPCore2_"&amp;$B118&amp;"_Levels"),1,MATCH(S$4,WTPCore2_AttLevels,0))</f>
        <v>13.5</v>
      </c>
      <c r="T118" s="325">
        <f ca="1">INDEX(INDIRECT("CAM_WTPCore2_"&amp;$B118&amp;"_Levels"),1,MATCH(T$4,WTPCore2_AttLevels,0))</f>
        <v>6.75</v>
      </c>
      <c r="U118" s="324">
        <f ca="1">INDEX(INDIRECT("CAM_WTPCore2_"&amp;$B118&amp;"_LevelValues"),1,MATCH("S1 MEAN",WTPCore2_LevelValues,0))</f>
        <v>3.1349723048319831</v>
      </c>
      <c r="V118" s="324">
        <f ca="1">INDEX(INDIRECT("CAM_WTPCore2_"&amp;$B118&amp;"_LevelValues"),1,MATCH("S2 MEAN",WTPCore2_LevelValues,0))</f>
        <v>5.1405797633106154E-3</v>
      </c>
      <c r="W118" s="512">
        <f ca="1">SUM(U118:V118)</f>
        <v>3.1401128845952937</v>
      </c>
      <c r="X118" s="221">
        <f ca="1">E118*(S118-T118)/AllProps_CAM</f>
        <v>28.588427675567921</v>
      </c>
      <c r="Y118" s="89">
        <f ca="1">INDEX(INDIRECT("CAM_WTPCore_"&amp;$B118&amp;"_UnitValues"),MATCH("COMBINED-HH",WTPCore_Group,0),MATCH("MEAN",LMH,0))</f>
        <v>145343.41333333333</v>
      </c>
      <c r="Z118" s="89">
        <f ca="1">Y118*(S118-T118)/HHProps_CAM</f>
        <v>7.2200000000000006</v>
      </c>
      <c r="AA118" s="89">
        <f ca="1">INDEX(INDIRECT("CAM_WTPCore2_"&amp;$B118&amp;"_UnitValues"),1,MATCH("MEAN",LMH,0))</f>
        <v>63212.565775492993</v>
      </c>
      <c r="AB118" s="89">
        <f ca="1">AA118*(S118-T118)/HHProps_CAM</f>
        <v>3.1401128845952937</v>
      </c>
      <c r="AC118" s="512">
        <f ca="1">X118*AA$120/X$119</f>
        <v>3.1838061557125625</v>
      </c>
      <c r="AD118" s="377" t="s">
        <v>1168</v>
      </c>
      <c r="AE118" s="391">
        <f ca="1">AC118*HHProps_CAM/((S118-T118))</f>
        <v>64092.140451931024</v>
      </c>
    </row>
    <row r="119" spans="1:31" ht="15" thickBot="1" x14ac:dyDescent="0.4">
      <c r="D119" s="377"/>
      <c r="E119" s="124"/>
      <c r="F119" s="325"/>
      <c r="G119" s="325"/>
      <c r="H119" s="324"/>
      <c r="I119" s="324"/>
      <c r="J119" s="330">
        <f ca="1">SUM(J117:J118)</f>
        <v>2.6072471215638084</v>
      </c>
      <c r="K119" s="331">
        <f ca="1">SUM(K117:K118)</f>
        <v>49.759976835445947</v>
      </c>
      <c r="L119" s="331"/>
      <c r="M119" s="331">
        <f ca="1">SUM(M117:M118)</f>
        <v>2.8148571428571425</v>
      </c>
      <c r="N119" s="331"/>
      <c r="O119" s="223">
        <f ca="1">SUM(O117:O118)</f>
        <v>2.6072471215638084</v>
      </c>
      <c r="P119" s="194">
        <f ca="1">SUM(P117:P118)</f>
        <v>2.7110521322104755</v>
      </c>
      <c r="R119" s="472"/>
      <c r="S119" s="90"/>
      <c r="T119" s="90"/>
      <c r="U119" s="90"/>
      <c r="V119" s="90"/>
      <c r="W119" s="44">
        <f ca="1">SUM(W117:W118)</f>
        <v>3.5281803721242779</v>
      </c>
      <c r="X119" s="222">
        <f ca="1">SUM(X117:X118)</f>
        <v>49.380094342234592</v>
      </c>
      <c r="Y119" s="331"/>
      <c r="Z119" s="331">
        <f ca="1">SUM(Z117:Z118)</f>
        <v>7.4704411764705885</v>
      </c>
      <c r="AA119" s="331"/>
      <c r="AB119" s="223">
        <f ca="1">SUM(AB117:AB118)</f>
        <v>3.5281803721242775</v>
      </c>
      <c r="AC119" s="44">
        <f ca="1">SUM(AC117:AC118)</f>
        <v>5.4993107742974328</v>
      </c>
      <c r="AE119" s="472"/>
    </row>
    <row r="120" spans="1:31" s="50" customFormat="1" x14ac:dyDescent="0.35">
      <c r="D120" s="371"/>
      <c r="E120" s="371"/>
      <c r="F120" s="352"/>
      <c r="G120" s="352"/>
      <c r="H120" s="352"/>
      <c r="I120" s="352"/>
      <c r="J120" s="352"/>
      <c r="M120" s="39" t="s">
        <v>361</v>
      </c>
      <c r="N120" s="546">
        <f ca="1">AVERAGE(M119,O119)</f>
        <v>2.7110521322104755</v>
      </c>
      <c r="O120" s="39"/>
      <c r="Q120" s="458"/>
      <c r="R120" s="87"/>
      <c r="S120" s="352"/>
      <c r="T120" s="352"/>
      <c r="U120" s="352"/>
      <c r="V120" s="352"/>
      <c r="W120" s="352"/>
      <c r="X120" s="352"/>
      <c r="Z120" s="39" t="s">
        <v>361</v>
      </c>
      <c r="AA120" s="546">
        <f ca="1">AVERAGE(Z119,AB119)</f>
        <v>5.4993107742974328</v>
      </c>
      <c r="AB120" s="39"/>
      <c r="AE120" s="87"/>
    </row>
    <row r="121" spans="1:31" x14ac:dyDescent="0.35">
      <c r="A121" s="7" t="s">
        <v>50</v>
      </c>
    </row>
    <row r="122" spans="1:31" x14ac:dyDescent="0.35">
      <c r="A122" s="7" t="s">
        <v>1178</v>
      </c>
    </row>
    <row r="123" spans="1:31" x14ac:dyDescent="0.35"/>
    <row r="124" spans="1:31" x14ac:dyDescent="0.35"/>
    <row r="125" spans="1:31" x14ac:dyDescent="0.35"/>
    <row r="126" spans="1:31" x14ac:dyDescent="0.35"/>
    <row r="127" spans="1:31" x14ac:dyDescent="0.35"/>
    <row r="128" spans="1:31"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theme="6"/>
  </sheetPr>
  <dimension ref="A1:AH117"/>
  <sheetViews>
    <sheetView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4.5" zeroHeight="1" x14ac:dyDescent="0.35"/>
  <cols>
    <col min="1" max="1" width="71.54296875" style="7" customWidth="1"/>
    <col min="2" max="3" width="18.26953125" style="7" customWidth="1"/>
    <col min="4" max="4" width="18.26953125" style="31" customWidth="1"/>
    <col min="5" max="5" width="13.26953125" style="31" customWidth="1"/>
    <col min="6" max="10" width="13.26953125" style="43" customWidth="1"/>
    <col min="11" max="15" width="15.26953125" style="7" customWidth="1"/>
    <col min="16" max="16" width="18.54296875" style="7" bestFit="1" customWidth="1"/>
    <col min="17" max="17" width="19" style="23" customWidth="1"/>
    <col min="18" max="18" width="21.1796875" style="201" customWidth="1"/>
    <col min="19" max="23" width="13" style="31" customWidth="1"/>
    <col min="24" max="28" width="20.453125" style="43" customWidth="1"/>
    <col min="29" max="29" width="13" style="7" customWidth="1"/>
    <col min="30" max="30" width="19" style="7" customWidth="1"/>
    <col min="31" max="31" width="20" style="201" customWidth="1"/>
    <col min="32" max="32" width="9.1796875" style="7" customWidth="1"/>
    <col min="33" max="34" width="0" style="7" hidden="1" customWidth="1"/>
    <col min="35" max="16384" width="9.1796875" style="7" hidden="1"/>
  </cols>
  <sheetData>
    <row r="1" spans="1:31" ht="28.5" x14ac:dyDescent="0.65">
      <c r="A1" s="76" t="s">
        <v>1179</v>
      </c>
      <c r="B1" s="76"/>
      <c r="C1" s="76"/>
      <c r="D1" s="76"/>
      <c r="E1" s="76"/>
      <c r="F1" s="76"/>
      <c r="G1" s="76"/>
      <c r="H1" s="76"/>
      <c r="I1" s="76"/>
      <c r="J1" s="76"/>
      <c r="K1" s="446"/>
      <c r="L1" s="446"/>
      <c r="M1" s="446"/>
      <c r="N1" s="446"/>
      <c r="O1" s="446"/>
      <c r="P1" s="446"/>
      <c r="Q1" s="449"/>
      <c r="R1" s="463"/>
      <c r="S1" s="463"/>
      <c r="T1" s="473"/>
      <c r="U1" s="473"/>
      <c r="V1" s="473"/>
      <c r="W1" s="473"/>
      <c r="X1" s="76"/>
      <c r="Y1" s="76"/>
      <c r="Z1" s="76"/>
      <c r="AA1" s="76"/>
      <c r="AB1" s="76"/>
      <c r="AC1" s="76"/>
      <c r="AD1" s="76"/>
      <c r="AE1" s="473"/>
    </row>
    <row r="2" spans="1:31" ht="19.5" x14ac:dyDescent="0.45">
      <c r="A2" s="311"/>
      <c r="B2" s="311"/>
      <c r="C2" s="311"/>
      <c r="D2" s="47"/>
      <c r="E2" s="47"/>
      <c r="F2" s="126" t="s">
        <v>1013</v>
      </c>
      <c r="G2" s="126"/>
      <c r="H2" s="126"/>
      <c r="I2" s="126"/>
      <c r="J2" s="447"/>
      <c r="K2" s="447"/>
      <c r="L2" s="447"/>
      <c r="M2" s="447"/>
      <c r="N2" s="447"/>
      <c r="O2" s="447"/>
      <c r="P2" s="447"/>
      <c r="Q2" s="450"/>
      <c r="R2" s="464"/>
      <c r="S2" s="618" t="s">
        <v>1014</v>
      </c>
      <c r="T2" s="619"/>
      <c r="U2" s="619"/>
      <c r="V2" s="619"/>
      <c r="W2" s="619"/>
      <c r="X2" s="48"/>
      <c r="Y2" s="48"/>
      <c r="Z2" s="48"/>
      <c r="AA2" s="48"/>
      <c r="AB2" s="48"/>
      <c r="AC2" s="49"/>
      <c r="AD2" s="49"/>
      <c r="AE2" s="474"/>
    </row>
    <row r="3" spans="1:31" ht="15" thickBot="1" x14ac:dyDescent="0.4">
      <c r="A3" s="50"/>
      <c r="B3" s="50"/>
      <c r="C3" s="50"/>
      <c r="D3" s="376" t="s">
        <v>1000</v>
      </c>
      <c r="E3" s="376"/>
      <c r="F3" s="376" t="s">
        <v>1003</v>
      </c>
      <c r="G3" s="376"/>
      <c r="H3" s="376" t="s">
        <v>678</v>
      </c>
      <c r="I3" s="376"/>
      <c r="J3" s="376"/>
      <c r="K3" s="376" t="s">
        <v>1002</v>
      </c>
      <c r="L3" s="376"/>
      <c r="M3" s="376"/>
      <c r="N3" s="376"/>
      <c r="O3" s="376"/>
      <c r="P3" s="376"/>
      <c r="Q3" s="451"/>
      <c r="R3" s="465"/>
      <c r="S3" s="465" t="s">
        <v>1003</v>
      </c>
      <c r="T3" s="465"/>
      <c r="U3" s="465" t="s">
        <v>678</v>
      </c>
      <c r="V3" s="465"/>
      <c r="W3" s="465"/>
      <c r="X3" s="376" t="s">
        <v>1002</v>
      </c>
      <c r="Y3" s="376"/>
      <c r="Z3" s="376"/>
      <c r="AA3" s="376"/>
      <c r="AB3" s="376"/>
      <c r="AC3" s="376"/>
      <c r="AD3" s="376"/>
      <c r="AE3" s="465"/>
    </row>
    <row r="4" spans="1:31" ht="43.5" x14ac:dyDescent="0.35">
      <c r="A4" s="52" t="s">
        <v>89</v>
      </c>
      <c r="B4" s="54" t="s">
        <v>1004</v>
      </c>
      <c r="C4" s="54" t="s">
        <v>1005</v>
      </c>
      <c r="D4" s="319" t="s">
        <v>124</v>
      </c>
      <c r="E4" s="381" t="s">
        <v>1006</v>
      </c>
      <c r="F4" s="205" t="s">
        <v>350</v>
      </c>
      <c r="G4" s="205" t="s">
        <v>352</v>
      </c>
      <c r="H4" s="382" t="s">
        <v>353</v>
      </c>
      <c r="I4" s="382" t="s">
        <v>354</v>
      </c>
      <c r="J4" s="382" t="s">
        <v>355</v>
      </c>
      <c r="K4" s="88" t="s">
        <v>674</v>
      </c>
      <c r="L4" s="598" t="s">
        <v>356</v>
      </c>
      <c r="M4" s="598" t="s">
        <v>357</v>
      </c>
      <c r="N4" s="598" t="s">
        <v>358</v>
      </c>
      <c r="O4" s="598" t="s">
        <v>359</v>
      </c>
      <c r="P4" s="88" t="s">
        <v>346</v>
      </c>
      <c r="Q4" s="452" t="s">
        <v>124</v>
      </c>
      <c r="R4" s="397" t="s">
        <v>681</v>
      </c>
      <c r="S4" s="86" t="s">
        <v>350</v>
      </c>
      <c r="T4" s="86" t="s">
        <v>352</v>
      </c>
      <c r="U4" s="465" t="s">
        <v>353</v>
      </c>
      <c r="V4" s="465" t="s">
        <v>354</v>
      </c>
      <c r="W4" s="465" t="s">
        <v>355</v>
      </c>
      <c r="X4" s="88" t="s">
        <v>674</v>
      </c>
      <c r="Y4" s="598" t="s">
        <v>356</v>
      </c>
      <c r="Z4" s="598" t="s">
        <v>357</v>
      </c>
      <c r="AA4" s="598" t="s">
        <v>358</v>
      </c>
      <c r="AB4" s="598" t="s">
        <v>359</v>
      </c>
      <c r="AC4" s="88" t="s">
        <v>346</v>
      </c>
      <c r="AD4" s="189" t="s">
        <v>124</v>
      </c>
      <c r="AE4" s="397" t="s">
        <v>681</v>
      </c>
    </row>
    <row r="5" spans="1:31" x14ac:dyDescent="0.35">
      <c r="A5" s="7" t="s">
        <v>129</v>
      </c>
      <c r="B5" s="7" t="s">
        <v>130</v>
      </c>
      <c r="C5" s="7" t="str">
        <f>B5</f>
        <v>Discolour</v>
      </c>
      <c r="D5" s="377" t="s">
        <v>127</v>
      </c>
      <c r="E5" s="124">
        <f ca="1">INDEX(INDIRECT("ExtWTP19_"&amp;$C5&amp;"_UnitValues"),MATCH(A$4, INDIRECT("ExtWTP19_Comps_"&amp;C5),0),MATCH("NHH",ExtWTP_Group,0))</f>
        <v>873</v>
      </c>
      <c r="F5" s="383">
        <f t="shared" ref="F5:G7" ca="1" si="0">INDEX(INDIRECT("SSW_WTPCore2_"&amp;$B5&amp;"_Levels"),2,MATCH(F$4,WTPCore2_AttLevels,0))</f>
        <v>6.6666666666666666E-2</v>
      </c>
      <c r="G5" s="383">
        <f t="shared" ca="1" si="0"/>
        <v>0.04</v>
      </c>
      <c r="H5" s="431">
        <f ca="1">INDEX(INDIRECT("SSW_WTPCore2_"&amp;$B5&amp;"_LevelValues"),2,MATCH("S1 MEAN",WTPCore2_LevelValues,0))</f>
        <v>1.9376915692789636E-2</v>
      </c>
      <c r="I5" s="431">
        <f ca="1">INDEX(INDIRECT("SSW_WTPCore2_"&amp;$B5&amp;"_LevelValues"),2,MATCH("S2 MEAN",WTPCore2_LevelValues,0))</f>
        <v>4.9841954334050795E-4</v>
      </c>
      <c r="J5" s="323">
        <f ca="1">SUM(H5:I5)</f>
        <v>1.9875335236130144E-2</v>
      </c>
      <c r="K5" s="213">
        <f ca="1">E5*(F5-G5)</f>
        <v>23.279999999999998</v>
      </c>
      <c r="L5" s="429">
        <f ca="1">INDEX(INDIRECT("SSW_WTPCore_DCE_"&amp;$B5&amp;"_UnitValues"),MATCH("COMBINED-NHH",WTPCore_Group,0),MATCH("MEAN",LMH,0))</f>
        <v>37.156930418313699</v>
      </c>
      <c r="M5" s="89">
        <f ca="1">L5*($F5-$G5)*(AllProps_SSW/NHHProps_SSW)</f>
        <v>18.814712643678163</v>
      </c>
      <c r="N5" s="89">
        <f ca="1">INDEX(INDIRECT("SSW_WTPCore2_"&amp;$B5&amp;"_UnitValues"),2,MATCH("MEAN",LMH,0))</f>
        <v>173.64881354494736</v>
      </c>
      <c r="O5" s="89">
        <f ca="1">N5*($F5-$G5)*(AllProps_SSW/NHHProps_SSW)</f>
        <v>87.928483084639765</v>
      </c>
      <c r="P5" s="16">
        <f ca="1">K5*N$10/K$9</f>
        <v>52.667817528385065</v>
      </c>
      <c r="Q5" s="453" t="s">
        <v>127</v>
      </c>
      <c r="R5" s="391">
        <f ca="1">P5*NHHProps_SSW/((F5-G5)*AllProps_SSW)</f>
        <v>104.0129853827026</v>
      </c>
      <c r="S5" s="615">
        <f t="shared" ref="S5:T7" ca="1" si="1">INDEX(INDIRECT("CAM_WTPCore2_"&amp;$B5&amp;"_Levels"),2,MATCH(S$4,WTPCore2_AttLevels,0))</f>
        <v>2.2222222222222223E-2</v>
      </c>
      <c r="T5" s="615">
        <f t="shared" ca="1" si="1"/>
        <v>1.5384615384615385E-2</v>
      </c>
      <c r="U5" s="512">
        <f ca="1">INDEX(INDIRECT("CAM_WTPCore2_"&amp;$B5&amp;"_LevelValues"),2,MATCH("S1 MEAN",WTPCore2_LevelValues,0))</f>
        <v>5.6414013673365619E-2</v>
      </c>
      <c r="V5" s="512">
        <f ca="1">INDEX(INDIRECT("CAM_WTPCore2_"&amp;$B5&amp;"_LevelValues"),2,MATCH("S2 MEAN",WTPCore2_LevelValues,0))</f>
        <v>1.4754621463399648E-4</v>
      </c>
      <c r="W5" s="512">
        <f ca="1">SUM(U5:V5)</f>
        <v>5.6561559887999616E-2</v>
      </c>
      <c r="X5" s="386">
        <f ca="1">E5*(S5-T5)</f>
        <v>5.9692307692307693</v>
      </c>
      <c r="Y5" s="89">
        <f ca="1">INDEX(INDIRECT("CAM_WTPCore_"&amp;$B5&amp;"_UnitValues"),MATCH("COMBINED-NHH",WTPCore_Group,0),MATCH("MEAN",LMH,0))</f>
        <v>243.59284023422896</v>
      </c>
      <c r="Z5" s="89">
        <f ca="1">Y5*($S5-$T5)*(AllProps_CAM/NHHProps_CAM)</f>
        <v>28.006837606837603</v>
      </c>
      <c r="AA5" s="89">
        <f ca="1">INDEX(INDIRECT("CAM_WTPCore2_"&amp;$B5&amp;"_UnitValues"),2,MATCH("MEAN",LMH,0))</f>
        <v>2518.7889835624424</v>
      </c>
      <c r="AB5" s="89">
        <f ca="1">AA5*($S5-$T5)*(AllProps_CAM/NHHProps_CAM)</f>
        <v>289.59518662655807</v>
      </c>
      <c r="AC5" s="168">
        <f ca="1">X5*AA$10/X$9</f>
        <v>64.239357124553649</v>
      </c>
      <c r="AD5" s="243" t="str">
        <f>Q5</f>
        <v>Property affected</v>
      </c>
      <c r="AE5" s="391">
        <f ca="1">(AC5*NHHProps_CAM)/((S5-T5)*AllProps_CAM)</f>
        <v>558.72953870988295</v>
      </c>
    </row>
    <row r="6" spans="1:31" x14ac:dyDescent="0.35">
      <c r="A6" s="7" t="s">
        <v>876</v>
      </c>
      <c r="B6" s="7" t="s">
        <v>138</v>
      </c>
      <c r="C6" s="7" t="s">
        <v>1007</v>
      </c>
      <c r="D6" s="377" t="s">
        <v>127</v>
      </c>
      <c r="E6" s="124">
        <f ca="1">INDEX(INDIRECT("ExtWTP19_"&amp;$C6&amp;"_UnitValues"),MATCH(A$4, INDIRECT("ExtWTP19_Comps_"&amp;C6),0),MATCH("NHH",ExtWTP_Group,0))</f>
        <v>2182</v>
      </c>
      <c r="F6" s="383">
        <f t="shared" ca="1" si="0"/>
        <v>1.2500000000000001E-2</v>
      </c>
      <c r="G6" s="383">
        <f t="shared" ca="1" si="0"/>
        <v>8.3333333333333332E-3</v>
      </c>
      <c r="H6" s="431">
        <f ca="1">INDEX(INDIRECT("SSW_WTPCore2_"&amp;$B6&amp;"_LevelValues"),2,MATCH("S1 MEAN",WTPCore2_LevelValues,0))</f>
        <v>2.3562800507588295E-4</v>
      </c>
      <c r="I6" s="431">
        <f ca="1">INDEX(INDIRECT("SSW_WTPCore2_"&amp;$B6&amp;"_LevelValues"),2,MATCH("S2 MEAN",WTPCore2_LevelValues,0))</f>
        <v>4.1117889914467278E-4</v>
      </c>
      <c r="J6" s="323">
        <f ca="1">SUM(H6:I6)</f>
        <v>6.4680690422055573E-4</v>
      </c>
      <c r="K6" s="213">
        <f ca="1">E6*(F6-G6)</f>
        <v>9.0916666666666686</v>
      </c>
      <c r="L6" s="429">
        <f ca="1">INDEX(INDIRECT("SSW_WTPCore_DCE_"&amp;$B6&amp;"_UnitValues"),MATCH("COMBINED-NHH",WTPCore_Group,0),MATCH("MEAN",LMH,0))</f>
        <v>260.23872775996313</v>
      </c>
      <c r="M6" s="89">
        <f ca="1">L6*($F6-$G6)*(AllProps_SSW/NHHProps_SSW)</f>
        <v>20.589685534591201</v>
      </c>
      <c r="N6" s="89">
        <f ca="1">INDEX(INDIRECT("SSW_WTPCore2_"&amp;$B6&amp;"_UnitValues"),2,MATCH("MEAN",LMH,0))</f>
        <v>36.166957745748803</v>
      </c>
      <c r="O6" s="89">
        <f ca="1">N6*($F6-$G6)*(AllProps_SSW/NHHProps_SSW)</f>
        <v>2.8614737442717386</v>
      </c>
      <c r="P6" s="16">
        <f t="shared" ref="P6:P7" ca="1" si="2">K6*N$10/K$9</f>
        <v>20.568652965158982</v>
      </c>
      <c r="Q6" s="453" t="s">
        <v>127</v>
      </c>
      <c r="R6" s="391">
        <f ca="1">P6*NHHProps_SSW/((F6-G6)*AllProps_SSW)</f>
        <v>259.97289130017998</v>
      </c>
      <c r="S6" s="615">
        <f t="shared" ca="1" si="1"/>
        <v>2.5000000000000001E-2</v>
      </c>
      <c r="T6" s="615">
        <f t="shared" ca="1" si="1"/>
        <v>1.6666666666666666E-2</v>
      </c>
      <c r="U6" s="512">
        <f ca="1">INDEX(INDIRECT("CAM_WTPCore2_"&amp;$B6&amp;"_LevelValues"),2,MATCH("S1 MEAN",WTPCore2_LevelValues,0))</f>
        <v>2.654718763279678E-4</v>
      </c>
      <c r="V6" s="512">
        <f ca="1">INDEX(INDIRECT("CAM_WTPCore2_"&amp;$B6&amp;"_LevelValues"),2,MATCH("S2 MEAN",WTPCore2_LevelValues,0))</f>
        <v>1.3401602008677625E-5</v>
      </c>
      <c r="W6" s="643">
        <f ca="1">SUM(U6:V6)</f>
        <v>2.7887347833664542E-4</v>
      </c>
      <c r="X6" s="386">
        <f ca="1">E6*(S6-T6)</f>
        <v>18.183333333333337</v>
      </c>
      <c r="Y6" s="89">
        <f ca="1">INDEX(INDIRECT("CAM_WTPCore_"&amp;$B6&amp;"_UnitValues"),MATCH("COMBINED-NHH",WTPCore_Group,0),MATCH("MEAN",LMH,0))</f>
        <v>76.122762573196539</v>
      </c>
      <c r="Z6" s="89">
        <f ca="1">Y6*($S6-$T6)*(AllProps_CAM/NHHProps_CAM)</f>
        <v>10.666666666666668</v>
      </c>
      <c r="AA6" s="89">
        <f ca="1">INDEX(INDIRECT("CAM_WTPCore2_"&amp;$B6&amp;"_UnitValues"),2,MATCH("MEAN",LMH,0))</f>
        <v>10.189737398103325</v>
      </c>
      <c r="AB6" s="89">
        <f ca="1">AA6*($S6-$T6)*(AllProps_CAM/NHHProps_CAM)</f>
        <v>1.4278322090836246</v>
      </c>
      <c r="AC6" s="168">
        <f t="shared" ref="AC6:AC8" ca="1" si="3">X6*AA$10/X$9</f>
        <v>195.68445062232482</v>
      </c>
      <c r="AD6" s="243" t="str">
        <f>Q6</f>
        <v>Property affected</v>
      </c>
      <c r="AE6" s="391">
        <f ca="1">AC6*NHHProps_CAM/((S6-T6)*AllProps_CAM)</f>
        <v>1396.5038413115283</v>
      </c>
    </row>
    <row r="7" spans="1:31" x14ac:dyDescent="0.35">
      <c r="A7" s="7" t="s">
        <v>40</v>
      </c>
      <c r="B7" s="7" t="s">
        <v>40</v>
      </c>
      <c r="C7" s="7" t="str">
        <f>B7</f>
        <v>Leakage</v>
      </c>
      <c r="D7" s="377" t="s">
        <v>1168</v>
      </c>
      <c r="E7" s="124">
        <f ca="1">INDEX(INDIRECT("ExtWTP19_"&amp;$C7&amp;"_UnitValues"),MATCH(A$4, INDIRECT("ExtWTP19_Comps_"&amp;C7),0),MATCH("NHH",ExtWTP_Group,0))</f>
        <v>416722</v>
      </c>
      <c r="F7" s="442">
        <f t="shared" ca="1" si="0"/>
        <v>70.5</v>
      </c>
      <c r="G7" s="442">
        <f t="shared" ca="1" si="0"/>
        <v>35.25</v>
      </c>
      <c r="H7" s="431">
        <f ca="1">INDEX(INDIRECT("SSW_WTPCore2_"&amp;$B7&amp;"_LevelValues"),2,MATCH("S1 MEAN",WTPCore2_LevelValues,0))</f>
        <v>1.8366495603833657E-2</v>
      </c>
      <c r="I7" s="431">
        <f ca="1">INDEX(INDIRECT("SSW_WTPCore2_"&amp;$B7&amp;"_LevelValues"),2,MATCH("S2 MEAN",WTPCore2_LevelValues,0))</f>
        <v>6.6875105310339848E-3</v>
      </c>
      <c r="J7" s="323">
        <f ca="1">SUM(H7:I7)</f>
        <v>2.5054006134867642E-2</v>
      </c>
      <c r="K7" s="213">
        <f ca="1">E7*(F7-G7)/AllProps_SSW</f>
        <v>25.796989067919391</v>
      </c>
      <c r="L7" s="429">
        <f ca="1">INDEX(INDIRECT("SSW_WTPCore_DCE_"&amp;$B7&amp;"_UnitValues"),MATCH("COMBINED-NHH",WTPCore_Group,0),MATCH("MEAN",LMH,0))</f>
        <v>18818.001702127662</v>
      </c>
      <c r="M7" s="89">
        <f ca="1">L7*(F7-G7)/NHHProps_SSW</f>
        <v>22.12</v>
      </c>
      <c r="N7" s="89">
        <f ca="1">INDEX(INDIRECT("SSW_WTPCore2_"&amp;$B7&amp;"_UnitValues"),2,MATCH("MEAN",LMH,0))</f>
        <v>94293.266018211216</v>
      </c>
      <c r="O7" s="89">
        <f ca="1">N7*(F7-G7)/NHHProps_SSW</f>
        <v>110.83892314065444</v>
      </c>
      <c r="P7" s="16">
        <f t="shared" ca="1" si="2"/>
        <v>58.362161211809408</v>
      </c>
      <c r="Q7" s="453" t="s">
        <v>1168</v>
      </c>
      <c r="R7" s="391">
        <f ca="1">P7*NHHProps_SSW/((F7-G7))</f>
        <v>49650.056465808244</v>
      </c>
      <c r="S7" s="620">
        <f t="shared" ca="1" si="1"/>
        <v>13.5</v>
      </c>
      <c r="T7" s="620">
        <f t="shared" ca="1" si="1"/>
        <v>6.75</v>
      </c>
      <c r="U7" s="512">
        <f ca="1">INDEX(INDIRECT("CAM_WTPCore2_"&amp;$B7&amp;"_LevelValues"),2,MATCH("S1 MEAN",WTPCore2_LevelValues,0))</f>
        <v>7.1569068986342493E-2</v>
      </c>
      <c r="V7" s="512">
        <f ca="1">INDEX(INDIRECT("CAM_WTPCore2_"&amp;$B7&amp;"_LevelValues"),2,MATCH("S2 MEAN",WTPCore2_LevelValues,0))</f>
        <v>3.5284810800562588E-2</v>
      </c>
      <c r="W7" s="643">
        <f ca="1">SUM(U7:V7)</f>
        <v>0.10685387978690508</v>
      </c>
      <c r="X7" s="386">
        <f ca="1">E7*(S7-T7)/AllProps_CAM</f>
        <v>19.469755803812451</v>
      </c>
      <c r="Y7" s="89">
        <f ca="1">INDEX(INDIRECT("CAM_WTPCore_"&amp;$B7&amp;"_UnitValues"),MATCH("COMBINED-NHH",WTPCore_Group,0),MATCH("MEAN",LMH,0))</f>
        <v>13034.382222222222</v>
      </c>
      <c r="Z7" s="89">
        <f ca="1">Y7*(S7-T7)/NHHProps_CAM</f>
        <v>10.24</v>
      </c>
      <c r="AA7" s="89">
        <f ca="1">INDEX(INDIRECT("CAM_WTPCore2_"&amp;$B7&amp;"_UnitValues"),2,MATCH("MEAN",LMH,0))</f>
        <v>696387.155534953</v>
      </c>
      <c r="AB7" s="89">
        <f ca="1">AA7*(S7-T7)/NHHProps_CAM</f>
        <v>547.09186450895402</v>
      </c>
      <c r="AC7" s="168">
        <f t="shared" ca="1" si="3"/>
        <v>209.528605035006</v>
      </c>
      <c r="AD7" s="453" t="s">
        <v>1168</v>
      </c>
      <c r="AE7" s="391">
        <f ca="1">AC7*NHHProps_CAM/((S7-T7))</f>
        <v>266706.63325344765</v>
      </c>
    </row>
    <row r="8" spans="1:31" x14ac:dyDescent="0.35">
      <c r="A8" s="7" t="s">
        <v>1118</v>
      </c>
      <c r="B8" s="7" t="s">
        <v>147</v>
      </c>
      <c r="C8" s="7" t="str">
        <f>B8</f>
        <v>Drought</v>
      </c>
      <c r="D8" s="377" t="s">
        <v>127</v>
      </c>
      <c r="E8" s="124">
        <f ca="1">INDEX(INDIRECT("ExtWTP19_"&amp;$C8&amp;"_UnitValues"),MATCH(A$4, INDIRECT("ExtWTP19_Comps_"&amp;C8),0),MATCH("NHH",ExtWTP_Group,0))</f>
        <v>467</v>
      </c>
      <c r="F8" s="383">
        <f t="shared" ref="F8" ca="1" si="4">INDEX(INDIRECT("SSW_WTPCore_DCE_"&amp;$B8&amp;"_Levels"),MATCH("COMBINED-NHH",WTPCore_Group,0),MATCH(F$4,WTPCore_AttLevels,0))</f>
        <v>1.2500000000000001E-2</v>
      </c>
      <c r="G8" s="383">
        <v>8.3000000000000001E-3</v>
      </c>
      <c r="H8" s="431">
        <f ca="1">INDEX(INDIRECT("SSW_WTPCore_DCE_"&amp;$B8&amp;"_LevelValues"),MATCH("COMBINED-NHH",WTPCore_Group,0),MATCH("S1 MEAN",WTPCore_LevelValues,0))</f>
        <v>1E-3</v>
      </c>
      <c r="I8" s="431">
        <f ca="1">INDEX(INDIRECT("SSW_WTPCore_DCE_"&amp;$B8&amp;"_LevelValues"),MATCH("COMBINED-NHH",WTPCore_Group,0),MATCH("S2 MEAN",WTPCore_LevelValues,0))</f>
        <v>8.0000000000000002E-3</v>
      </c>
      <c r="J8" s="323">
        <f ca="1">H8</f>
        <v>1E-3</v>
      </c>
      <c r="K8" s="213">
        <f ca="1">E8*(F8-G8)</f>
        <v>1.9614000000000003</v>
      </c>
      <c r="L8" s="429">
        <f ca="1">INDEX(INDIRECT("SSW_WTPCore_DCE_"&amp;$B8&amp;"_UnitValues"),MATCH("COMBINED-NHH",WTPCore_Group,0),MATCH("MEAN",LMH,0))</f>
        <v>318400.58879999997</v>
      </c>
      <c r="M8" s="89">
        <f ca="1">L8*(F8-G8)/NHHProps_SSW*100</f>
        <v>4.4593919999999994</v>
      </c>
      <c r="N8" s="89">
        <f ca="1">L8</f>
        <v>318400.58879999997</v>
      </c>
      <c r="O8" s="89">
        <f ca="1">N8*(F8-G8)/NHHProps_SSW*100</f>
        <v>4.4593919999999994</v>
      </c>
      <c r="P8" s="16">
        <f ca="1">K8*N$10/K$9</f>
        <v>4.437399368564197</v>
      </c>
      <c r="Q8" s="453" t="s">
        <v>145</v>
      </c>
      <c r="R8" s="391">
        <f ca="1">P8*NHHProps_SSW/((F8-G8)*100)</f>
        <v>316830.31491548364</v>
      </c>
      <c r="S8" s="12">
        <f t="shared" ref="S8" ca="1" si="5">INDEX(INDIRECT("CAM_WTPCore_"&amp;$B8&amp;"_Levels"),MATCH("COMBINED-NHH",WTPCore_Group,0),MATCH(S$4,WTPCore_AttLevels,0))</f>
        <v>1.2500000000000001E-2</v>
      </c>
      <c r="T8" s="12">
        <v>8.3000000000000001E-3</v>
      </c>
      <c r="U8" s="435">
        <f ca="1">INDEX(INDIRECT("CAM_WTPCore_"&amp;$B8&amp;"_LevelValues"),MATCH("COMBINED-NHH",WTPCore_Group,0),MATCH("S1 MEAN",WTPCore_LevelValues,0))</f>
        <v>9.1158062540521636E-3</v>
      </c>
      <c r="V8" s="435">
        <f ca="1">INDEX(INDIRECT("CAM_WTPCore_"&amp;$B8&amp;"_LevelValues"),MATCH("COMBINED-NHH",WTPCore_Group,0),MATCH("S2 MEAN",WTPCore_LevelValues,0))</f>
        <v>2.0400790621022298E-3</v>
      </c>
      <c r="W8" s="643">
        <f ca="1">U8</f>
        <v>9.1158062540521636E-3</v>
      </c>
      <c r="X8" s="386">
        <f ca="1">E8*(S8-T8)</f>
        <v>1.9614000000000003</v>
      </c>
      <c r="Y8" s="89">
        <f ca="1">INDEX(INDIRECT("CAM_WTPCore_"&amp;$B8&amp;"_UnitValues"),MATCH("COMBINED-NHH",WTPCore_Group,0),MATCH("MEAN",LMH,0))</f>
        <v>962433.11413022119</v>
      </c>
      <c r="Z8" s="89">
        <f ca="1">Y8*(S8-T8)/NHHProps_CAM*100</f>
        <v>47.046311444913052</v>
      </c>
      <c r="AA8" s="89">
        <f ca="1">Y8</f>
        <v>962433.11413022119</v>
      </c>
      <c r="AB8" s="89">
        <f ca="1">AA8*(S8-T8)/NHHProps_CAM*100</f>
        <v>47.046311444913052</v>
      </c>
      <c r="AC8" s="168">
        <f t="shared" ca="1" si="3"/>
        <v>21.108092472078528</v>
      </c>
      <c r="AD8" s="453" t="s">
        <v>145</v>
      </c>
      <c r="AE8" s="391">
        <f ca="1">AC8*NHHProps_CAM/((S8-T8)*100)</f>
        <v>431811.2631430921</v>
      </c>
    </row>
    <row r="9" spans="1:31" x14ac:dyDescent="0.35">
      <c r="D9" s="377"/>
      <c r="E9" s="124"/>
      <c r="F9" s="16"/>
      <c r="G9" s="16"/>
      <c r="H9" s="16"/>
      <c r="I9" s="16"/>
      <c r="J9" s="330">
        <f ca="1">SUM(J5:J8)*AvgNHHBill_SSW</f>
        <v>206.05287996956596</v>
      </c>
      <c r="K9" s="331">
        <f ca="1">SUM(K5:K8)</f>
        <v>60.130055734586058</v>
      </c>
      <c r="L9" s="331"/>
      <c r="M9" s="331">
        <f ca="1">SUM(M5:M8)</f>
        <v>65.983790178269359</v>
      </c>
      <c r="N9" s="331"/>
      <c r="O9" s="331">
        <f ca="1">SUM(O5:O8)</f>
        <v>206.08827196956597</v>
      </c>
      <c r="P9" s="330">
        <f ca="1">SUM(P5:P8)</f>
        <v>136.03603107391766</v>
      </c>
      <c r="Q9" s="454"/>
      <c r="R9" s="466"/>
      <c r="S9" s="168"/>
      <c r="T9" s="168"/>
      <c r="U9" s="168"/>
      <c r="V9" s="168"/>
      <c r="W9" s="644">
        <f ca="1">SUM(W5:W8)*AvgNHHBill_CAM</f>
        <v>884.7878113653428</v>
      </c>
      <c r="X9" s="389">
        <f ca="1">SUM(X5:X8)</f>
        <v>45.583719906376558</v>
      </c>
      <c r="Y9" s="389"/>
      <c r="Z9" s="331">
        <f ca="1">SUM(Z5:Z8)</f>
        <v>95.959815718417332</v>
      </c>
      <c r="AA9" s="331"/>
      <c r="AB9" s="219">
        <f ca="1">SUM(AB5:AB8)</f>
        <v>885.16119478950873</v>
      </c>
      <c r="AC9" s="44">
        <f ca="1">SUM(AC5:AC8)</f>
        <v>490.56050525396302</v>
      </c>
      <c r="AE9" s="391"/>
    </row>
    <row r="10" spans="1:31" s="50" customFormat="1" x14ac:dyDescent="0.35">
      <c r="D10" s="379"/>
      <c r="E10" s="14"/>
      <c r="F10" s="384"/>
      <c r="G10" s="384"/>
      <c r="H10" s="384"/>
      <c r="I10" s="384"/>
      <c r="J10" s="409"/>
      <c r="K10" s="39"/>
      <c r="L10" s="39"/>
      <c r="M10" s="163" t="s">
        <v>361</v>
      </c>
      <c r="N10" s="546">
        <f ca="1">AVERAGE(M9,O9)</f>
        <v>136.03603107391766</v>
      </c>
      <c r="O10" s="163"/>
      <c r="P10" s="39"/>
      <c r="Q10" s="455"/>
      <c r="R10" s="467"/>
      <c r="S10" s="38"/>
      <c r="T10" s="38"/>
      <c r="U10" s="38"/>
      <c r="V10" s="38"/>
      <c r="W10" s="151"/>
      <c r="X10" s="390"/>
      <c r="Y10" s="390"/>
      <c r="Z10" s="163" t="s">
        <v>361</v>
      </c>
      <c r="AA10" s="546">
        <f ca="1">AVERAGE(Z9,AB9)</f>
        <v>490.56050525396302</v>
      </c>
      <c r="AB10" s="163"/>
      <c r="AC10" s="39"/>
      <c r="AD10" s="39"/>
      <c r="AE10" s="392"/>
    </row>
    <row r="11" spans="1:31" x14ac:dyDescent="0.35">
      <c r="A11" s="51" t="s">
        <v>90</v>
      </c>
      <c r="B11" s="51"/>
      <c r="C11" s="51"/>
      <c r="D11" s="378"/>
      <c r="E11" s="218"/>
      <c r="F11" s="218"/>
      <c r="G11" s="218"/>
      <c r="H11" s="330"/>
      <c r="I11" s="330"/>
      <c r="J11" s="330"/>
      <c r="K11" s="45"/>
      <c r="L11" s="45"/>
      <c r="M11" s="45"/>
      <c r="N11" s="45"/>
      <c r="O11" s="45"/>
      <c r="P11" s="45"/>
      <c r="Q11" s="456"/>
      <c r="R11" s="468"/>
      <c r="S11" s="45"/>
      <c r="T11" s="45"/>
      <c r="U11" s="44"/>
      <c r="V11" s="44"/>
      <c r="W11" s="44"/>
      <c r="X11" s="389"/>
      <c r="Y11" s="389"/>
      <c r="Z11" s="389"/>
      <c r="AA11" s="389"/>
      <c r="AB11" s="389"/>
      <c r="AC11" s="45"/>
      <c r="AE11" s="393"/>
    </row>
    <row r="12" spans="1:31" x14ac:dyDescent="0.35">
      <c r="A12" s="7" t="s">
        <v>1169</v>
      </c>
      <c r="B12" s="7" t="s">
        <v>138</v>
      </c>
      <c r="C12" s="7" t="s">
        <v>1170</v>
      </c>
      <c r="D12" s="377" t="s">
        <v>127</v>
      </c>
      <c r="E12" s="124">
        <f ca="1">INDEX(INDIRECT("ExtWTP19_"&amp;$C12&amp;"_UnitValues"),MATCH(A$11, INDIRECT("ExtWTP19_Comps_"&amp;C12),0),MATCH("NHH",ExtWTP_Group,0))</f>
        <v>65629</v>
      </c>
      <c r="F12" s="383">
        <f t="shared" ref="F12:G14" ca="1" si="6">INDEX(INDIRECT("SSW_WTPCore2_"&amp;$B12&amp;"_Levels"),2,MATCH(F$4,WTPCore2_AttLevels,0))</f>
        <v>1.2500000000000001E-2</v>
      </c>
      <c r="G12" s="383">
        <f t="shared" ca="1" si="6"/>
        <v>8.3333333333333332E-3</v>
      </c>
      <c r="H12" s="431">
        <f ca="1">INDEX(INDIRECT("SSW_WTPCore2_"&amp;$B12&amp;"_LevelValues"),2,MATCH("S1 MEAN",WTPCore2_LevelValues,0))</f>
        <v>2.3562800507588295E-4</v>
      </c>
      <c r="I12" s="431">
        <f ca="1">INDEX(INDIRECT("SSW_WTPCore2_"&amp;$B12&amp;"_LevelValues"),2,MATCH("S2 MEAN",WTPCore2_LevelValues,0))</f>
        <v>4.1117889914467278E-4</v>
      </c>
      <c r="J12" s="323">
        <f ca="1">SUM(H12:I12)</f>
        <v>6.4680690422055573E-4</v>
      </c>
      <c r="K12" s="213">
        <f ca="1">E12*(F12-G12)</f>
        <v>273.45416666666671</v>
      </c>
      <c r="L12" s="429">
        <f ca="1">INDEX(INDIRECT("SSW_WTPCore_DCE_"&amp;$B12&amp;"_UnitValues"),MATCH("COMBINED-NHH",WTPCore_Group,0),MATCH("MEAN",LMH,0))</f>
        <v>260.23872775996313</v>
      </c>
      <c r="M12" s="89">
        <f ca="1">L12*($F12-$G12)*(AllProps_SSW/NHHProps_SSW)</f>
        <v>20.589685534591201</v>
      </c>
      <c r="N12" s="89">
        <f ca="1">INDEX(INDIRECT("SSW_WTPCore2_"&amp;$B12&amp;"_UnitValues"),2,MATCH("MEAN",LMH,0))</f>
        <v>36.166957745748803</v>
      </c>
      <c r="O12" s="89">
        <f ca="1">N12*($F12-$G12)*(AllProps_SSW/NHHProps_SSW)</f>
        <v>2.8614737442717386</v>
      </c>
      <c r="P12" s="324">
        <f ca="1">K12*N$16/K$15</f>
        <v>18.245684601760814</v>
      </c>
      <c r="Q12" s="453" t="s">
        <v>127</v>
      </c>
      <c r="R12" s="391">
        <f ca="1">P12*NHHProps_SSW/((F12-G12)*AllProps_SSW)</f>
        <v>230.61225194015853</v>
      </c>
      <c r="S12" s="615">
        <f t="shared" ref="S12:T14" ca="1" si="7">INDEX(INDIRECT("CAM_WTPCore2_"&amp;$B12&amp;"_Levels"),2,MATCH(S$4,WTPCore2_AttLevels,0))</f>
        <v>2.5000000000000001E-2</v>
      </c>
      <c r="T12" s="615">
        <f t="shared" ca="1" si="7"/>
        <v>1.6666666666666666E-2</v>
      </c>
      <c r="U12" s="512">
        <f ca="1">INDEX(INDIRECT("CAM_WTPCore2_"&amp;$B12&amp;"_LevelValues"),2,MATCH("S1 MEAN",WTPCore2_LevelValues,0))</f>
        <v>2.654718763279678E-4</v>
      </c>
      <c r="V12" s="512">
        <f ca="1">INDEX(INDIRECT("CAM_WTPCore2_"&amp;$B12&amp;"_LevelValues"),2,MATCH("S2 MEAN",WTPCore2_LevelValues,0))</f>
        <v>1.3401602008677625E-5</v>
      </c>
      <c r="W12" s="643">
        <f ca="1">SUM(U12:V12)</f>
        <v>2.7887347833664542E-4</v>
      </c>
      <c r="X12" s="386">
        <f ca="1">E12*(S12-T12)</f>
        <v>546.90833333333342</v>
      </c>
      <c r="Y12" s="89">
        <f ca="1">INDEX(INDIRECT("CAM_WTPCore_"&amp;$B12&amp;"_UnitValues"),MATCH("COMBINED-NHH",WTPCore_Group,0),MATCH("MEAN",LMH,0))</f>
        <v>76.122762573196539</v>
      </c>
      <c r="Z12" s="89">
        <f ca="1">Y12*($S12-$T12)*(AllProps_CAM/NHHProps_CAM)</f>
        <v>10.666666666666668</v>
      </c>
      <c r="AA12" s="89">
        <f ca="1">INDEX(INDIRECT("CAM_WTPCore2_"&amp;$B12&amp;"_UnitValues"),2,MATCH("MEAN",LMH,0))</f>
        <v>10.189737398103325</v>
      </c>
      <c r="AB12" s="89">
        <f ca="1">AA12*($S12-$T12)*(AllProps_CAM/NHHProps_CAM)</f>
        <v>1.4278322090836246</v>
      </c>
      <c r="AC12" s="168">
        <f ca="1">X12*AA$16/X$15</f>
        <v>135.59493057820208</v>
      </c>
      <c r="AD12" s="243" t="str">
        <f>Q12</f>
        <v>Property affected</v>
      </c>
      <c r="AE12" s="391">
        <f ca="1">(AC12*NHHProps_CAM)/((S12-T12)*AllProps_CAM)</f>
        <v>967.67444123751977</v>
      </c>
    </row>
    <row r="13" spans="1:31" x14ac:dyDescent="0.35">
      <c r="A13" s="7" t="s">
        <v>893</v>
      </c>
      <c r="B13" s="7" t="s">
        <v>144</v>
      </c>
      <c r="C13" s="7" t="str">
        <f>B13</f>
        <v>TempBan</v>
      </c>
      <c r="D13" s="377" t="s">
        <v>127</v>
      </c>
      <c r="E13" s="124">
        <f ca="1">INDEX(INDIRECT("ExtWTP19_"&amp;$C13&amp;"_UnitValues"),MATCH(A$11, INDIRECT("ExtWTP19_Comps_"&amp;C13),0),MATCH("NHH",ExtWTP_Group,0))</f>
        <v>30486</v>
      </c>
      <c r="F13" s="383">
        <f t="shared" ca="1" si="6"/>
        <v>2.5000000000000001E-2</v>
      </c>
      <c r="G13" s="383">
        <f t="shared" ca="1" si="6"/>
        <v>1.6666666666666666E-2</v>
      </c>
      <c r="H13" s="431">
        <f ca="1">INDEX(INDIRECT("SSW_WTPCore2_"&amp;$B13&amp;"_LevelValues"),2,MATCH("S1 MEAN",WTPCore2_LevelValues,0))</f>
        <v>1.0363458862342743E-3</v>
      </c>
      <c r="I13" s="431">
        <f ca="1">INDEX(INDIRECT("SSW_WTPCore2_"&amp;$B13&amp;"_LevelValues"),2,MATCH("S2 MEAN",WTPCore2_LevelValues,0))</f>
        <v>6.2724159084084235E-4</v>
      </c>
      <c r="J13" s="323">
        <f ca="1">SUM(H13:I13)</f>
        <v>1.6635874770751166E-3</v>
      </c>
      <c r="K13" s="213">
        <f ca="1">E13*(F13-G13)</f>
        <v>254.05000000000004</v>
      </c>
      <c r="L13" s="429">
        <f ca="1">INDEX(INDIRECT("SSW_WTPCore_DCE_"&amp;$B13&amp;"_UnitValues"),MATCH("COMBINED-NHH",WTPCore_Group,0),MATCH("MEAN",LMH,0))</f>
        <v>159200.29439999998</v>
      </c>
      <c r="M13" s="89">
        <f ca="1">L13*(F13-G13)/NHHProps_SSW*100</f>
        <v>4.4240000000000004</v>
      </c>
      <c r="N13" s="89">
        <f ca="1">INDEX(INDIRECT("SSW_WTPCore2_"&amp;$B13&amp;"_UnitValues"),2,MATCH("MEAN",LMH,0))</f>
        <v>264843.61611051176</v>
      </c>
      <c r="O13" s="89">
        <f ca="1">N13*(F13-G13)/NHHProps_SSW*100</f>
        <v>7.3597109985803169</v>
      </c>
      <c r="P13" s="324">
        <f t="shared" ref="P13:P14" ca="1" si="8">K13*N$16/K$15</f>
        <v>16.950980230364024</v>
      </c>
      <c r="Q13" s="457" t="s">
        <v>145</v>
      </c>
      <c r="R13" s="391">
        <f ca="1">P13*NHHProps_SSW/((F13-G13)*100)</f>
        <v>609991.19417778752</v>
      </c>
      <c r="S13" s="615">
        <f t="shared" ca="1" si="7"/>
        <v>0.02</v>
      </c>
      <c r="T13" s="615">
        <f t="shared" ca="1" si="7"/>
        <v>1.3333333333333334E-2</v>
      </c>
      <c r="U13" s="512">
        <f ca="1">INDEX(INDIRECT("CAM_WTPCore2_"&amp;$B13&amp;"_LevelValues"),2,MATCH("S1 MEAN",WTPCore2_LevelValues,0))</f>
        <v>1.3694025744847137E-3</v>
      </c>
      <c r="V13" s="512">
        <f ca="1">INDEX(INDIRECT("CAM_WTPCore2_"&amp;$B13&amp;"_LevelValues"),2,MATCH("S2 MEAN",WTPCore2_LevelValues,0))</f>
        <v>1.1073984405910726E-3</v>
      </c>
      <c r="W13" s="643">
        <f ca="1">SUM(U13:V13)</f>
        <v>2.4768010150757864E-3</v>
      </c>
      <c r="X13" s="386">
        <f ca="1">E13*(S13-T13)</f>
        <v>203.23999999999998</v>
      </c>
      <c r="Y13" s="89">
        <f ca="1">INDEX(INDIRECT("CAM_WTPCore_"&amp;$B13&amp;"_UnitValues"),MATCH("COMBINED-NHH",WTPCore_Group,0),MATCH("MEAN",LMH,0))</f>
        <v>950206.4639999998</v>
      </c>
      <c r="Z13" s="89">
        <f ca="1">Y13*(S13-T13)/NHHProps_CAM*100</f>
        <v>73.727999999999966</v>
      </c>
      <c r="AA13" s="89">
        <f ca="1">INDEX(INDIRECT("CAM_WTPCore2_"&amp;$B13&amp;"_UnitValues"),2,MATCH("MEAN",LMH,0))</f>
        <v>163435.57878935931</v>
      </c>
      <c r="AB13" s="89">
        <f ca="1">AA13*(S13-T13)/NHHProps_CAM*100</f>
        <v>12.681221197188025</v>
      </c>
      <c r="AC13" s="168">
        <f t="shared" ref="AC13:AC14" ca="1" si="9">X13*AA$16/X$15</f>
        <v>50.389273688242312</v>
      </c>
      <c r="AD13" s="243" t="str">
        <f>Q13</f>
        <v>1% change in risk</v>
      </c>
      <c r="AE13" s="391">
        <f ca="1">(AC13*NHHProps_CAM)/((S13-T13)*100)</f>
        <v>649416.95929406688</v>
      </c>
    </row>
    <row r="14" spans="1:31" x14ac:dyDescent="0.35">
      <c r="A14" s="7" t="s">
        <v>40</v>
      </c>
      <c r="B14" s="7" t="s">
        <v>40</v>
      </c>
      <c r="C14" s="7" t="s">
        <v>40</v>
      </c>
      <c r="D14" s="377" t="s">
        <v>1168</v>
      </c>
      <c r="E14" s="124">
        <f ca="1">INDEX(INDIRECT("ExtWTP19_"&amp;$C14&amp;"_UnitValues"),MATCH(A$11, INDIRECT("ExtWTP19_Comps_"&amp;C14),0),MATCH("NHH",ExtWTP_Group,0))</f>
        <v>11838937</v>
      </c>
      <c r="F14" s="442">
        <f t="shared" ca="1" si="6"/>
        <v>70.5</v>
      </c>
      <c r="G14" s="442">
        <f t="shared" ca="1" si="6"/>
        <v>35.25</v>
      </c>
      <c r="H14" s="431">
        <f ca="1">INDEX(INDIRECT("SSW_WTPCore2_"&amp;$B14&amp;"_LevelValues"),2,MATCH("S1 MEAN",WTPCore2_LevelValues,0))</f>
        <v>1.8366495603833657E-2</v>
      </c>
      <c r="I14" s="431">
        <f ca="1">INDEX(INDIRECT("SSW_WTPCore2_"&amp;$B14&amp;"_LevelValues"),2,MATCH("S2 MEAN",WTPCore2_LevelValues,0))</f>
        <v>6.6875105310339848E-3</v>
      </c>
      <c r="J14" s="323">
        <f ca="1">SUM(H14:I14)</f>
        <v>2.5054006134867642E-2</v>
      </c>
      <c r="K14" s="213">
        <f ca="1">E14*(F14-G14)/AllProps_SSW</f>
        <v>732.8841010668657</v>
      </c>
      <c r="L14" s="429">
        <f ca="1">INDEX(INDIRECT("SSW_WTPCore_DCE_"&amp;$B14&amp;"_UnitValues"),MATCH("COMBINED-NHH",WTPCore_Group,0),MATCH("MEAN",LMH,0))</f>
        <v>18818.001702127662</v>
      </c>
      <c r="M14" s="89">
        <f ca="1">L14*(F14-G14)/NHHProps_SSW</f>
        <v>22.12</v>
      </c>
      <c r="N14" s="89">
        <f ca="1">INDEX(INDIRECT("SSW_WTPCore2_"&amp;$B14&amp;"_UnitValues"),2,MATCH("MEAN",LMH,0))</f>
        <v>94293.266018211216</v>
      </c>
      <c r="O14" s="89">
        <f ca="1">N14*(F14-G14)/NHHProps_SSW</f>
        <v>110.83892314065444</v>
      </c>
      <c r="P14" s="324">
        <f t="shared" ca="1" si="8"/>
        <v>48.900231876924018</v>
      </c>
      <c r="Q14" s="457" t="s">
        <v>1168</v>
      </c>
      <c r="R14" s="391">
        <f ca="1">P14*NHHProps_SSW/((F14-G14))</f>
        <v>41600.571731211276</v>
      </c>
      <c r="S14" s="620">
        <f t="shared" ca="1" si="7"/>
        <v>13.5</v>
      </c>
      <c r="T14" s="620">
        <f t="shared" ca="1" si="7"/>
        <v>6.75</v>
      </c>
      <c r="U14" s="512">
        <f ca="1">INDEX(INDIRECT("CAM_WTPCore2_"&amp;$B14&amp;"_LevelValues"),2,MATCH("S1 MEAN",WTPCore2_LevelValues,0))</f>
        <v>7.1569068986342493E-2</v>
      </c>
      <c r="V14" s="512">
        <f ca="1">INDEX(INDIRECT("CAM_WTPCore2_"&amp;$B14&amp;"_LevelValues"),2,MATCH("S2 MEAN",WTPCore2_LevelValues,0))</f>
        <v>3.5284810800562588E-2</v>
      </c>
      <c r="W14" s="643">
        <f ca="1">SUM(U14:V14)</f>
        <v>0.10685387978690508</v>
      </c>
      <c r="X14" s="386">
        <f ca="1">E14*(S14-T14)/AllProps_CAM</f>
        <v>553.12945408862493</v>
      </c>
      <c r="Y14" s="89">
        <f ca="1">INDEX(INDIRECT("CAM_WTPCore_"&amp;$B14&amp;"_UnitValues"),MATCH("COMBINED-NHH",WTPCore_Group,0),MATCH("MEAN",LMH,0))</f>
        <v>13034.382222222222</v>
      </c>
      <c r="Z14" s="89">
        <f ca="1">Y14*(S14-T14)/HHProps_CAM</f>
        <v>0.64748885062039119</v>
      </c>
      <c r="AA14" s="89">
        <f ca="1">INDEX(INDIRECT("CAM_WTPCore2_"&amp;$B14&amp;"_UnitValues"),2,MATCH("MEAN",LMH,0))</f>
        <v>696387.155534953</v>
      </c>
      <c r="AB14" s="89">
        <f ca="1">AA14*(S14-T14)/NHHProps_CAM</f>
        <v>547.09186450895402</v>
      </c>
      <c r="AC14" s="168">
        <f t="shared" ca="1" si="9"/>
        <v>137.13733244981196</v>
      </c>
      <c r="AD14" s="457" t="s">
        <v>1168</v>
      </c>
      <c r="AE14" s="391">
        <f ca="1">AC14*NHHProps_CAM/((S14-T14))</f>
        <v>174560.58672722732</v>
      </c>
    </row>
    <row r="15" spans="1:31" x14ac:dyDescent="0.35">
      <c r="D15" s="377"/>
      <c r="E15" s="124"/>
      <c r="F15" s="16"/>
      <c r="G15" s="16"/>
      <c r="H15" s="16"/>
      <c r="I15" s="16"/>
      <c r="J15" s="330">
        <f ca="1">SUM(J12:J14)*AvgNHHBill_SSW</f>
        <v>121.0601078835065</v>
      </c>
      <c r="K15" s="331">
        <f ca="1">SUM(K12:K14)</f>
        <v>1260.3882677335323</v>
      </c>
      <c r="L15" s="331"/>
      <c r="M15" s="331">
        <f ca="1">SUM(M11:M14)</f>
        <v>47.133685534591201</v>
      </c>
      <c r="N15" s="331"/>
      <c r="O15" s="331">
        <f ca="1">SUM(O11:O14)</f>
        <v>121.0601078835065</v>
      </c>
      <c r="P15" s="330">
        <f ca="1">SUM(P12:P14)</f>
        <v>84.096896709048849</v>
      </c>
      <c r="Q15" s="454"/>
      <c r="R15" s="466"/>
      <c r="S15" s="168"/>
      <c r="T15" s="168"/>
      <c r="U15" s="168"/>
      <c r="V15" s="168"/>
      <c r="W15" s="44">
        <f ca="1">SUM(W12:W14)*AvgNHHBill_CAM</f>
        <v>561.20091791522566</v>
      </c>
      <c r="X15" s="389">
        <f ca="1">SUM(X12:X14)</f>
        <v>1303.2777874219582</v>
      </c>
      <c r="Y15" s="389"/>
      <c r="Z15" s="331">
        <f ca="1">SUM(Z11:Z14)</f>
        <v>85.042155517287028</v>
      </c>
      <c r="AA15" s="331"/>
      <c r="AB15" s="223">
        <f ca="1">SUM(AB11:AB14)</f>
        <v>561.20091791522566</v>
      </c>
      <c r="AC15" s="44">
        <f ca="1">SUM(AC12:AC14)</f>
        <v>323.1215367162564</v>
      </c>
      <c r="AE15" s="391"/>
    </row>
    <row r="16" spans="1:31" s="50" customFormat="1" x14ac:dyDescent="0.35">
      <c r="D16" s="379"/>
      <c r="E16" s="14"/>
      <c r="F16" s="384"/>
      <c r="G16" s="384"/>
      <c r="H16" s="384"/>
      <c r="I16" s="384"/>
      <c r="J16" s="409"/>
      <c r="K16" s="39"/>
      <c r="L16" s="39"/>
      <c r="M16" s="163" t="s">
        <v>361</v>
      </c>
      <c r="N16" s="546">
        <f ca="1">AVERAGE(M15,O15)</f>
        <v>84.096896709048849</v>
      </c>
      <c r="O16" s="163"/>
      <c r="P16" s="39"/>
      <c r="Q16" s="455"/>
      <c r="R16" s="467"/>
      <c r="S16" s="38"/>
      <c r="T16" s="38"/>
      <c r="U16" s="38"/>
      <c r="V16" s="38"/>
      <c r="W16" s="151"/>
      <c r="X16" s="390"/>
      <c r="Y16" s="390"/>
      <c r="Z16" s="163" t="s">
        <v>361</v>
      </c>
      <c r="AA16" s="546">
        <f ca="1">AVERAGE(Z15,AB15)</f>
        <v>323.12153671625634</v>
      </c>
      <c r="AB16" s="163"/>
      <c r="AC16" s="39"/>
      <c r="AD16" s="39"/>
      <c r="AE16" s="392"/>
    </row>
    <row r="17" spans="1:31" s="53" customFormat="1" x14ac:dyDescent="0.35">
      <c r="A17" s="51" t="s">
        <v>91</v>
      </c>
      <c r="B17" s="51"/>
      <c r="C17" s="7"/>
      <c r="D17" s="378"/>
      <c r="E17" s="218"/>
      <c r="F17" s="218"/>
      <c r="G17" s="218"/>
      <c r="H17" s="330"/>
      <c r="I17" s="330"/>
      <c r="J17" s="330"/>
      <c r="K17" s="45"/>
      <c r="L17" s="45"/>
      <c r="M17" s="45"/>
      <c r="N17" s="45"/>
      <c r="O17" s="45"/>
      <c r="P17" s="45"/>
      <c r="Q17" s="456"/>
      <c r="R17" s="468"/>
      <c r="S17" s="45"/>
      <c r="T17" s="45"/>
      <c r="U17" s="44"/>
      <c r="V17" s="44"/>
      <c r="W17" s="44"/>
      <c r="X17" s="389"/>
      <c r="Y17" s="389"/>
      <c r="Z17" s="389"/>
      <c r="AA17" s="389"/>
      <c r="AB17" s="389"/>
      <c r="AC17" s="45"/>
      <c r="AE17" s="393"/>
    </row>
    <row r="18" spans="1:31" x14ac:dyDescent="0.35">
      <c r="A18" s="7" t="s">
        <v>129</v>
      </c>
      <c r="B18" s="7" t="s">
        <v>130</v>
      </c>
      <c r="C18" s="7" t="str">
        <f>B18</f>
        <v>Discolour</v>
      </c>
      <c r="D18" s="377" t="s">
        <v>127</v>
      </c>
      <c r="E18" s="124">
        <f t="shared" ref="E18:E27" ca="1" si="10">INDEX(INDIRECT("ExtWTP19_"&amp;$C18&amp;"_UnitValues"),MATCH(A$17, INDIRECT("ExtWTP19_Comps_"&amp;C18),0),MATCH("NHH",ExtWTP_Group,0))</f>
        <v>963</v>
      </c>
      <c r="F18" s="383">
        <f t="shared" ref="F18:G21" ca="1" si="11">INDEX(INDIRECT("SSW_WTPCore2_"&amp;$B18&amp;"_Levels"),2,MATCH(F$4,WTPCore2_AttLevels,0))</f>
        <v>6.6666666666666666E-2</v>
      </c>
      <c r="G18" s="383">
        <f t="shared" ca="1" si="11"/>
        <v>0.04</v>
      </c>
      <c r="H18" s="431">
        <f ca="1">INDEX(INDIRECT("SSW_WTPCore2_"&amp;$B18&amp;"_LevelValues"),2,MATCH("S1 MEAN",WTPCore2_LevelValues,0))</f>
        <v>1.9376915692789636E-2</v>
      </c>
      <c r="I18" s="431">
        <f ca="1">INDEX(INDIRECT("SSW_WTPCore2_"&amp;$B18&amp;"_LevelValues"),2,MATCH("S2 MEAN",WTPCore2_LevelValues,0))</f>
        <v>4.9841954334050795E-4</v>
      </c>
      <c r="J18" s="323">
        <f ca="1">SUM(H18:I18)</f>
        <v>1.9875335236130144E-2</v>
      </c>
      <c r="K18" s="213">
        <f t="shared" ref="K18:K23" ca="1" si="12">E18*(F18-G18)</f>
        <v>25.68</v>
      </c>
      <c r="L18" s="429">
        <f t="shared" ref="L18:L27" ca="1" si="13">INDEX(INDIRECT("SSW_WTPCore_DCE_"&amp;$B18&amp;"_UnitValues"),MATCH("COMBINED-NHH",WTPCore_Group,0),MATCH("MEAN",LMH,0))</f>
        <v>37.156930418313699</v>
      </c>
      <c r="M18" s="89">
        <f ca="1">L18*($F18-$G18)*(AllProps_SSW/NHHProps_SSW)</f>
        <v>18.814712643678163</v>
      </c>
      <c r="N18" s="89">
        <f ca="1">INDEX(INDIRECT("SSW_WTPCore2_"&amp;$B18&amp;"_UnitValues"),2,MATCH("MEAN",LMH,0))</f>
        <v>173.64881354494736</v>
      </c>
      <c r="O18" s="89">
        <f ca="1">N18*($F18-$G18)*(AllProps_SSW/NHHProps_SSW)</f>
        <v>87.928483084639765</v>
      </c>
      <c r="P18" s="324">
        <f ca="1">K18*N$29/K$28</f>
        <v>16.88953121951295</v>
      </c>
      <c r="Q18" s="453" t="s">
        <v>127</v>
      </c>
      <c r="R18" s="391">
        <f ca="1">P18*NHHProps_SSW/((F18-G18)*AllProps_SSW)</f>
        <v>33.354914752431469</v>
      </c>
      <c r="S18" s="615">
        <f t="shared" ref="S18:T21" ca="1" si="14">INDEX(INDIRECT("CAM_WTPCore2_"&amp;$B18&amp;"_Levels"),2,MATCH(S$4,WTPCore2_AttLevels,0))</f>
        <v>2.2222222222222223E-2</v>
      </c>
      <c r="T18" s="615">
        <f t="shared" ca="1" si="14"/>
        <v>1.5384615384615385E-2</v>
      </c>
      <c r="U18" s="512">
        <f ca="1">INDEX(INDIRECT("CAM_WTPCore2_"&amp;$B18&amp;"_LevelValues"),2,MATCH("S1 MEAN",WTPCore2_LevelValues,0))</f>
        <v>5.6414013673365619E-2</v>
      </c>
      <c r="V18" s="512">
        <f ca="1">INDEX(INDIRECT("CAM_WTPCore2_"&amp;$B18&amp;"_LevelValues"),2,MATCH("S2 MEAN",WTPCore2_LevelValues,0))</f>
        <v>1.4754621463399648E-4</v>
      </c>
      <c r="W18" s="643">
        <f ca="1">SUM(U18:V18)</f>
        <v>5.6561559887999616E-2</v>
      </c>
      <c r="X18" s="386">
        <f t="shared" ref="X18:X23" ca="1" si="15">E18*(S18-T18)</f>
        <v>6.5846153846153843</v>
      </c>
      <c r="Y18" s="89">
        <f t="shared" ref="Y18:Y27" ca="1" si="16">INDEX(INDIRECT("CAM_WTPCore_"&amp;$B18&amp;"_UnitValues"),MATCH("COMBINED-NHH",WTPCore_Group,0),MATCH("MEAN",LMH,0))</f>
        <v>243.59284023422896</v>
      </c>
      <c r="Z18" s="89">
        <f ca="1">Y18*($S18-$T18)*(AllProps_CAM/NHHProps_CAM)</f>
        <v>28.006837606837603</v>
      </c>
      <c r="AA18" s="89">
        <f ca="1">INDEX(INDIRECT("CAM_WTPCore2_"&amp;$B18&amp;"_UnitValues"),2,MATCH("MEAN",LMH,0))</f>
        <v>2518.7889835624424</v>
      </c>
      <c r="AB18" s="89">
        <f ca="1">AA18*($S18-$T18)*(AllProps_CAM/NHHProps_CAM)</f>
        <v>289.59518662655807</v>
      </c>
      <c r="AC18" s="168">
        <f ca="1">X18*AA$29/X$28</f>
        <v>16.654738234286125</v>
      </c>
      <c r="AD18" s="453" t="s">
        <v>127</v>
      </c>
      <c r="AE18" s="391">
        <f ca="1">(AC18*NHHProps_CAM)/((S18-T18)*AllProps_CAM)</f>
        <v>144.85658990849052</v>
      </c>
    </row>
    <row r="19" spans="1:31" x14ac:dyDescent="0.35">
      <c r="A19" s="7" t="s">
        <v>131</v>
      </c>
      <c r="B19" s="7" t="s">
        <v>132</v>
      </c>
      <c r="C19" s="7" t="str">
        <f>B19</f>
        <v>TasteSmell</v>
      </c>
      <c r="D19" s="377" t="s">
        <v>127</v>
      </c>
      <c r="E19" s="124">
        <f t="shared" ca="1" si="10"/>
        <v>2812</v>
      </c>
      <c r="F19" s="383">
        <f t="shared" ca="1" si="11"/>
        <v>1.6666666666666666E-2</v>
      </c>
      <c r="G19" s="383">
        <f t="shared" ca="1" si="11"/>
        <v>1.1111111111111112E-2</v>
      </c>
      <c r="H19" s="431">
        <f ca="1">INDEX(INDIRECT("SSW_WTPCore2_"&amp;$B19&amp;"_LevelValues"),2,MATCH("S1 MEAN",WTPCore2_LevelValues,0))</f>
        <v>3.6865032727528453E-3</v>
      </c>
      <c r="I19" s="431">
        <f ca="1">INDEX(INDIRECT("SSW_WTPCore2_"&amp;$B19&amp;"_LevelValues"),2,MATCH("S2 MEAN",WTPCore2_LevelValues,0))</f>
        <v>5.1592292451456759E-6</v>
      </c>
      <c r="J19" s="323">
        <f ca="1">SUM(H19:I19)</f>
        <v>3.691662501997991E-3</v>
      </c>
      <c r="K19" s="213">
        <f t="shared" ca="1" si="12"/>
        <v>15.62222222222222</v>
      </c>
      <c r="L19" s="429">
        <f t="shared" ca="1" si="13"/>
        <v>59.451088669301917</v>
      </c>
      <c r="M19" s="89">
        <f ca="1">L19*($F19-$G19)*(AllProps_SSW/NHHProps_SSW)</f>
        <v>6.2715708812260536</v>
      </c>
      <c r="N19" s="89">
        <f ca="1">INDEX(INDIRECT("SSW_WTPCore2_"&amp;$B19&amp;"_UnitValues"),2,MATCH("MEAN",LMH,0))</f>
        <v>154.81769077846621</v>
      </c>
      <c r="O19" s="89">
        <f ca="1">N19*($F19-$G19)*(AllProps_SSW/NHHProps_SSW)</f>
        <v>16.331914908839114</v>
      </c>
      <c r="P19" s="324">
        <f t="shared" ref="P19:P27" ca="1" si="17">K19*N$29/K$28</f>
        <v>10.274610978987194</v>
      </c>
      <c r="Q19" s="453" t="s">
        <v>127</v>
      </c>
      <c r="R19" s="391">
        <f ca="1">P19*NHHProps_SSW/((F19-G19)*AllProps_SSW)</f>
        <v>97.397736535656577</v>
      </c>
      <c r="S19" s="615">
        <f t="shared" ca="1" si="14"/>
        <v>1.4285714285714285E-2</v>
      </c>
      <c r="T19" s="615">
        <f t="shared" ca="1" si="14"/>
        <v>0.01</v>
      </c>
      <c r="U19" s="512">
        <f ca="1">INDEX(INDIRECT("CAM_WTPCore2_"&amp;$B19&amp;"_LevelValues"),2,MATCH("S1 MEAN",WTPCore2_LevelValues,0))</f>
        <v>4.257264223936371E-2</v>
      </c>
      <c r="V19" s="512">
        <f ca="1">INDEX(INDIRECT("CAM_WTPCore2_"&amp;$B19&amp;"_LevelValues"),2,MATCH("S2 MEAN",WTPCore2_LevelValues,0))</f>
        <v>1.0971349631991048E-2</v>
      </c>
      <c r="W19" s="643">
        <f ca="1">SUM(U19:V19)</f>
        <v>5.3543991871354758E-2</v>
      </c>
      <c r="X19" s="386">
        <f t="shared" ca="1" si="15"/>
        <v>12.05142857142857</v>
      </c>
      <c r="Y19" s="89">
        <f t="shared" ca="1" si="16"/>
        <v>152.24552514639311</v>
      </c>
      <c r="Z19" s="89">
        <f ca="1">Y19*($S19-$T19)*(AllProps_CAM/NHHProps_CAM)</f>
        <v>10.97142857142857</v>
      </c>
      <c r="AA19" s="89">
        <f ca="1">INDEX(INDIRECT("CAM_WTPCore2_"&amp;$B19&amp;"_UnitValues"),2,MATCH("MEAN",LMH,0))</f>
        <v>3804.1888084146854</v>
      </c>
      <c r="AB19" s="89">
        <f ca="1">AA19*($S19-$T19)*(AllProps_CAM/NHHProps_CAM)</f>
        <v>274.14523838133641</v>
      </c>
      <c r="AC19" s="168">
        <f t="shared" ref="AC19:AC27" ca="1" si="18">X19*AA$29/X$28</f>
        <v>30.482173442551581</v>
      </c>
      <c r="AD19" s="453" t="s">
        <v>127</v>
      </c>
      <c r="AE19" s="391">
        <f ca="1">(AC19*NHHProps_CAM)/((S19-T19)*AllProps_CAM)</f>
        <v>422.98725942126208</v>
      </c>
    </row>
    <row r="20" spans="1:31" x14ac:dyDescent="0.35">
      <c r="A20" s="7" t="s">
        <v>890</v>
      </c>
      <c r="B20" s="7" t="s">
        <v>138</v>
      </c>
      <c r="C20" s="7" t="s">
        <v>1011</v>
      </c>
      <c r="D20" s="377" t="s">
        <v>127</v>
      </c>
      <c r="E20" s="124">
        <f t="shared" ca="1" si="10"/>
        <v>12997</v>
      </c>
      <c r="F20" s="383">
        <f t="shared" ca="1" si="11"/>
        <v>1.2500000000000001E-2</v>
      </c>
      <c r="G20" s="383">
        <f t="shared" ca="1" si="11"/>
        <v>8.3333333333333332E-3</v>
      </c>
      <c r="H20" s="431">
        <f ca="1">INDEX(INDIRECT("SSW_WTPCore2_"&amp;$B20&amp;"_LevelValues"),2,MATCH("S1 MEAN",WTPCore2_LevelValues,0))</f>
        <v>2.3562800507588295E-4</v>
      </c>
      <c r="I20" s="431">
        <f ca="1">INDEX(INDIRECT("SSW_WTPCore2_"&amp;$B20&amp;"_LevelValues"),2,MATCH("S2 MEAN",WTPCore2_LevelValues,0))</f>
        <v>4.1117889914467278E-4</v>
      </c>
      <c r="J20" s="323">
        <f ca="1">SUM(H20:I20)</f>
        <v>6.4680690422055573E-4</v>
      </c>
      <c r="K20" s="213">
        <f t="shared" ca="1" si="12"/>
        <v>54.154166666666676</v>
      </c>
      <c r="L20" s="429">
        <f t="shared" ca="1" si="13"/>
        <v>260.23872775996313</v>
      </c>
      <c r="M20" s="89">
        <f ca="1">L20*($F20-$G20)*(AllProps_SSW/NHHProps_SSW)</f>
        <v>20.589685534591201</v>
      </c>
      <c r="N20" s="89">
        <f ca="1">INDEX(INDIRECT("SSW_WTPCore2_"&amp;$B20&amp;"_UnitValues"),2,MATCH("MEAN",LMH,0))</f>
        <v>36.166957745748803</v>
      </c>
      <c r="O20" s="89">
        <f ca="1">N20*($F20-$G20)*(AllProps_SSW/NHHProps_SSW)</f>
        <v>2.8614737442717386</v>
      </c>
      <c r="P20" s="324">
        <f t="shared" ca="1" si="17"/>
        <v>35.616763574118941</v>
      </c>
      <c r="Q20" s="453" t="s">
        <v>127</v>
      </c>
      <c r="R20" s="391">
        <f ca="1">P20*NHHProps_SSW/((F20-G20)*AllProps_SSW)</f>
        <v>450.170121534114</v>
      </c>
      <c r="S20" s="615">
        <f t="shared" ca="1" si="14"/>
        <v>2.5000000000000001E-2</v>
      </c>
      <c r="T20" s="615">
        <f t="shared" ca="1" si="14"/>
        <v>1.6666666666666666E-2</v>
      </c>
      <c r="U20" s="512">
        <f ca="1">INDEX(INDIRECT("CAM_WTPCore2_"&amp;$B20&amp;"_LevelValues"),2,MATCH("S1 MEAN",WTPCore2_LevelValues,0))</f>
        <v>2.654718763279678E-4</v>
      </c>
      <c r="V20" s="512">
        <f ca="1">INDEX(INDIRECT("CAM_WTPCore2_"&amp;$B20&amp;"_LevelValues"),2,MATCH("S2 MEAN",WTPCore2_LevelValues,0))</f>
        <v>1.3401602008677625E-5</v>
      </c>
      <c r="W20" s="643">
        <f ca="1">SUM(U20:V20)</f>
        <v>2.7887347833664542E-4</v>
      </c>
      <c r="X20" s="386">
        <f t="shared" ca="1" si="15"/>
        <v>108.30833333333335</v>
      </c>
      <c r="Y20" s="89">
        <f t="shared" ca="1" si="16"/>
        <v>76.122762573196539</v>
      </c>
      <c r="Z20" s="89">
        <f ca="1">Y20*($S20-$T20)*(AllProps_CAM/NHHProps_CAM)</f>
        <v>10.666666666666668</v>
      </c>
      <c r="AA20" s="89">
        <f ca="1">INDEX(INDIRECT("CAM_WTPCore2_"&amp;$B20&amp;"_UnitValues"),2,MATCH("MEAN",LMH,0))</f>
        <v>10.189737398103325</v>
      </c>
      <c r="AB20" s="89">
        <f ca="1">AA20*($S20-$T20)*(AllProps_CAM/NHHProps_CAM)</f>
        <v>1.4278322090836246</v>
      </c>
      <c r="AC20" s="168">
        <f t="shared" ca="1" si="18"/>
        <v>273.94871756261864</v>
      </c>
      <c r="AD20" s="453" t="s">
        <v>127</v>
      </c>
      <c r="AE20" s="391">
        <f ca="1">(AC20*NHHProps_CAM)/((S20-T20)*AllProps_CAM)</f>
        <v>1955.0374860235218</v>
      </c>
    </row>
    <row r="21" spans="1:31" x14ac:dyDescent="0.35">
      <c r="A21" s="7" t="s">
        <v>1010</v>
      </c>
      <c r="B21" s="7" t="s">
        <v>144</v>
      </c>
      <c r="C21" s="7" t="str">
        <f>B21</f>
        <v>TempBan</v>
      </c>
      <c r="D21" s="377" t="s">
        <v>127</v>
      </c>
      <c r="E21" s="124">
        <f t="shared" ca="1" si="10"/>
        <v>3097</v>
      </c>
      <c r="F21" s="383">
        <f t="shared" ca="1" si="11"/>
        <v>2.5000000000000001E-2</v>
      </c>
      <c r="G21" s="383">
        <f t="shared" ca="1" si="11"/>
        <v>1.6666666666666666E-2</v>
      </c>
      <c r="H21" s="431">
        <f ca="1">INDEX(INDIRECT("SSW_WTPCore2_"&amp;$B21&amp;"_LevelValues"),2,MATCH("S1 MEAN",WTPCore2_LevelValues,0))</f>
        <v>1.0363458862342743E-3</v>
      </c>
      <c r="I21" s="431">
        <f ca="1">INDEX(INDIRECT("SSW_WTPCore2_"&amp;$B21&amp;"_LevelValues"),2,MATCH("S2 MEAN",WTPCore2_LevelValues,0))</f>
        <v>6.2724159084084235E-4</v>
      </c>
      <c r="J21" s="323">
        <f ca="1">SUM(H21:I21)</f>
        <v>1.6635874770751166E-3</v>
      </c>
      <c r="K21" s="213">
        <f t="shared" ca="1" si="12"/>
        <v>25.808333333333337</v>
      </c>
      <c r="L21" s="429">
        <f t="shared" ca="1" si="13"/>
        <v>159200.29439999998</v>
      </c>
      <c r="M21" s="89">
        <f ca="1">L21*(F21-G21)/NHHProps_SSW*100</f>
        <v>4.4240000000000004</v>
      </c>
      <c r="N21" s="89">
        <f ca="1">INDEX(INDIRECT("SSW_WTPCore2_"&amp;$B21&amp;"_UnitValues"),2,MATCH("MEAN",LMH,0))</f>
        <v>264843.61611051176</v>
      </c>
      <c r="O21" s="89">
        <f ca="1">N21*(F21-G21)/NHHProps_SSW*100</f>
        <v>7.3597109985803169</v>
      </c>
      <c r="P21" s="324">
        <f t="shared" ca="1" si="17"/>
        <v>16.973935029475474</v>
      </c>
      <c r="Q21" s="453" t="s">
        <v>145</v>
      </c>
      <c r="R21" s="391">
        <f ca="1">P21*NHHProps_SSW/((F21-G21)*100)</f>
        <v>610817.23639669246</v>
      </c>
      <c r="S21" s="615">
        <f t="shared" ca="1" si="14"/>
        <v>0.02</v>
      </c>
      <c r="T21" s="615">
        <f t="shared" ca="1" si="14"/>
        <v>1.3333333333333334E-2</v>
      </c>
      <c r="U21" s="512">
        <f ca="1">INDEX(INDIRECT("CAM_WTPCore2_"&amp;$B21&amp;"_LevelValues"),2,MATCH("S1 MEAN",WTPCore2_LevelValues,0))</f>
        <v>1.3694025744847137E-3</v>
      </c>
      <c r="V21" s="512">
        <f ca="1">INDEX(INDIRECT("CAM_WTPCore2_"&amp;$B21&amp;"_LevelValues"),2,MATCH("S2 MEAN",WTPCore2_LevelValues,0))</f>
        <v>1.1073984405910726E-3</v>
      </c>
      <c r="W21" s="643">
        <f t="shared" ref="W21:W27" ca="1" si="19">SUM(U21:V21)</f>
        <v>2.4768010150757864E-3</v>
      </c>
      <c r="X21" s="386">
        <f t="shared" ca="1" si="15"/>
        <v>20.646666666666665</v>
      </c>
      <c r="Y21" s="89">
        <f t="shared" ca="1" si="16"/>
        <v>950206.4639999998</v>
      </c>
      <c r="Z21" s="89">
        <f ca="1">Y21*(S21-T21)/NHHProps_CAM*100</f>
        <v>73.727999999999966</v>
      </c>
      <c r="AA21" s="89">
        <f ca="1">INDEX(INDIRECT("CAM_WTPCore2_"&amp;$B21&amp;"_UnitValues"),2,MATCH("MEAN",LMH,0))</f>
        <v>163435.57878935931</v>
      </c>
      <c r="AB21" s="89">
        <f ca="1">AA21*(S21-T21)/NHHProps_CAM*100</f>
        <v>12.681221197188025</v>
      </c>
      <c r="AC21" s="168">
        <f t="shared" ca="1" si="18"/>
        <v>52.222462309236263</v>
      </c>
      <c r="AD21" s="453" t="s">
        <v>145</v>
      </c>
      <c r="AE21" s="391">
        <f ca="1">AC21*NHHProps_CAM/((S21-T21)*100)</f>
        <v>673043.09424143704</v>
      </c>
    </row>
    <row r="22" spans="1:31" x14ac:dyDescent="0.35">
      <c r="A22" s="7" t="s">
        <v>1118</v>
      </c>
      <c r="B22" s="7" t="s">
        <v>147</v>
      </c>
      <c r="C22" s="7" t="str">
        <f t="shared" ref="C22:C27" si="20">B22</f>
        <v>Drought</v>
      </c>
      <c r="D22" s="377" t="s">
        <v>127</v>
      </c>
      <c r="E22" s="124">
        <f t="shared" ca="1" si="10"/>
        <v>1770</v>
      </c>
      <c r="F22" s="383">
        <f t="shared" ref="F22:G26" ca="1" si="21">INDEX(INDIRECT("SSW_WTPCore_DCE_"&amp;$B22&amp;"_Levels"),MATCH("COMBINED-NHH",WTPCore_Group,0),MATCH(F$4,WTPCore_AttLevels,0))</f>
        <v>1.2500000000000001E-2</v>
      </c>
      <c r="G22" s="383">
        <v>8.3000000000000001E-3</v>
      </c>
      <c r="H22" s="431">
        <f t="shared" ref="H22:H26" ca="1" si="22">INDEX(INDIRECT("SSW_WTPCore_DCE_"&amp;$B22&amp;"_LevelValues"),MATCH("COMBINED-NHH",WTPCore_Group,0),MATCH("S1 MEAN",WTPCore_LevelValues,0))</f>
        <v>1E-3</v>
      </c>
      <c r="I22" s="431">
        <f t="shared" ref="I22:I26" ca="1" si="23">INDEX(INDIRECT("SSW_WTPCore_DCE_"&amp;$B22&amp;"_LevelValues"),MATCH("COMBINED-NHH",WTPCore_Group,0),MATCH("S2 MEAN",WTPCore_LevelValues,0))</f>
        <v>8.0000000000000002E-3</v>
      </c>
      <c r="J22" s="323">
        <f ca="1">H22</f>
        <v>1E-3</v>
      </c>
      <c r="K22" s="213">
        <f t="shared" ca="1" si="12"/>
        <v>7.4340000000000011</v>
      </c>
      <c r="L22" s="429">
        <f t="shared" ca="1" si="13"/>
        <v>318400.58879999997</v>
      </c>
      <c r="M22" s="89">
        <f ca="1">L22*(F22-G22)/NHHProps_SSW*100</f>
        <v>4.4593919999999994</v>
      </c>
      <c r="N22" s="89">
        <f ca="1">L22</f>
        <v>318400.58879999997</v>
      </c>
      <c r="O22" s="89">
        <f ca="1">N22*(F22-G22)/NHHProps_SSW*100</f>
        <v>4.4593919999999994</v>
      </c>
      <c r="P22" s="324">
        <f t="shared" ca="1" si="17"/>
        <v>4.8892825189197548</v>
      </c>
      <c r="Q22" s="453" t="s">
        <v>145</v>
      </c>
      <c r="R22" s="391">
        <f ca="1">P22*NHHProps_SSW/((F22-G22)*100)</f>
        <v>349094.77185087046</v>
      </c>
      <c r="S22" s="12">
        <f t="shared" ref="S22:T26" ca="1" si="24">INDEX(INDIRECT("CAM_WTPCore_"&amp;$B22&amp;"_Levels"),MATCH("COMBINED-NHH",WTPCore_Group,0),MATCH(S$4,WTPCore_AttLevels,0))</f>
        <v>1.2500000000000001E-2</v>
      </c>
      <c r="T22" s="12">
        <v>8.3000000000000001E-3</v>
      </c>
      <c r="U22" s="435">
        <f t="shared" ref="U22:U26" ca="1" si="25">INDEX(INDIRECT("CAM_WTPCore_"&amp;$B22&amp;"_LevelValues"),MATCH("COMBINED-NHH",WTPCore_Group,0),MATCH("S1 MEAN",WTPCore_LevelValues,0))</f>
        <v>9.1158062540521636E-3</v>
      </c>
      <c r="V22" s="435">
        <f t="shared" ref="V22:V26" ca="1" si="26">INDEX(INDIRECT("CAM_WTPCore_"&amp;$B22&amp;"_LevelValues"),MATCH("COMBINED-NHH",WTPCore_Group,0),MATCH("S2 MEAN",WTPCore_LevelValues,0))</f>
        <v>2.0400790621022298E-3</v>
      </c>
      <c r="W22" s="643">
        <f ca="1">U22</f>
        <v>9.1158062540521636E-3</v>
      </c>
      <c r="X22" s="386">
        <f t="shared" ca="1" si="15"/>
        <v>7.4340000000000011</v>
      </c>
      <c r="Y22" s="89">
        <f t="shared" ca="1" si="16"/>
        <v>962433.11413022119</v>
      </c>
      <c r="Z22" s="89">
        <f ca="1">Y22*(S22-T22)/NHHProps_CAM*100</f>
        <v>47.046311444913052</v>
      </c>
      <c r="AA22" s="89">
        <f ca="1">Y22</f>
        <v>962433.11413022119</v>
      </c>
      <c r="AB22" s="89">
        <f ca="1">AA22*(S22-T22)/NHHProps_CAM*100</f>
        <v>47.046311444913052</v>
      </c>
      <c r="AC22" s="168">
        <f ca="1">X22*AA$29/X$28</f>
        <v>18.803121640629438</v>
      </c>
      <c r="AD22" s="453" t="s">
        <v>145</v>
      </c>
      <c r="AE22" s="391">
        <f ca="1">AC22*NHHProps_CAM/((S22-T22)*100)</f>
        <v>384658.1455625908</v>
      </c>
    </row>
    <row r="23" spans="1:31" x14ac:dyDescent="0.35">
      <c r="A23" s="7" t="s">
        <v>929</v>
      </c>
      <c r="B23" s="7" t="s">
        <v>140</v>
      </c>
      <c r="C23" s="7" t="str">
        <f t="shared" si="20"/>
        <v>LowPressure</v>
      </c>
      <c r="D23" s="377" t="s">
        <v>127</v>
      </c>
      <c r="E23" s="124">
        <f t="shared" ca="1" si="10"/>
        <v>1792</v>
      </c>
      <c r="F23" s="383">
        <f t="shared" ref="F23:G25" ca="1" si="27">INDEX(INDIRECT("SSW_WTPCore2_"&amp;$B23&amp;"_Levels"),2,MATCH(F$4,WTPCore2_AttLevels,0))</f>
        <v>0.1</v>
      </c>
      <c r="G23" s="383">
        <f t="shared" ca="1" si="27"/>
        <v>6.6666666666666666E-2</v>
      </c>
      <c r="H23" s="431">
        <f ca="1">INDEX(INDIRECT("SSW_WTPCore2_"&amp;$B23&amp;"_LevelValues"),2,MATCH("S1 MEAN",WTPCore2_LevelValues,0))</f>
        <v>6.9813125314618224E-5</v>
      </c>
      <c r="I23" s="431">
        <f ca="1">INDEX(INDIRECT("SSW_WTPCore2_"&amp;$B23&amp;"_LevelValues"),2,MATCH("S2 MEAN",WTPCore2_LevelValues,0))</f>
        <v>4.2539865887973236E-4</v>
      </c>
      <c r="J23" s="323">
        <f t="shared" ref="J23:J27" ca="1" si="28">SUM(H23:I23)</f>
        <v>4.9521178419435058E-4</v>
      </c>
      <c r="K23" s="213">
        <f t="shared" ca="1" si="12"/>
        <v>59.733333333333348</v>
      </c>
      <c r="L23" s="429">
        <f t="shared" ca="1" si="13"/>
        <v>32.097263297522041</v>
      </c>
      <c r="M23" s="89">
        <f ca="1">L23*($F23-$G23)*(AllProps_SSW/NHHProps_SSW)</f>
        <v>20.315886524822698</v>
      </c>
      <c r="N23" s="89">
        <f ca="1">INDEX(INDIRECT("SSW_WTPCore2_"&amp;$B23&amp;"_UnitValues"),2,MATCH("MEAN",LMH,0))</f>
        <v>3.461292612463883</v>
      </c>
      <c r="O23" s="89">
        <f ca="1">N23*($F23-$G23)*(AllProps_SSW/NHHProps_SSW)</f>
        <v>2.1908169332758067</v>
      </c>
      <c r="P23" s="324">
        <f t="shared" ca="1" si="17"/>
        <v>39.286137000736261</v>
      </c>
      <c r="Q23" s="453" t="s">
        <v>127</v>
      </c>
      <c r="R23" s="391">
        <f ca="1">P23*NHHProps_SSW/((F23-G23)*AllProps_SSW)</f>
        <v>62.068543339934784</v>
      </c>
      <c r="S23" s="615">
        <f t="shared" ref="S23:T25" ca="1" si="29">INDEX(INDIRECT("CAM_WTPCore2_"&amp;$B23&amp;"_Levels"),2,MATCH(S$4,WTPCore2_AttLevels,0))</f>
        <v>9.0909090909090912E-2</v>
      </c>
      <c r="T23" s="615">
        <f t="shared" ca="1" si="29"/>
        <v>6.6666666666666666E-2</v>
      </c>
      <c r="U23" s="512">
        <f ca="1">INDEX(INDIRECT("CAM_WTPCore2_"&amp;$B23&amp;"_LevelValues"),2,MATCH("S1 MEAN",WTPCore2_LevelValues,0))</f>
        <v>4.8585541264324922E-5</v>
      </c>
      <c r="V23" s="512">
        <f ca="1">INDEX(INDIRECT("CAM_WTPCore2_"&amp;$B23&amp;"_LevelValues"),2,MATCH("S2 MEAN",WTPCore2_LevelValues,0))</f>
        <v>4.7427328754792901E-3</v>
      </c>
      <c r="W23" s="643">
        <f t="shared" ca="1" si="19"/>
        <v>4.7913184167436155E-3</v>
      </c>
      <c r="X23" s="386">
        <f t="shared" ca="1" si="15"/>
        <v>43.442424242424252</v>
      </c>
      <c r="Y23" s="89">
        <f t="shared" ca="1" si="16"/>
        <v>19.435598954858694</v>
      </c>
      <c r="Z23" s="89">
        <f ca="1">Y23*($S23-$T23)*(AllProps_CAM/NHHProps_CAM)</f>
        <v>7.9226305609284342</v>
      </c>
      <c r="AA23" s="89">
        <f ca="1">INDEX(INDIRECT("CAM_WTPCore2_"&amp;$B23&amp;"_UnitValues"),2,MATCH("MEAN",LMH,0))</f>
        <v>60.18018505130911</v>
      </c>
      <c r="AB23" s="89">
        <f ca="1">AA23*($S23-$T23)*(AllProps_CAM/NHHProps_CAM)</f>
        <v>24.531550293727314</v>
      </c>
      <c r="AC23" s="168">
        <f t="shared" ca="1" si="18"/>
        <v>109.88070855449722</v>
      </c>
      <c r="AD23" s="453" t="s">
        <v>127</v>
      </c>
      <c r="AE23" s="391">
        <f ca="1">AC23*NHHProps_CAM/((S23-T23)*AllProps_CAM)</f>
        <v>269.55660344342164</v>
      </c>
    </row>
    <row r="24" spans="1:31" x14ac:dyDescent="0.35">
      <c r="A24" s="7" t="s">
        <v>40</v>
      </c>
      <c r="B24" s="7" t="s">
        <v>40</v>
      </c>
      <c r="C24" s="7" t="str">
        <f t="shared" si="20"/>
        <v>Leakage</v>
      </c>
      <c r="D24" s="377" t="s">
        <v>1168</v>
      </c>
      <c r="E24" s="124">
        <f t="shared" ca="1" si="10"/>
        <v>1379870</v>
      </c>
      <c r="F24" s="444">
        <f t="shared" ca="1" si="27"/>
        <v>70.5</v>
      </c>
      <c r="G24" s="444">
        <f t="shared" ca="1" si="27"/>
        <v>35.25</v>
      </c>
      <c r="H24" s="431">
        <f ca="1">INDEX(INDIRECT("SSW_WTPCore2_"&amp;$B24&amp;"_LevelValues"),2,MATCH("S1 MEAN",WTPCore2_LevelValues,0))</f>
        <v>1.8366495603833657E-2</v>
      </c>
      <c r="I24" s="431">
        <f ca="1">INDEX(INDIRECT("SSW_WTPCore2_"&amp;$B24&amp;"_LevelValues"),2,MATCH("S2 MEAN",WTPCore2_LevelValues,0))</f>
        <v>6.6875105310339848E-3</v>
      </c>
      <c r="J24" s="323">
        <f t="shared" ca="1" si="28"/>
        <v>2.5054006134867642E-2</v>
      </c>
      <c r="K24" s="213">
        <f ca="1">E24*(F24-G24)/AllProps_SSW</f>
        <v>85.420235325108663</v>
      </c>
      <c r="L24" s="429">
        <f t="shared" ca="1" si="13"/>
        <v>18818.001702127662</v>
      </c>
      <c r="M24" s="89">
        <f ca="1">L24*(F24-G24)/NHHProps_SSW</f>
        <v>22.12</v>
      </c>
      <c r="N24" s="89">
        <f ca="1">INDEX(INDIRECT("SSW_WTPCore2_"&amp;$B24&amp;"_UnitValues"),2,MATCH("MEAN",LMH,0))</f>
        <v>94293.266018211216</v>
      </c>
      <c r="O24" s="89">
        <f ca="1">N24*(F24-G24)/NHHProps_SSW</f>
        <v>110.83892314065444</v>
      </c>
      <c r="P24" s="324">
        <f t="shared" ca="1" si="17"/>
        <v>56.180207605201161</v>
      </c>
      <c r="Q24" s="453" t="s">
        <v>1168</v>
      </c>
      <c r="R24" s="391">
        <f ca="1">P24*NHHProps_SSW/((F24-G24))</f>
        <v>47793.8174656673</v>
      </c>
      <c r="S24" s="620">
        <f t="shared" ca="1" si="29"/>
        <v>13.5</v>
      </c>
      <c r="T24" s="620">
        <f t="shared" ca="1" si="29"/>
        <v>6.75</v>
      </c>
      <c r="U24" s="431">
        <f ca="1">INDEX(INDIRECT("CAM_WTPCore2_"&amp;$B24&amp;"_LevelValues"),2,MATCH("S1 MEAN",WTPCore2_LevelValues,0))</f>
        <v>7.1569068986342493E-2</v>
      </c>
      <c r="V24" s="431">
        <f ca="1">INDEX(INDIRECT("CAM_WTPCore2_"&amp;$B24&amp;"_LevelValues"),2,MATCH("S2 MEAN",WTPCore2_LevelValues,0))</f>
        <v>3.5284810800562588E-2</v>
      </c>
      <c r="W24" s="643">
        <f t="shared" ca="1" si="19"/>
        <v>0.10685387978690508</v>
      </c>
      <c r="X24" s="386">
        <f ca="1">E24*(S24-T24)/AllProps_CAM</f>
        <v>64.469195149300219</v>
      </c>
      <c r="Y24" s="429">
        <f ca="1">INDEX(INDIRECT("CAM_WTPCore_"&amp;$B24&amp;"_UnitValues"),MATCH("COMBINED-NHH",WTPCore_Group,0),MATCH("MEAN",LMH,0))</f>
        <v>13034.382222222222</v>
      </c>
      <c r="Z24" s="89">
        <f ca="1">Y24*(S24-T24)/NHHProps_CAM</f>
        <v>10.24</v>
      </c>
      <c r="AA24" s="89">
        <f ca="1">INDEX(INDIRECT("CAM_WTPCore2_"&amp;$B24&amp;"_UnitValues"),2,MATCH("MEAN",LMH,0))</f>
        <v>696387.155534953</v>
      </c>
      <c r="AB24" s="89">
        <f ca="1">AA24*(S24-T24)/NHHProps_CAM</f>
        <v>547.09186450895402</v>
      </c>
      <c r="AC24" s="168">
        <f t="shared" ca="1" si="18"/>
        <v>163.06458413583121</v>
      </c>
      <c r="AD24" s="453" t="s">
        <v>1168</v>
      </c>
      <c r="AE24" s="391">
        <f ca="1">AC24*NHHProps_CAM/((S24-T24))</f>
        <v>207563.09731778692</v>
      </c>
    </row>
    <row r="25" spans="1:31" x14ac:dyDescent="0.35">
      <c r="A25" s="7" t="s">
        <v>726</v>
      </c>
      <c r="B25" s="7" t="s">
        <v>154</v>
      </c>
      <c r="C25" s="7" t="str">
        <f t="shared" si="20"/>
        <v>Wildlife</v>
      </c>
      <c r="D25" s="377" t="s">
        <v>155</v>
      </c>
      <c r="E25" s="124">
        <f t="shared" ca="1" si="10"/>
        <v>117258</v>
      </c>
      <c r="F25" s="444">
        <f t="shared" ca="1" si="27"/>
        <v>0</v>
      </c>
      <c r="G25" s="444">
        <f t="shared" ca="1" si="27"/>
        <v>50</v>
      </c>
      <c r="H25" s="431">
        <f ca="1">INDEX(INDIRECT("SSW_WTPCore2_"&amp;$B25&amp;"_LevelValues"),2,MATCH("S1 MEAN",WTPCore2_LevelValues,0))</f>
        <v>3.6163448555426433E-4</v>
      </c>
      <c r="I25" s="431">
        <f ca="1">INDEX(INDIRECT("SSW_WTPCore2_"&amp;$B25&amp;"_LevelValues"),2,MATCH("S2 MEAN",WTPCore2_LevelValues,0))</f>
        <v>1.464595009466312E-3</v>
      </c>
      <c r="J25" s="323">
        <f t="shared" ca="1" si="28"/>
        <v>1.8262294950205764E-3</v>
      </c>
      <c r="K25" s="213">
        <f ca="1">-E25*(F25-G25)/AllProps_SSW</f>
        <v>10.296175966984238</v>
      </c>
      <c r="L25" s="429">
        <f t="shared" ca="1" si="13"/>
        <v>6633.3456000000006</v>
      </c>
      <c r="M25" s="89">
        <f ca="1">-L25*(F25-G25)/NHHProps_SSW</f>
        <v>11.06</v>
      </c>
      <c r="N25" s="89">
        <f ca="1">INDEX(INDIRECT("SSW_WTPCore2_"&amp;$B25&amp;"_UnitValues"),2,MATCH("MEAN",LMH,0))</f>
        <v>4845.6045541539843</v>
      </c>
      <c r="O25" s="89">
        <f ca="1">-N25*(F25-G25)/NHHProps_SSW</f>
        <v>8.0792392859710294</v>
      </c>
      <c r="P25" s="324">
        <f t="shared" ca="1" si="17"/>
        <v>6.7717128285038637</v>
      </c>
      <c r="Q25" s="453" t="s">
        <v>155</v>
      </c>
      <c r="R25" s="391">
        <f ca="1">-P25*NHHProps_SSW/((F25-G25))</f>
        <v>4061.4024860234772</v>
      </c>
      <c r="S25" s="620">
        <f t="shared" ca="1" si="29"/>
        <v>0</v>
      </c>
      <c r="T25" s="620">
        <f t="shared" ca="1" si="29"/>
        <v>9</v>
      </c>
      <c r="U25" s="512">
        <f ca="1">INDEX(INDIRECT("CAM_WTPCore2_"&amp;$B25&amp;"_LevelValues"),2,MATCH("S1 MEAN",WTPCore2_LevelValues,0))</f>
        <v>1.500948855436721E-2</v>
      </c>
      <c r="V25" s="512">
        <f ca="1">INDEX(INDIRECT("CAM_WTPCore2_"&amp;$B25&amp;"_LevelValues"),2,MATCH("S2 MEAN",WTPCore2_LevelValues,0))</f>
        <v>5.3297158206472399E-3</v>
      </c>
      <c r="W25" s="643">
        <f t="shared" ca="1" si="19"/>
        <v>2.033920437501445E-2</v>
      </c>
      <c r="X25" s="386">
        <f ca="1">-E25*(S25-T25)/AllProps_CAM</f>
        <v>7.3045807550147428</v>
      </c>
      <c r="Y25" s="89">
        <f t="shared" ca="1" si="16"/>
        <v>4399.1040000000003</v>
      </c>
      <c r="Z25" s="89">
        <f ca="1">-Y25*(S25-T25)/NHHProps_CAM</f>
        <v>4.6080000000000005</v>
      </c>
      <c r="AA25" s="89">
        <f ca="1">INDEX(INDIRECT("CAM_WTPCore2_"&amp;$B25&amp;"_UnitValues"),2,MATCH("MEAN",LMH,0))</f>
        <v>99415.861469937299</v>
      </c>
      <c r="AB25" s="89">
        <f ca="1">-AA25*(S25-T25)/NHHProps_CAM</f>
        <v>104.13672640007398</v>
      </c>
      <c r="AC25" s="168">
        <f t="shared" ca="1" si="18"/>
        <v>18.475776226841944</v>
      </c>
      <c r="AD25" s="453" t="s">
        <v>155</v>
      </c>
      <c r="AE25" s="391">
        <f ca="1">-AC25*NHHProps_CAM/((S25-T25))</f>
        <v>17638.207704558441</v>
      </c>
    </row>
    <row r="26" spans="1:31" x14ac:dyDescent="0.35">
      <c r="A26" s="7" t="s">
        <v>158</v>
      </c>
      <c r="B26" s="7" t="s">
        <v>159</v>
      </c>
      <c r="C26" s="7" t="str">
        <f t="shared" si="20"/>
        <v>Traffic</v>
      </c>
      <c r="D26" s="377" t="s">
        <v>127</v>
      </c>
      <c r="E26" s="124">
        <f t="shared" ca="1" si="10"/>
        <v>14278</v>
      </c>
      <c r="F26" s="444">
        <f t="shared" ca="1" si="21"/>
        <v>608.33333333333337</v>
      </c>
      <c r="G26" s="444">
        <f t="shared" ca="1" si="21"/>
        <v>243.33333333333334</v>
      </c>
      <c r="H26" s="431">
        <f t="shared" ca="1" si="22"/>
        <v>1E-3</v>
      </c>
      <c r="I26" s="431">
        <f t="shared" ca="1" si="23"/>
        <v>1E-3</v>
      </c>
      <c r="J26" s="323">
        <f t="shared" ca="1" si="28"/>
        <v>2E-3</v>
      </c>
      <c r="K26" s="213">
        <f ca="1">E26*(F26-G26)/AllProps_SSW</f>
        <v>9.1521622689555251</v>
      </c>
      <c r="L26" s="429">
        <f t="shared" ca="1" si="13"/>
        <v>726.94198356164395</v>
      </c>
      <c r="M26" s="89">
        <f ca="1">L26*(F26-G26)/NHHProps_SSW</f>
        <v>8.8480000000000008</v>
      </c>
      <c r="N26" s="89">
        <f ca="1">L26</f>
        <v>726.94198356164395</v>
      </c>
      <c r="O26" s="89">
        <f ca="1">N26*(F26-G26)/NHHProps_SSW</f>
        <v>8.8480000000000008</v>
      </c>
      <c r="P26" s="324">
        <f t="shared" ca="1" si="17"/>
        <v>6.0193041420394398</v>
      </c>
      <c r="Q26" s="453" t="s">
        <v>160</v>
      </c>
      <c r="R26" s="391">
        <f ca="1">P26*NHHProps_SSW/((F26-G26))</f>
        <v>494.53943181227044</v>
      </c>
      <c r="S26" s="460">
        <f t="shared" ca="1" si="24"/>
        <v>365</v>
      </c>
      <c r="T26" s="460">
        <f t="shared" ca="1" si="24"/>
        <v>121.66666666666667</v>
      </c>
      <c r="U26" s="435">
        <f t="shared" ca="1" si="25"/>
        <v>3.0000000000000001E-3</v>
      </c>
      <c r="V26" s="435">
        <f t="shared" ca="1" si="26"/>
        <v>5.0000000000000001E-3</v>
      </c>
      <c r="W26" s="643">
        <f t="shared" ca="1" si="19"/>
        <v>8.0000000000000002E-3</v>
      </c>
      <c r="X26" s="386">
        <f ca="1">E26*(S26-T26)/AllProps_CAM</f>
        <v>24.048017867113341</v>
      </c>
      <c r="Y26" s="89">
        <f t="shared" ca="1" si="16"/>
        <v>1446.2807671232879</v>
      </c>
      <c r="Z26" s="89">
        <f ca="1">Y26*(S26-T26)/NHHProps_CAM</f>
        <v>40.96</v>
      </c>
      <c r="AA26" s="89">
        <f ca="1">Y26</f>
        <v>1446.2807671232879</v>
      </c>
      <c r="AB26" s="89">
        <f ca="1">AA26*(S26-T26)/NHHProps_CAM</f>
        <v>40.96</v>
      </c>
      <c r="AC26" s="168">
        <f t="shared" ca="1" si="18"/>
        <v>60.825639651783995</v>
      </c>
      <c r="AD26" s="453" t="s">
        <v>160</v>
      </c>
      <c r="AE26" s="391">
        <f ca="1">AC26*NHHProps_CAM/((S26-T26))</f>
        <v>2147.7283392662798</v>
      </c>
    </row>
    <row r="27" spans="1:31" x14ac:dyDescent="0.35">
      <c r="A27" s="7" t="s">
        <v>125</v>
      </c>
      <c r="B27" s="7" t="s">
        <v>126</v>
      </c>
      <c r="C27" s="7" t="str">
        <f t="shared" si="20"/>
        <v>NotSafe</v>
      </c>
      <c r="D27" s="377" t="s">
        <v>127</v>
      </c>
      <c r="E27" s="124">
        <f t="shared" ca="1" si="10"/>
        <v>6724</v>
      </c>
      <c r="F27" s="383">
        <f ca="1">INDEX(INDIRECT("SSW_WTPCore2_"&amp;$B27&amp;"_Levels"),2,MATCH(F$4,WTPCore2_AttLevels,0))</f>
        <v>1.2500000000000001E-2</v>
      </c>
      <c r="G27" s="383">
        <f ca="1">INDEX(INDIRECT("SSW_WTPCore2_"&amp;$B27&amp;"_Levels"),2,MATCH(G$4,WTPCore2_AttLevels,0))</f>
        <v>8.3333333333333332E-3</v>
      </c>
      <c r="H27" s="431">
        <f ca="1">INDEX(INDIRECT("SSW_WTPCore2_"&amp;$B27&amp;"_LevelValues"),2,MATCH("S1 MEAN",WTPCore2_LevelValues,0))</f>
        <v>1.5617999911371258E-4</v>
      </c>
      <c r="I27" s="431">
        <f ca="1">INDEX(INDIRECT("SSW_WTPCore2_"&amp;$B27&amp;"_LevelValues"),2,MATCH("S2 MEAN",WTPCore2_LevelValues,0))</f>
        <v>6.9518632551394011E-4</v>
      </c>
      <c r="J27" s="323">
        <f t="shared" ca="1" si="28"/>
        <v>8.5136632462765266E-4</v>
      </c>
      <c r="K27" s="213">
        <f ca="1">E27*(F27-G27)</f>
        <v>28.016666666666673</v>
      </c>
      <c r="L27" s="429">
        <f t="shared" ca="1" si="13"/>
        <v>670.99390887298591</v>
      </c>
      <c r="M27" s="89">
        <f ca="1">L27*($F27-$G27)*(AllProps_SSW/NHHProps_SSW)</f>
        <v>53.088000000000008</v>
      </c>
      <c r="N27" s="89">
        <f ca="1">INDEX(INDIRECT("SSW_WTPCore2_"&amp;$B27&amp;"_UnitValues"),2,MATCH("MEAN",LMH,0))</f>
        <v>47.605134837061335</v>
      </c>
      <c r="O27" s="89">
        <f ca="1">N27*($F27-$G27)*(AllProps_SSW/NHHProps_SSW)</f>
        <v>3.7664446201527353</v>
      </c>
      <c r="P27" s="324">
        <f t="shared" ca="1" si="17"/>
        <v>18.426338252856489</v>
      </c>
      <c r="Q27" s="453" t="s">
        <v>127</v>
      </c>
      <c r="R27" s="391">
        <f ca="1">P27*NHHProps_SSW/((F27-G27)*AllProps_SSW)</f>
        <v>232.89558338042497</v>
      </c>
      <c r="S27" s="615">
        <f ca="1">INDEX(INDIRECT("CAM_WTPCore2_"&amp;$B27&amp;"_Levels"),2,MATCH(S$4,WTPCore2_AttLevels,0))</f>
        <v>1.2500000000000001E-2</v>
      </c>
      <c r="T27" s="615">
        <f ca="1">INDEX(INDIRECT("CAM_WTPCore2_"&amp;$B27&amp;"_Levels"),2,MATCH(T$4,WTPCore2_AttLevels,0))</f>
        <v>8.3333333333333332E-3</v>
      </c>
      <c r="U27" s="512">
        <f ca="1">INDEX(INDIRECT("CAM_WTPCore2_"&amp;$B27&amp;"_LevelValues"),2,MATCH("S1 MEAN",WTPCore2_LevelValues,0))</f>
        <v>1.0438910529886973E-3</v>
      </c>
      <c r="V27" s="512">
        <f ca="1">INDEX(INDIRECT("CAM_WTPCore2_"&amp;$B27&amp;"_LevelValues"),2,MATCH("S2 MEAN",WTPCore2_LevelValues,0))</f>
        <v>6.3529836977335285E-4</v>
      </c>
      <c r="W27" s="643">
        <f t="shared" ca="1" si="19"/>
        <v>1.6791894227620502E-3</v>
      </c>
      <c r="X27" s="386">
        <f ca="1">E27*(S27-T27)</f>
        <v>28.016666666666673</v>
      </c>
      <c r="Y27" s="89">
        <f t="shared" ca="1" si="16"/>
        <v>657.70066863241811</v>
      </c>
      <c r="Z27" s="89">
        <f ca="1">Y27*($S27-$T27)*(AllProps_CAM/NHHProps_CAM)</f>
        <v>46.08</v>
      </c>
      <c r="AA27" s="89">
        <f ca="1">INDEX(INDIRECT("CAM_WTPCore2_"&amp;$B27&amp;"_UnitValues"),2,MATCH("MEAN",LMH,0))</f>
        <v>122.71155623456495</v>
      </c>
      <c r="AB27" s="89">
        <f ca="1">AA27*($S27-$T27)*(AllProps_CAM/NHHProps_CAM)</f>
        <v>8.597449844541698</v>
      </c>
      <c r="AC27" s="168">
        <f t="shared" ca="1" si="18"/>
        <v>70.863706120298829</v>
      </c>
      <c r="AD27" s="453" t="s">
        <v>127</v>
      </c>
      <c r="AE27" s="391">
        <f ca="1">AC27*NHHProps_CAM/((S27-T27)*AllProps_SSW)</f>
        <v>256.62138317872552</v>
      </c>
    </row>
    <row r="28" spans="1:31" x14ac:dyDescent="0.35">
      <c r="D28" s="377"/>
      <c r="E28" s="124"/>
      <c r="F28" s="16"/>
      <c r="G28" s="16"/>
      <c r="H28" s="16"/>
      <c r="I28" s="16"/>
      <c r="J28" s="330">
        <f ca="1">SUM(J18:J27)*AvgNHHBill_SSW</f>
        <v>252.62900671638494</v>
      </c>
      <c r="K28" s="331">
        <f ca="1">SUM(K18:K27)</f>
        <v>321.31729578327071</v>
      </c>
      <c r="L28" s="331"/>
      <c r="M28" s="331">
        <f ca="1">SUM(M17:M27)</f>
        <v>169.99124758431813</v>
      </c>
      <c r="N28" s="331"/>
      <c r="O28" s="331">
        <f ca="1">SUM(O17:O27)</f>
        <v>252.66439871638494</v>
      </c>
      <c r="P28" s="330">
        <f ca="1">SUM(P18:P27)</f>
        <v>211.32782315035152</v>
      </c>
      <c r="Q28" s="454"/>
      <c r="R28" s="466"/>
      <c r="S28" s="168"/>
      <c r="T28" s="168"/>
      <c r="U28" s="168"/>
      <c r="V28" s="168"/>
      <c r="W28" s="644">
        <f ca="1">SUM(W18:W27)*AvgNHHBill_CAM</f>
        <v>1349.8399974822105</v>
      </c>
      <c r="X28" s="389">
        <f ca="1">SUM(X18:X27)</f>
        <v>322.30592863656318</v>
      </c>
      <c r="Y28" s="389"/>
      <c r="Z28" s="331">
        <f ca="1">SUM(Z17:Z27)</f>
        <v>280.22987485077431</v>
      </c>
      <c r="AA28" s="331"/>
      <c r="AB28" s="331">
        <f ca="1">SUM(AB18:AB27)</f>
        <v>1350.213380906376</v>
      </c>
      <c r="AC28" s="44">
        <f ca="1">SUM(AC18:AC27)</f>
        <v>815.2216278785753</v>
      </c>
      <c r="AE28" s="391"/>
    </row>
    <row r="29" spans="1:31" s="50" customFormat="1" x14ac:dyDescent="0.35">
      <c r="D29" s="379"/>
      <c r="E29" s="14"/>
      <c r="F29" s="384"/>
      <c r="G29" s="384"/>
      <c r="H29" s="384"/>
      <c r="I29" s="384"/>
      <c r="J29" s="409"/>
      <c r="K29" s="39"/>
      <c r="L29" s="39"/>
      <c r="M29" s="163" t="s">
        <v>361</v>
      </c>
      <c r="N29" s="546">
        <f ca="1">AVERAGE(M28,O28)</f>
        <v>211.32782315035155</v>
      </c>
      <c r="O29" s="163"/>
      <c r="P29" s="39"/>
      <c r="Q29" s="455"/>
      <c r="R29" s="467"/>
      <c r="S29" s="38"/>
      <c r="T29" s="38"/>
      <c r="U29" s="38"/>
      <c r="V29" s="38"/>
      <c r="W29" s="151"/>
      <c r="X29" s="390"/>
      <c r="Y29" s="390"/>
      <c r="Z29" s="163" t="s">
        <v>361</v>
      </c>
      <c r="AA29" s="546">
        <f ca="1">AVERAGE(Z28,AB28)</f>
        <v>815.22162787857519</v>
      </c>
      <c r="AB29" s="163"/>
      <c r="AC29" s="39"/>
      <c r="AD29" s="39"/>
      <c r="AE29" s="392"/>
    </row>
    <row r="30" spans="1:31" x14ac:dyDescent="0.35">
      <c r="A30" s="51" t="s">
        <v>92</v>
      </c>
      <c r="B30" s="51"/>
      <c r="D30" s="378"/>
      <c r="E30" s="218"/>
      <c r="F30" s="218"/>
      <c r="G30" s="218"/>
      <c r="H30" s="330"/>
      <c r="I30" s="330"/>
      <c r="J30" s="330"/>
      <c r="K30" s="45"/>
      <c r="L30" s="45"/>
      <c r="M30" s="45"/>
      <c r="N30" s="45"/>
      <c r="O30" s="45"/>
      <c r="P30" s="45"/>
      <c r="Q30" s="456"/>
      <c r="R30" s="468"/>
      <c r="S30" s="45"/>
      <c r="T30" s="45"/>
      <c r="U30" s="44"/>
      <c r="V30" s="44"/>
      <c r="W30" s="44"/>
      <c r="X30" s="389"/>
      <c r="Y30" s="389"/>
      <c r="Z30" s="389"/>
      <c r="AA30" s="389"/>
      <c r="AB30" s="389"/>
      <c r="AC30" s="45"/>
      <c r="AE30" s="393"/>
    </row>
    <row r="31" spans="1:31" x14ac:dyDescent="0.35">
      <c r="A31" s="7" t="s">
        <v>129</v>
      </c>
      <c r="B31" s="7" t="s">
        <v>130</v>
      </c>
      <c r="C31" s="7" t="str">
        <f>B31</f>
        <v>Discolour</v>
      </c>
      <c r="D31" s="377" t="s">
        <v>127</v>
      </c>
      <c r="E31" s="124">
        <f t="shared" ref="E31:E40" ca="1" si="30">INDEX(INDIRECT("ExtWTP19_"&amp;$C31&amp;"_UnitValues"),MATCH(A$30, INDIRECT("ExtWTP19_Comps_"&amp;C31),0),MATCH("NHH",ExtWTP_Group,0))</f>
        <v>9635</v>
      </c>
      <c r="F31" s="383">
        <f t="shared" ref="F31:G34" ca="1" si="31">INDEX(INDIRECT("SSW_WTPCore2_"&amp;$B31&amp;"_Levels"),2,MATCH(F$4,WTPCore2_AttLevels,0))</f>
        <v>6.6666666666666666E-2</v>
      </c>
      <c r="G31" s="383">
        <f t="shared" ca="1" si="31"/>
        <v>0.04</v>
      </c>
      <c r="H31" s="431">
        <f ca="1">INDEX(INDIRECT("SSW_WTPCore2_"&amp;$B31&amp;"_LevelValues"),2,MATCH("S1 MEAN",WTPCore2_LevelValues,0))</f>
        <v>1.9376915692789636E-2</v>
      </c>
      <c r="I31" s="431">
        <f ca="1">INDEX(INDIRECT("SSW_WTPCore2_"&amp;$B31&amp;"_LevelValues"),2,MATCH("S2 MEAN",WTPCore2_LevelValues,0))</f>
        <v>4.9841954334050795E-4</v>
      </c>
      <c r="J31" s="323">
        <f ca="1">SUM(H31:I31)</f>
        <v>1.9875335236130144E-2</v>
      </c>
      <c r="K31" s="213">
        <f t="shared" ref="K31:K36" ca="1" si="32">E31*(F31-G31)</f>
        <v>256.93333333333334</v>
      </c>
      <c r="L31" s="429">
        <f t="shared" ref="L31:L40" ca="1" si="33">INDEX(INDIRECT("SSW_WTPCore_DCE_"&amp;$B31&amp;"_UnitValues"),MATCH("COMBINED-NHH",WTPCore_Group,0),MATCH("MEAN",LMH,0))</f>
        <v>37.156930418313699</v>
      </c>
      <c r="M31" s="89">
        <f ca="1">L31*($F31-$G31)*(AllProps_SSW/NHHProps_SSW)</f>
        <v>18.814712643678163</v>
      </c>
      <c r="N31" s="89">
        <f ca="1">INDEX(INDIRECT("SSW_WTPCore2_"&amp;$B31&amp;"_UnitValues"),2,MATCH("MEAN",LMH,0))</f>
        <v>173.64881354494736</v>
      </c>
      <c r="O31" s="89">
        <f ca="1">N31*($F31-$G31)*(AllProps_SSW/NHHProps_SSW)</f>
        <v>87.928483084639765</v>
      </c>
      <c r="P31" s="448">
        <f ca="1">K31*N$42/K$41</f>
        <v>78.053029745493077</v>
      </c>
      <c r="Q31" s="453" t="s">
        <v>127</v>
      </c>
      <c r="R31" s="391">
        <f ca="1">P31*NHHProps_SSW/((F31-G31)*AllProps_SSW)</f>
        <v>154.14590964621195</v>
      </c>
      <c r="S31" s="615">
        <f t="shared" ref="S31:T34" ca="1" si="34">INDEX(INDIRECT("CAM_WTPCore2_"&amp;$B31&amp;"_Levels"),2,MATCH(S$4,WTPCore2_AttLevels,0))</f>
        <v>2.2222222222222223E-2</v>
      </c>
      <c r="T31" s="615">
        <f t="shared" ca="1" si="34"/>
        <v>1.5384615384615385E-2</v>
      </c>
      <c r="U31" s="512">
        <f ca="1">INDEX(INDIRECT("CAM_WTPCore2_"&amp;$B31&amp;"_LevelValues"),2,MATCH("S1 MEAN",WTPCore2_LevelValues,0))</f>
        <v>5.6414013673365619E-2</v>
      </c>
      <c r="V31" s="512">
        <f ca="1">INDEX(INDIRECT("CAM_WTPCore2_"&amp;$B31&amp;"_LevelValues"),2,MATCH("S2 MEAN",WTPCore2_LevelValues,0))</f>
        <v>1.4754621463399648E-4</v>
      </c>
      <c r="W31" s="643">
        <f ca="1">SUM(U31:V31)</f>
        <v>5.6561559887999616E-2</v>
      </c>
      <c r="X31" s="386">
        <f t="shared" ref="X31:X36" ca="1" si="35">E31*(S31-T31)</f>
        <v>65.880341880341874</v>
      </c>
      <c r="Y31" s="89">
        <f t="shared" ref="Y31:Y40" ca="1" si="36">INDEX(INDIRECT("CAM_WTPCore_"&amp;$B31&amp;"_UnitValues"),MATCH("COMBINED-NHH",WTPCore_Group,0),MATCH("MEAN",LMH,0))</f>
        <v>243.59284023422896</v>
      </c>
      <c r="Z31" s="89">
        <f ca="1">Y31*($S31-$T31)*(AllProps_CAM/NHHProps_CAM)</f>
        <v>28.006837606837603</v>
      </c>
      <c r="AA31" s="89">
        <f ca="1">INDEX(INDIRECT("CAM_WTPCore2_"&amp;$B31&amp;"_UnitValues"),2,MATCH("MEAN",LMH,0))</f>
        <v>2518.7889835624424</v>
      </c>
      <c r="AB31" s="89">
        <f ca="1">AA31*($S31-$T31)*(AllProps_CAM/NHHProps_CAM)</f>
        <v>289.59518662655807</v>
      </c>
      <c r="AC31" s="168">
        <f ca="1">X31*AA$42/X$41</f>
        <v>112.46439174420426</v>
      </c>
      <c r="AD31" s="453" t="s">
        <v>127</v>
      </c>
      <c r="AE31" s="391">
        <f ca="1">(AC31*NHHProps_CAM)/((S31-T31)*AllProps_CAM)</f>
        <v>978.17258038077568</v>
      </c>
    </row>
    <row r="32" spans="1:31" x14ac:dyDescent="0.35">
      <c r="A32" s="7" t="s">
        <v>131</v>
      </c>
      <c r="B32" s="7" t="s">
        <v>132</v>
      </c>
      <c r="C32" s="7" t="str">
        <f>B32</f>
        <v>TasteSmell</v>
      </c>
      <c r="D32" s="377" t="s">
        <v>127</v>
      </c>
      <c r="E32" s="124">
        <f t="shared" ca="1" si="30"/>
        <v>14953</v>
      </c>
      <c r="F32" s="383">
        <f t="shared" ca="1" si="31"/>
        <v>1.6666666666666666E-2</v>
      </c>
      <c r="G32" s="383">
        <f t="shared" ca="1" si="31"/>
        <v>1.1111111111111112E-2</v>
      </c>
      <c r="H32" s="431">
        <f ca="1">INDEX(INDIRECT("SSW_WTPCore2_"&amp;$B32&amp;"_LevelValues"),2,MATCH("S1 MEAN",WTPCore2_LevelValues,0))</f>
        <v>3.6865032727528453E-3</v>
      </c>
      <c r="I32" s="431">
        <f ca="1">INDEX(INDIRECT("SSW_WTPCore2_"&amp;$B32&amp;"_LevelValues"),2,MATCH("S2 MEAN",WTPCore2_LevelValues,0))</f>
        <v>5.1592292451456759E-6</v>
      </c>
      <c r="J32" s="323">
        <f ca="1">SUM(H32:I32)</f>
        <v>3.691662501997991E-3</v>
      </c>
      <c r="K32" s="213">
        <f t="shared" ca="1" si="32"/>
        <v>83.072222222222209</v>
      </c>
      <c r="L32" s="429">
        <f t="shared" ca="1" si="33"/>
        <v>59.451088669301917</v>
      </c>
      <c r="M32" s="89">
        <f ca="1">L32*($F32-$G32)*(AllProps_SSW/NHHProps_SSW)</f>
        <v>6.2715708812260536</v>
      </c>
      <c r="N32" s="89">
        <f ca="1">INDEX(INDIRECT("SSW_WTPCore2_"&amp;$B32&amp;"_UnitValues"),2,MATCH("MEAN",LMH,0))</f>
        <v>154.81769077846621</v>
      </c>
      <c r="O32" s="89">
        <f ca="1">N32*($F32-$G32)*(AllProps_SSW/NHHProps_SSW)</f>
        <v>16.331914908839114</v>
      </c>
      <c r="P32" s="448">
        <f t="shared" ref="P32:P40" ca="1" si="37">K32*N$42/K$41</f>
        <v>25.23626867722621</v>
      </c>
      <c r="Q32" s="453" t="s">
        <v>127</v>
      </c>
      <c r="R32" s="391">
        <f ca="1">P32*NHHProps_SSW/((F32-G32)*AllProps_SSW)</f>
        <v>239.22613253137595</v>
      </c>
      <c r="S32" s="615">
        <f t="shared" ca="1" si="34"/>
        <v>1.4285714285714285E-2</v>
      </c>
      <c r="T32" s="615">
        <f t="shared" ca="1" si="34"/>
        <v>0.01</v>
      </c>
      <c r="U32" s="512">
        <f ca="1">INDEX(INDIRECT("CAM_WTPCore2_"&amp;$B32&amp;"_LevelValues"),2,MATCH("S1 MEAN",WTPCore2_LevelValues,0))</f>
        <v>4.257264223936371E-2</v>
      </c>
      <c r="V32" s="512">
        <f ca="1">INDEX(INDIRECT("CAM_WTPCore2_"&amp;$B32&amp;"_LevelValues"),2,MATCH("S2 MEAN",WTPCore2_LevelValues,0))</f>
        <v>1.0971349631991048E-2</v>
      </c>
      <c r="W32" s="643">
        <f ca="1">SUM(U32:V32)</f>
        <v>5.3543991871354758E-2</v>
      </c>
      <c r="X32" s="386">
        <f t="shared" ca="1" si="35"/>
        <v>64.084285714285699</v>
      </c>
      <c r="Y32" s="89">
        <f t="shared" ca="1" si="36"/>
        <v>152.24552514639311</v>
      </c>
      <c r="Z32" s="89">
        <f ca="1">Y32*($S32-$T32)*(AllProps_CAM/NHHProps_CAM)</f>
        <v>10.97142857142857</v>
      </c>
      <c r="AA32" s="89">
        <f ca="1">INDEX(INDIRECT("CAM_WTPCore2_"&amp;$B32&amp;"_UnitValues"),2,MATCH("MEAN",LMH,0))</f>
        <v>3804.1888084146854</v>
      </c>
      <c r="AB32" s="89">
        <f ca="1">AA32*($S32-$T32)*(AllProps_CAM/NHHProps_CAM)</f>
        <v>274.14523838133641</v>
      </c>
      <c r="AC32" s="168">
        <f t="shared" ref="AC32:AC40" ca="1" si="38">X32*AA$42/X$41</f>
        <v>109.3983426241069</v>
      </c>
      <c r="AD32" s="453" t="s">
        <v>127</v>
      </c>
      <c r="AE32" s="391">
        <f ca="1">(AC32*NHHProps_CAM)/((S32-T32)*AllProps_CAM)</f>
        <v>1518.0710528732477</v>
      </c>
    </row>
    <row r="33" spans="1:31" x14ac:dyDescent="0.35">
      <c r="A33" s="7" t="s">
        <v>890</v>
      </c>
      <c r="B33" s="7" t="s">
        <v>138</v>
      </c>
      <c r="C33" s="7" t="s">
        <v>1011</v>
      </c>
      <c r="D33" s="377" t="s">
        <v>127</v>
      </c>
      <c r="E33" s="124">
        <f t="shared" ca="1" si="30"/>
        <v>3686</v>
      </c>
      <c r="F33" s="383">
        <f t="shared" ca="1" si="31"/>
        <v>1.2500000000000001E-2</v>
      </c>
      <c r="G33" s="383">
        <f t="shared" ca="1" si="31"/>
        <v>8.3333333333333332E-3</v>
      </c>
      <c r="H33" s="431">
        <f ca="1">INDEX(INDIRECT("SSW_WTPCore2_"&amp;$B33&amp;"_LevelValues"),2,MATCH("S1 MEAN",WTPCore2_LevelValues,0))</f>
        <v>2.3562800507588295E-4</v>
      </c>
      <c r="I33" s="431">
        <f ca="1">INDEX(INDIRECT("SSW_WTPCore2_"&amp;$B33&amp;"_LevelValues"),2,MATCH("S2 MEAN",WTPCore2_LevelValues,0))</f>
        <v>4.1117889914467278E-4</v>
      </c>
      <c r="J33" s="323">
        <f ca="1">SUM(H33:I33)</f>
        <v>6.4680690422055573E-4</v>
      </c>
      <c r="K33" s="213">
        <f t="shared" ca="1" si="32"/>
        <v>15.358333333333336</v>
      </c>
      <c r="L33" s="429">
        <f t="shared" ca="1" si="33"/>
        <v>260.23872775996313</v>
      </c>
      <c r="M33" s="89">
        <f ca="1">L33*($F33-$G33)*(AllProps_SSW/NHHProps_SSW)</f>
        <v>20.589685534591201</v>
      </c>
      <c r="N33" s="89">
        <f ca="1">INDEX(INDIRECT("SSW_WTPCore2_"&amp;$B33&amp;"_UnitValues"),2,MATCH("MEAN",LMH,0))</f>
        <v>36.166957745748803</v>
      </c>
      <c r="O33" s="89">
        <f ca="1">N33*($F33-$G33)*(AllProps_SSW/NHHProps_SSW)</f>
        <v>2.8614737442717386</v>
      </c>
      <c r="P33" s="448">
        <f t="shared" ca="1" si="37"/>
        <v>4.6656633958531311</v>
      </c>
      <c r="Q33" s="453" t="s">
        <v>127</v>
      </c>
      <c r="R33" s="391">
        <f ca="1">P33*NHHProps_SSW/((F33-G33)*AllProps_SSW)</f>
        <v>58.970609543947809</v>
      </c>
      <c r="S33" s="615">
        <f t="shared" ca="1" si="34"/>
        <v>2.5000000000000001E-2</v>
      </c>
      <c r="T33" s="615">
        <f t="shared" ca="1" si="34"/>
        <v>1.6666666666666666E-2</v>
      </c>
      <c r="U33" s="512">
        <f ca="1">INDEX(INDIRECT("CAM_WTPCore2_"&amp;$B33&amp;"_LevelValues"),2,MATCH("S1 MEAN",WTPCore2_LevelValues,0))</f>
        <v>2.654718763279678E-4</v>
      </c>
      <c r="V33" s="512">
        <f ca="1">INDEX(INDIRECT("CAM_WTPCore2_"&amp;$B33&amp;"_LevelValues"),2,MATCH("S2 MEAN",WTPCore2_LevelValues,0))</f>
        <v>1.3401602008677625E-5</v>
      </c>
      <c r="W33" s="643">
        <f ca="1">SUM(U33:V33)</f>
        <v>2.7887347833664542E-4</v>
      </c>
      <c r="X33" s="386">
        <f t="shared" ca="1" si="35"/>
        <v>30.716666666666672</v>
      </c>
      <c r="Y33" s="89">
        <f t="shared" ca="1" si="36"/>
        <v>76.122762573196539</v>
      </c>
      <c r="Z33" s="89">
        <f ca="1">Y33*($S33-$T33)*(AllProps_CAM/NHHProps_CAM)</f>
        <v>10.666666666666668</v>
      </c>
      <c r="AA33" s="89">
        <f ca="1">INDEX(INDIRECT("CAM_WTPCore2_"&amp;$B33&amp;"_UnitValues"),2,MATCH("MEAN",LMH,0))</f>
        <v>10.189737398103325</v>
      </c>
      <c r="AB33" s="89">
        <f ca="1">AA33*($S33-$T33)*(AllProps_CAM/NHHProps_CAM)</f>
        <v>1.4278322090836246</v>
      </c>
      <c r="AC33" s="168">
        <f t="shared" ca="1" si="38"/>
        <v>52.436449697704802</v>
      </c>
      <c r="AD33" s="453" t="s">
        <v>127</v>
      </c>
      <c r="AE33" s="391">
        <f ca="1">(AC33*NHHProps_CAM)/((S33-T33)*AllProps_CAM)</f>
        <v>374.21319473622623</v>
      </c>
    </row>
    <row r="34" spans="1:31" x14ac:dyDescent="0.35">
      <c r="A34" s="7" t="s">
        <v>1010</v>
      </c>
      <c r="B34" s="7" t="s">
        <v>144</v>
      </c>
      <c r="C34" s="7" t="str">
        <f>B34</f>
        <v>TempBan</v>
      </c>
      <c r="D34" s="377" t="s">
        <v>127</v>
      </c>
      <c r="E34" s="124">
        <f t="shared" ca="1" si="30"/>
        <v>4506</v>
      </c>
      <c r="F34" s="383">
        <f t="shared" ca="1" si="31"/>
        <v>2.5000000000000001E-2</v>
      </c>
      <c r="G34" s="383">
        <f t="shared" ca="1" si="31"/>
        <v>1.6666666666666666E-2</v>
      </c>
      <c r="H34" s="431">
        <f ca="1">INDEX(INDIRECT("SSW_WTPCore2_"&amp;$B34&amp;"_LevelValues"),2,MATCH("S1 MEAN",WTPCore2_LevelValues,0))</f>
        <v>1.0363458862342743E-3</v>
      </c>
      <c r="I34" s="431">
        <f ca="1">INDEX(INDIRECT("SSW_WTPCore2_"&amp;$B34&amp;"_LevelValues"),2,MATCH("S2 MEAN",WTPCore2_LevelValues,0))</f>
        <v>6.2724159084084235E-4</v>
      </c>
      <c r="J34" s="323">
        <f t="shared" ref="J34:J40" ca="1" si="39">SUM(H34:I34)</f>
        <v>1.6635874770751166E-3</v>
      </c>
      <c r="K34" s="213">
        <f t="shared" ca="1" si="32"/>
        <v>37.550000000000004</v>
      </c>
      <c r="L34" s="429">
        <f t="shared" ca="1" si="33"/>
        <v>159200.29439999998</v>
      </c>
      <c r="M34" s="89">
        <f ca="1">L34*(F34-G34)/NHHProps_SSW*100</f>
        <v>4.4240000000000004</v>
      </c>
      <c r="N34" s="89">
        <f ca="1">INDEX(INDIRECT("SSW_WTPCore2_"&amp;$B34&amp;"_UnitValues"),2,MATCH("MEAN",LMH,0))</f>
        <v>264843.61611051176</v>
      </c>
      <c r="O34" s="89">
        <f ca="1">N34*(F34-G34)/NHHProps_SSW*100</f>
        <v>7.3597109985803169</v>
      </c>
      <c r="P34" s="448">
        <f t="shared" ca="1" si="37"/>
        <v>11.407205242384268</v>
      </c>
      <c r="Q34" s="453" t="s">
        <v>145</v>
      </c>
      <c r="R34" s="391">
        <f ca="1">P34*NHHProps_SSW/((F34-G34)*100)</f>
        <v>410495.12497034325</v>
      </c>
      <c r="S34" s="615">
        <f t="shared" ca="1" si="34"/>
        <v>0.02</v>
      </c>
      <c r="T34" s="615">
        <f t="shared" ca="1" si="34"/>
        <v>1.3333333333333334E-2</v>
      </c>
      <c r="U34" s="512">
        <f ca="1">INDEX(INDIRECT("CAM_WTPCore2_"&amp;$B34&amp;"_LevelValues"),2,MATCH("S1 MEAN",WTPCore2_LevelValues,0))</f>
        <v>1.3694025744847137E-3</v>
      </c>
      <c r="V34" s="512">
        <f ca="1">INDEX(INDIRECT("CAM_WTPCore2_"&amp;$B34&amp;"_LevelValues"),2,MATCH("S2 MEAN",WTPCore2_LevelValues,0))</f>
        <v>1.1073984405910726E-3</v>
      </c>
      <c r="W34" s="643">
        <f t="shared" ref="W34:W40" ca="1" si="40">SUM(U34:V34)</f>
        <v>2.4768010150757864E-3</v>
      </c>
      <c r="X34" s="386">
        <f t="shared" ca="1" si="35"/>
        <v>30.04</v>
      </c>
      <c r="Y34" s="89">
        <f t="shared" ca="1" si="36"/>
        <v>950206.4639999998</v>
      </c>
      <c r="Z34" s="89">
        <f ca="1">Y34*(S34-T34)/NHHProps_CAM*100</f>
        <v>73.727999999999966</v>
      </c>
      <c r="AA34" s="89">
        <f ca="1">INDEX(INDIRECT("CAM_WTPCore2_"&amp;$B34&amp;"_UnitValues"),2,MATCH("MEAN",LMH,0))</f>
        <v>163435.57878935931</v>
      </c>
      <c r="AB34" s="89">
        <f ca="1">AA34*(S34-T34)/NHHProps_CAM*100</f>
        <v>12.681221197188025</v>
      </c>
      <c r="AC34" s="168">
        <f t="shared" ca="1" si="38"/>
        <v>51.281311413533977</v>
      </c>
      <c r="AD34" s="453" t="s">
        <v>145</v>
      </c>
      <c r="AE34" s="391">
        <f ca="1">AC34*NHHProps_CAM/((S34-T34)*100)</f>
        <v>660913.54149762599</v>
      </c>
    </row>
    <row r="35" spans="1:31" x14ac:dyDescent="0.35">
      <c r="A35" s="7" t="s">
        <v>1118</v>
      </c>
      <c r="B35" s="7" t="s">
        <v>147</v>
      </c>
      <c r="C35" s="7" t="str">
        <f t="shared" ref="C35:C40" si="41">B35</f>
        <v>Drought</v>
      </c>
      <c r="D35" s="377" t="s">
        <v>127</v>
      </c>
      <c r="E35" s="124">
        <f t="shared" ca="1" si="30"/>
        <v>4005</v>
      </c>
      <c r="F35" s="383">
        <f t="shared" ref="F35:G39" ca="1" si="42">INDEX(INDIRECT("SSW_WTPCore_DCE_"&amp;$B35&amp;"_Levels"),MATCH("COMBINED-NHH",WTPCore_Group,0),MATCH(F$4,WTPCore_AttLevels,0))</f>
        <v>1.2500000000000001E-2</v>
      </c>
      <c r="G35" s="383">
        <v>8.3000000000000001E-3</v>
      </c>
      <c r="H35" s="431">
        <f t="shared" ref="H35:H39" ca="1" si="43">INDEX(INDIRECT("SSW_WTPCore_DCE_"&amp;$B35&amp;"_LevelValues"),MATCH("COMBINED-NHH",WTPCore_Group,0),MATCH("S1 MEAN",WTPCore_LevelValues,0))</f>
        <v>1E-3</v>
      </c>
      <c r="I35" s="431">
        <f t="shared" ref="I35:I39" ca="1" si="44">INDEX(INDIRECT("SSW_WTPCore_DCE_"&amp;$B35&amp;"_LevelValues"),MATCH("COMBINED-NHH",WTPCore_Group,0),MATCH("S2 MEAN",WTPCore_LevelValues,0))</f>
        <v>8.0000000000000002E-3</v>
      </c>
      <c r="J35" s="323">
        <f ca="1">H35</f>
        <v>1E-3</v>
      </c>
      <c r="K35" s="213">
        <f t="shared" ca="1" si="32"/>
        <v>16.821000000000002</v>
      </c>
      <c r="L35" s="429">
        <f t="shared" ca="1" si="33"/>
        <v>318400.58879999997</v>
      </c>
      <c r="M35" s="89">
        <f ca="1">L35*(F35-G35)/NHHProps_SSW*100</f>
        <v>4.4593919999999994</v>
      </c>
      <c r="N35" s="89">
        <f ca="1">L35</f>
        <v>318400.58879999997</v>
      </c>
      <c r="O35" s="89">
        <f ca="1">N35*(F35-G35)/NHHProps_SSW*100</f>
        <v>4.4593919999999994</v>
      </c>
      <c r="P35" s="448">
        <f t="shared" ca="1" si="37"/>
        <v>5.1100026466616724</v>
      </c>
      <c r="Q35" s="453" t="s">
        <v>145</v>
      </c>
      <c r="R35" s="391">
        <f ca="1">P35*NHHProps_SSW/((F35-G35)*100)</f>
        <v>364854.18897164334</v>
      </c>
      <c r="S35" s="12">
        <f t="shared" ref="S35:T39" ca="1" si="45">INDEX(INDIRECT("CAM_WTPCore_"&amp;$B35&amp;"_Levels"),MATCH("COMBINED-NHH",WTPCore_Group,0),MATCH(S$4,WTPCore_AttLevels,0))</f>
        <v>1.2500000000000001E-2</v>
      </c>
      <c r="T35" s="12">
        <v>8.3000000000000001E-3</v>
      </c>
      <c r="U35" s="435">
        <f t="shared" ref="U35:U39" ca="1" si="46">INDEX(INDIRECT("CAM_WTPCore_"&amp;$B35&amp;"_LevelValues"),MATCH("COMBINED-NHH",WTPCore_Group,0),MATCH("S1 MEAN",WTPCore_LevelValues,0))</f>
        <v>9.1158062540521636E-3</v>
      </c>
      <c r="V35" s="435">
        <f t="shared" ref="V35:V39" ca="1" si="47">INDEX(INDIRECT("CAM_WTPCore_"&amp;$B35&amp;"_LevelValues"),MATCH("COMBINED-NHH",WTPCore_Group,0),MATCH("S2 MEAN",WTPCore_LevelValues,0))</f>
        <v>2.0400790621022298E-3</v>
      </c>
      <c r="W35" s="643">
        <f ca="1">U35</f>
        <v>9.1158062540521636E-3</v>
      </c>
      <c r="X35" s="386">
        <f t="shared" ca="1" si="35"/>
        <v>16.821000000000002</v>
      </c>
      <c r="Y35" s="89">
        <f t="shared" ca="1" si="36"/>
        <v>962433.11413022119</v>
      </c>
      <c r="Z35" s="89">
        <f ca="1">Y35*(S35-T35)/NHHProps_CAM*100</f>
        <v>47.046311444913052</v>
      </c>
      <c r="AA35" s="89">
        <f ca="1">Y35</f>
        <v>962433.11413022119</v>
      </c>
      <c r="AB35" s="89">
        <f ca="1">AA35*(S35-T35)/NHHProps_CAM*100</f>
        <v>47.046311444913052</v>
      </c>
      <c r="AC35" s="168">
        <f t="shared" ca="1" si="38"/>
        <v>28.715144450301434</v>
      </c>
      <c r="AD35" s="453" t="s">
        <v>145</v>
      </c>
      <c r="AE35" s="391">
        <f ca="1">AC35*NHHProps_CAM/((S35-T35)*100)</f>
        <v>587429.81218330935</v>
      </c>
    </row>
    <row r="36" spans="1:31" x14ac:dyDescent="0.35">
      <c r="A36" s="7" t="s">
        <v>929</v>
      </c>
      <c r="B36" s="7" t="s">
        <v>140</v>
      </c>
      <c r="C36" s="7" t="str">
        <f t="shared" si="41"/>
        <v>LowPressure</v>
      </c>
      <c r="D36" s="377" t="s">
        <v>127</v>
      </c>
      <c r="E36" s="124">
        <f t="shared" ca="1" si="30"/>
        <v>683</v>
      </c>
      <c r="F36" s="383">
        <f t="shared" ref="F36:G38" ca="1" si="48">INDEX(INDIRECT("SSW_WTPCore2_"&amp;$B36&amp;"_Levels"),2,MATCH(F$4,WTPCore2_AttLevels,0))</f>
        <v>0.1</v>
      </c>
      <c r="G36" s="383">
        <f t="shared" ca="1" si="48"/>
        <v>6.6666666666666666E-2</v>
      </c>
      <c r="H36" s="431">
        <f ca="1">INDEX(INDIRECT("SSW_WTPCore2_"&amp;$B36&amp;"_LevelValues"),2,MATCH("S1 MEAN",WTPCore2_LevelValues,0))</f>
        <v>6.9813125314618224E-5</v>
      </c>
      <c r="I36" s="431">
        <f ca="1">INDEX(INDIRECT("SSW_WTPCore2_"&amp;$B36&amp;"_LevelValues"),2,MATCH("S2 MEAN",WTPCore2_LevelValues,0))</f>
        <v>4.2539865887973236E-4</v>
      </c>
      <c r="J36" s="323">
        <f t="shared" ca="1" si="39"/>
        <v>4.9521178419435058E-4</v>
      </c>
      <c r="K36" s="213">
        <f t="shared" ca="1" si="32"/>
        <v>22.766666666666673</v>
      </c>
      <c r="L36" s="429">
        <f t="shared" ca="1" si="33"/>
        <v>32.097263297522041</v>
      </c>
      <c r="M36" s="89">
        <f ca="1">L36*($F36-$G36)*(AllProps_SSW/NHHProps_SSW)</f>
        <v>20.315886524822698</v>
      </c>
      <c r="N36" s="89">
        <f ca="1">INDEX(INDIRECT("SSW_WTPCore2_"&amp;$B36&amp;"_UnitValues"),2,MATCH("MEAN",LMH,0))</f>
        <v>3.461292612463883</v>
      </c>
      <c r="O36" s="89">
        <f ca="1">N36*($F36-$G36)*(AllProps_SSW/NHHProps_SSW)</f>
        <v>2.1908169332758067</v>
      </c>
      <c r="P36" s="448">
        <f t="shared" ca="1" si="37"/>
        <v>6.9162194234784353</v>
      </c>
      <c r="Q36" s="453" t="s">
        <v>127</v>
      </c>
      <c r="R36" s="391">
        <f ca="1">P36*NHHProps_SSW/((F36-G36)*AllProps_SSW)</f>
        <v>10.927001171599663</v>
      </c>
      <c r="S36" s="615">
        <f t="shared" ref="S36:T36" ca="1" si="49">INDEX(INDIRECT("CAM_WTPCore2_"&amp;$B36&amp;"_Levels"),2,MATCH(S$4,WTPCore2_AttLevels,0))</f>
        <v>9.0909090909090912E-2</v>
      </c>
      <c r="T36" s="615">
        <f t="shared" ca="1" si="49"/>
        <v>6.6666666666666666E-2</v>
      </c>
      <c r="U36" s="512">
        <f ca="1">INDEX(INDIRECT("CAM_WTPCore2_"&amp;$B36&amp;"_LevelValues"),2,MATCH("S1 MEAN",WTPCore2_LevelValues,0))</f>
        <v>4.8585541264324922E-5</v>
      </c>
      <c r="V36" s="512">
        <f ca="1">INDEX(INDIRECT("CAM_WTPCore2_"&amp;$B36&amp;"_LevelValues"),2,MATCH("S2 MEAN",WTPCore2_LevelValues,0))</f>
        <v>4.7427328754792901E-3</v>
      </c>
      <c r="W36" s="643">
        <f t="shared" ref="W36" ca="1" si="50">SUM(U36:V36)</f>
        <v>4.7913184167436155E-3</v>
      </c>
      <c r="X36" s="386">
        <f t="shared" ca="1" si="35"/>
        <v>16.557575757575759</v>
      </c>
      <c r="Y36" s="89">
        <f t="shared" ca="1" si="36"/>
        <v>19.435598954858694</v>
      </c>
      <c r="Z36" s="89">
        <f ca="1">Y36*($S36-$T36)*(AllProps_CAM/NHHProps_CAM)</f>
        <v>7.9226305609284342</v>
      </c>
      <c r="AA36" s="89">
        <f ca="1">INDEX(INDIRECT("CAM_WTPCore2_"&amp;$B36&amp;"_UnitValues"),2,MATCH("MEAN",LMH,0))</f>
        <v>60.18018505130911</v>
      </c>
      <c r="AB36" s="89">
        <f ca="1">AA36*($S36-$T36)*(AllProps_CAM/NHHProps_CAM)</f>
        <v>24.531550293727314</v>
      </c>
      <c r="AC36" s="168">
        <f t="shared" ca="1" si="38"/>
        <v>28.265452685666553</v>
      </c>
      <c r="AD36" s="453" t="s">
        <v>127</v>
      </c>
      <c r="AE36" s="391">
        <f ca="1">AC36*NHHProps_CAM/((S36-T36)*AllProps_CAM)</f>
        <v>69.340100923722872</v>
      </c>
    </row>
    <row r="37" spans="1:31" x14ac:dyDescent="0.35">
      <c r="A37" s="7" t="s">
        <v>40</v>
      </c>
      <c r="B37" s="7" t="s">
        <v>40</v>
      </c>
      <c r="C37" s="7" t="str">
        <f t="shared" si="41"/>
        <v>Leakage</v>
      </c>
      <c r="D37" s="377" t="s">
        <v>1168</v>
      </c>
      <c r="E37" s="124">
        <f t="shared" ca="1" si="30"/>
        <v>1996421</v>
      </c>
      <c r="F37" s="444">
        <f t="shared" ca="1" si="48"/>
        <v>70.5</v>
      </c>
      <c r="G37" s="444">
        <f t="shared" ca="1" si="48"/>
        <v>35.25</v>
      </c>
      <c r="H37" s="431">
        <f ca="1">INDEX(INDIRECT("SSW_WTPCore2_"&amp;$B37&amp;"_LevelValues"),2,MATCH("S1 MEAN",WTPCore2_LevelValues,0))</f>
        <v>1.8366495603833657E-2</v>
      </c>
      <c r="I37" s="431">
        <f ca="1">INDEX(INDIRECT("SSW_WTPCore2_"&amp;$B37&amp;"_LevelValues"),2,MATCH("S2 MEAN",WTPCore2_LevelValues,0))</f>
        <v>6.6875105310339848E-3</v>
      </c>
      <c r="J37" s="323">
        <f t="shared" ca="1" si="39"/>
        <v>2.5054006134867642E-2</v>
      </c>
      <c r="K37" s="213">
        <f ca="1">E37*(F37-G37)/AllProps_SSW</f>
        <v>123.58754928217061</v>
      </c>
      <c r="L37" s="429">
        <f t="shared" ca="1" si="33"/>
        <v>18818.001702127662</v>
      </c>
      <c r="M37" s="89">
        <f ca="1">L37*(F37-G37)/NHHProps_SSW</f>
        <v>22.12</v>
      </c>
      <c r="N37" s="89">
        <f ca="1">INDEX(INDIRECT("SSW_WTPCore2_"&amp;$B37&amp;"_UnitValues"),2,MATCH("MEAN",LMH,0))</f>
        <v>94293.266018211216</v>
      </c>
      <c r="O37" s="89">
        <f ca="1">N37*(F37-G37)/NHHProps_SSW</f>
        <v>110.83892314065444</v>
      </c>
      <c r="P37" s="448">
        <f t="shared" ca="1" si="37"/>
        <v>37.544301999067933</v>
      </c>
      <c r="Q37" s="453" t="s">
        <v>1168</v>
      </c>
      <c r="R37" s="391">
        <f ca="1">P37*NHHProps_SSW/((F37-G37))</f>
        <v>31939.816407036855</v>
      </c>
      <c r="S37" s="620">
        <f t="shared" ref="S37:T38" ca="1" si="51">INDEX(INDIRECT("CAM_WTPCore2_"&amp;$B37&amp;"_Levels"),2,MATCH(S$4,WTPCore2_AttLevels,0))</f>
        <v>13.5</v>
      </c>
      <c r="T37" s="620">
        <f t="shared" ca="1" si="51"/>
        <v>6.75</v>
      </c>
      <c r="U37" s="431">
        <f ca="1">INDEX(INDIRECT("CAM_WTPCore2_"&amp;$B37&amp;"_LevelValues"),2,MATCH("S1 MEAN",WTPCore2_LevelValues,0))</f>
        <v>7.1569068986342493E-2</v>
      </c>
      <c r="V37" s="431">
        <f ca="1">INDEX(INDIRECT("CAM_WTPCore2_"&amp;$B37&amp;"_LevelValues"),2,MATCH("S2 MEAN",WTPCore2_LevelValues,0))</f>
        <v>3.5284810800562588E-2</v>
      </c>
      <c r="W37" s="643">
        <f t="shared" ca="1" si="40"/>
        <v>0.10685387978690508</v>
      </c>
      <c r="X37" s="386">
        <f ca="1">E37*(S37-T37)/AllProps_CAM</f>
        <v>93.275203496822954</v>
      </c>
      <c r="Y37" s="429">
        <f ca="1">INDEX(INDIRECT("CAM_WTPCore_"&amp;$B37&amp;"_UnitValues"),MATCH("COMBINED-NHH",WTPCore_Group,0),MATCH("MEAN",LMH,0))</f>
        <v>13034.382222222222</v>
      </c>
      <c r="Z37" s="89">
        <f ca="1">Y37*(S37-T37)/NHHProps_CAM</f>
        <v>10.24</v>
      </c>
      <c r="AA37" s="89">
        <f ca="1">INDEX(INDIRECT("CAM_WTPCore2_"&amp;$B37&amp;"_UnitValues"),2,MATCH("MEAN",LMH,0))</f>
        <v>696387.155534953</v>
      </c>
      <c r="AB37" s="89">
        <f ca="1">AA37*(S37-T37)/NHHProps_CAM</f>
        <v>547.09186450895402</v>
      </c>
      <c r="AC37" s="168">
        <f t="shared" ca="1" si="38"/>
        <v>159.23018500936524</v>
      </c>
      <c r="AD37" s="453" t="s">
        <v>1168</v>
      </c>
      <c r="AE37" s="391">
        <f ca="1">AC37*NHHProps_CAM/((S37-T37))</f>
        <v>202682.33327414314</v>
      </c>
    </row>
    <row r="38" spans="1:31" x14ac:dyDescent="0.35">
      <c r="A38" s="7" t="s">
        <v>726</v>
      </c>
      <c r="B38" s="7" t="s">
        <v>154</v>
      </c>
      <c r="C38" s="7" t="str">
        <f t="shared" si="41"/>
        <v>Wildlife</v>
      </c>
      <c r="D38" s="377" t="s">
        <v>155</v>
      </c>
      <c r="E38" s="124">
        <f t="shared" ca="1" si="30"/>
        <v>162432</v>
      </c>
      <c r="F38" s="444">
        <f t="shared" ca="1" si="48"/>
        <v>0</v>
      </c>
      <c r="G38" s="444">
        <f t="shared" ca="1" si="48"/>
        <v>50</v>
      </c>
      <c r="H38" s="431">
        <f ca="1">INDEX(INDIRECT("SSW_WTPCore2_"&amp;$B38&amp;"_LevelValues"),2,MATCH("S1 MEAN",WTPCore2_LevelValues,0))</f>
        <v>3.6163448555426433E-4</v>
      </c>
      <c r="I38" s="431">
        <f ca="1">INDEX(INDIRECT("SSW_WTPCore2_"&amp;$B38&amp;"_LevelValues"),2,MATCH("S2 MEAN",WTPCore2_LevelValues,0))</f>
        <v>1.464595009466312E-3</v>
      </c>
      <c r="J38" s="323">
        <f t="shared" ca="1" si="39"/>
        <v>1.8262294950205764E-3</v>
      </c>
      <c r="K38" s="213">
        <f ca="1">-E38*(F38-G38)/AllProps_SSW</f>
        <v>14.262808973964965</v>
      </c>
      <c r="L38" s="429">
        <f t="shared" ca="1" si="33"/>
        <v>6633.3456000000006</v>
      </c>
      <c r="M38" s="89">
        <f ca="1">-L38*(F38-G38)/NHHProps_SSW</f>
        <v>11.06</v>
      </c>
      <c r="N38" s="89">
        <f ca="1">INDEX(INDIRECT("SSW_WTPCore2_"&amp;$B38&amp;"_UnitValues"),2,MATCH("MEAN",LMH,0))</f>
        <v>4845.6045541539843</v>
      </c>
      <c r="O38" s="89">
        <f ca="1">-N38*(F38-G38)/NHHProps_SSW</f>
        <v>8.0792392859710294</v>
      </c>
      <c r="P38" s="448">
        <f t="shared" ca="1" si="37"/>
        <v>4.3328572383206003</v>
      </c>
      <c r="Q38" s="453" t="s">
        <v>155</v>
      </c>
      <c r="R38" s="391">
        <f ca="1">-P38*NHHProps_SSW/((F38-G38))</f>
        <v>2598.6744572551634</v>
      </c>
      <c r="S38" s="620">
        <f t="shared" ca="1" si="51"/>
        <v>0</v>
      </c>
      <c r="T38" s="620">
        <f t="shared" ca="1" si="51"/>
        <v>9</v>
      </c>
      <c r="U38" s="512">
        <f ca="1">INDEX(INDIRECT("CAM_WTPCore2_"&amp;$B38&amp;"_LevelValues"),2,MATCH("S1 MEAN",WTPCore2_LevelValues,0))</f>
        <v>1.500948855436721E-2</v>
      </c>
      <c r="V38" s="512">
        <f ca="1">INDEX(INDIRECT("CAM_WTPCore2_"&amp;$B38&amp;"_LevelValues"),2,MATCH("S2 MEAN",WTPCore2_LevelValues,0))</f>
        <v>5.3297158206472399E-3</v>
      </c>
      <c r="W38" s="643">
        <f t="shared" ca="1" si="40"/>
        <v>2.033920437501445E-2</v>
      </c>
      <c r="X38" s="386">
        <f ca="1">-E38*(S38-T38)/AllProps_CAM</f>
        <v>10.118692636737405</v>
      </c>
      <c r="Y38" s="89">
        <f t="shared" ca="1" si="36"/>
        <v>4399.1040000000003</v>
      </c>
      <c r="Z38" s="89">
        <f ca="1">-Y38*(S38-T38)/NHHProps_CAM</f>
        <v>4.6080000000000005</v>
      </c>
      <c r="AA38" s="89">
        <f ca="1">INDEX(INDIRECT("CAM_WTPCore2_"&amp;$B38&amp;"_UnitValues"),2,MATCH("MEAN",LMH,0))</f>
        <v>99415.861469937299</v>
      </c>
      <c r="AB38" s="89">
        <f ca="1">-AA38*(S38-T38)/NHHProps_CAM</f>
        <v>104.13672640007398</v>
      </c>
      <c r="AC38" s="168">
        <f t="shared" ca="1" si="38"/>
        <v>17.273629434166583</v>
      </c>
      <c r="AD38" s="453" t="s">
        <v>155</v>
      </c>
      <c r="AE38" s="391">
        <f ca="1">-AC38*NHHProps_CAM/((S38-T38))</f>
        <v>16490.55823315103</v>
      </c>
    </row>
    <row r="39" spans="1:31" x14ac:dyDescent="0.35">
      <c r="A39" s="7" t="s">
        <v>158</v>
      </c>
      <c r="B39" s="7" t="s">
        <v>159</v>
      </c>
      <c r="C39" s="7" t="str">
        <f t="shared" si="41"/>
        <v>Traffic</v>
      </c>
      <c r="D39" s="377" t="s">
        <v>127</v>
      </c>
      <c r="E39" s="124">
        <f t="shared" ca="1" si="30"/>
        <v>23734</v>
      </c>
      <c r="F39" s="444">
        <f t="shared" ca="1" si="42"/>
        <v>608.33333333333337</v>
      </c>
      <c r="G39" s="444">
        <f t="shared" ca="1" si="42"/>
        <v>243.33333333333334</v>
      </c>
      <c r="H39" s="431">
        <f t="shared" ca="1" si="43"/>
        <v>1E-3</v>
      </c>
      <c r="I39" s="431">
        <f t="shared" ca="1" si="44"/>
        <v>1E-3</v>
      </c>
      <c r="J39" s="323">
        <f t="shared" ca="1" si="39"/>
        <v>2E-3</v>
      </c>
      <c r="K39" s="213">
        <f ca="1">E39*(F39-G39)/AllProps_SSW</f>
        <v>15.213434605084077</v>
      </c>
      <c r="L39" s="429">
        <f t="shared" ca="1" si="33"/>
        <v>726.94198356164395</v>
      </c>
      <c r="M39" s="89">
        <f ca="1">L39*(F39-G39)/NHHProps_SSW</f>
        <v>8.8480000000000008</v>
      </c>
      <c r="N39" s="89">
        <f ca="1">L39</f>
        <v>726.94198356164395</v>
      </c>
      <c r="O39" s="89">
        <f ca="1">N39*(F39-G39)/NHHProps_SSW</f>
        <v>8.8480000000000008</v>
      </c>
      <c r="P39" s="448">
        <f t="shared" ca="1" si="37"/>
        <v>4.6216450328038698</v>
      </c>
      <c r="Q39" s="453" t="s">
        <v>160</v>
      </c>
      <c r="R39" s="391">
        <f ca="1">P39*NHHProps_SSW/((F39-G39))</f>
        <v>379.70929107869159</v>
      </c>
      <c r="S39" s="460">
        <f t="shared" ca="1" si="45"/>
        <v>365</v>
      </c>
      <c r="T39" s="460">
        <f t="shared" ca="1" si="45"/>
        <v>121.66666666666667</v>
      </c>
      <c r="U39" s="435">
        <f t="shared" ca="1" si="46"/>
        <v>3.0000000000000001E-3</v>
      </c>
      <c r="V39" s="435">
        <f t="shared" ca="1" si="47"/>
        <v>5.0000000000000001E-3</v>
      </c>
      <c r="W39" s="643">
        <f t="shared" ca="1" si="40"/>
        <v>8.0000000000000002E-3</v>
      </c>
      <c r="X39" s="386">
        <f ca="1">E39*(S39-T39)/AllProps_CAM</f>
        <v>39.974482144422751</v>
      </c>
      <c r="Y39" s="89">
        <f t="shared" ca="1" si="36"/>
        <v>1446.2807671232879</v>
      </c>
      <c r="Z39" s="89">
        <f ca="1">Y39*(S39-T39)/NHHProps_CAM</f>
        <v>40.96</v>
      </c>
      <c r="AA39" s="89">
        <f ca="1">Y39</f>
        <v>1446.2807671232879</v>
      </c>
      <c r="AB39" s="89">
        <f ca="1">AA39*(S39-T39)/NHHProps_CAM</f>
        <v>40.96</v>
      </c>
      <c r="AC39" s="168">
        <f t="shared" ca="1" si="38"/>
        <v>68.240474948165669</v>
      </c>
      <c r="AD39" s="453" t="s">
        <v>160</v>
      </c>
      <c r="AE39" s="391">
        <f ca="1">AC39*NHHProps_CAM/((S39-T39))</f>
        <v>2409.5431263889295</v>
      </c>
    </row>
    <row r="40" spans="1:31" x14ac:dyDescent="0.35">
      <c r="A40" s="7" t="s">
        <v>125</v>
      </c>
      <c r="B40" s="7" t="s">
        <v>126</v>
      </c>
      <c r="C40" s="7" t="str">
        <f t="shared" si="41"/>
        <v>NotSafe</v>
      </c>
      <c r="D40" s="377" t="s">
        <v>127</v>
      </c>
      <c r="E40" s="124">
        <f t="shared" ca="1" si="30"/>
        <v>26419</v>
      </c>
      <c r="F40" s="383">
        <f ca="1">INDEX(INDIRECT("SSW_WTPCore2_"&amp;$B40&amp;"_Levels"),2,MATCH(F$4,WTPCore2_AttLevels,0))</f>
        <v>1.2500000000000001E-2</v>
      </c>
      <c r="G40" s="383">
        <f ca="1">INDEX(INDIRECT("SSW_WTPCore2_"&amp;$B40&amp;"_Levels"),2,MATCH(G$4,WTPCore2_AttLevels,0))</f>
        <v>8.3333333333333332E-3</v>
      </c>
      <c r="H40" s="431">
        <f ca="1">INDEX(INDIRECT("SSW_WTPCore2_"&amp;$B40&amp;"_LevelValues"),2,MATCH("S1 MEAN",WTPCore2_LevelValues,0))</f>
        <v>1.5617999911371258E-4</v>
      </c>
      <c r="I40" s="431">
        <f ca="1">INDEX(INDIRECT("SSW_WTPCore2_"&amp;$B40&amp;"_LevelValues"),2,MATCH("S2 MEAN",WTPCore2_LevelValues,0))</f>
        <v>6.9518632551394011E-4</v>
      </c>
      <c r="J40" s="323">
        <f t="shared" ca="1" si="39"/>
        <v>8.5136632462765266E-4</v>
      </c>
      <c r="K40" s="213">
        <f ca="1">E40*(F40-G40)</f>
        <v>110.07916666666669</v>
      </c>
      <c r="L40" s="429">
        <f t="shared" ca="1" si="33"/>
        <v>670.99390887298591</v>
      </c>
      <c r="M40" s="89">
        <f ca="1">L40*($F40-$G40)*(AllProps_SSW/NHHProps_SSW)</f>
        <v>53.088000000000008</v>
      </c>
      <c r="N40" s="89">
        <f ca="1">INDEX(INDIRECT("SSW_WTPCore2_"&amp;$B40&amp;"_UnitValues"),2,MATCH("MEAN",LMH,0))</f>
        <v>47.605134837061335</v>
      </c>
      <c r="O40" s="89">
        <f ca="1">N40*($F40-$G40)*(AllProps_SSW/NHHProps_SSW)</f>
        <v>3.7664446201527353</v>
      </c>
      <c r="P40" s="448">
        <f t="shared" ca="1" si="37"/>
        <v>33.440629749062367</v>
      </c>
      <c r="Q40" s="453" t="s">
        <v>127</v>
      </c>
      <c r="R40" s="391">
        <f ca="1">P40*NHHProps_SSW/((F40-G40)*AllProps_SSW)</f>
        <v>422.66536449852345</v>
      </c>
      <c r="S40" s="615">
        <f ca="1">INDEX(INDIRECT("CAM_WTPCore2_"&amp;$B40&amp;"_Levels"),2,MATCH(S$4,WTPCore2_AttLevels,0))</f>
        <v>1.2500000000000001E-2</v>
      </c>
      <c r="T40" s="615">
        <f ca="1">INDEX(INDIRECT("CAM_WTPCore2_"&amp;$B40&amp;"_Levels"),2,MATCH(T$4,WTPCore2_AttLevels,0))</f>
        <v>8.3333333333333332E-3</v>
      </c>
      <c r="U40" s="512">
        <f ca="1">INDEX(INDIRECT("CAM_WTPCore2_"&amp;$B40&amp;"_LevelValues"),2,MATCH("S1 MEAN",WTPCore2_LevelValues,0))</f>
        <v>1.0438910529886973E-3</v>
      </c>
      <c r="V40" s="512">
        <f ca="1">INDEX(INDIRECT("CAM_WTPCore2_"&amp;$B40&amp;"_LevelValues"),2,MATCH("S2 MEAN",WTPCore2_LevelValues,0))</f>
        <v>6.3529836977335285E-4</v>
      </c>
      <c r="W40" s="643">
        <f t="shared" ca="1" si="40"/>
        <v>1.6791894227620502E-3</v>
      </c>
      <c r="X40" s="386">
        <f ca="1">E40*(S40-T40)</f>
        <v>110.07916666666669</v>
      </c>
      <c r="Y40" s="89">
        <f t="shared" ca="1" si="36"/>
        <v>657.70066863241811</v>
      </c>
      <c r="Z40" s="89">
        <f ca="1">Y40*($S40-$T40)*(AllProps_CAM/NHHProps_CAM)</f>
        <v>46.08</v>
      </c>
      <c r="AA40" s="89">
        <f ca="1">INDEX(INDIRECT("CAM_WTPCore2_"&amp;$B40&amp;"_UnitValues"),2,MATCH("MEAN",LMH,0))</f>
        <v>122.71155623456495</v>
      </c>
      <c r="AB40" s="89">
        <f ca="1">AA40*($S40-$T40)*(AllProps_CAM/NHHProps_CAM)</f>
        <v>8.597449844541698</v>
      </c>
      <c r="AC40" s="168">
        <f t="shared" ca="1" si="38"/>
        <v>187.91624587135965</v>
      </c>
      <c r="AD40" s="453" t="s">
        <v>127</v>
      </c>
      <c r="AE40" s="391">
        <f ca="1">AC40*NHHProps_CAM/((S40-T40)*AllProps_CAM)</f>
        <v>2682.1319565209878</v>
      </c>
    </row>
    <row r="41" spans="1:31" x14ac:dyDescent="0.35">
      <c r="D41" s="377"/>
      <c r="E41" s="124"/>
      <c r="F41" s="16"/>
      <c r="G41" s="16"/>
      <c r="H41" s="16"/>
      <c r="I41" s="16"/>
      <c r="J41" s="330">
        <f ca="1">SUM(J31:J40)*AvgNHHBill_SSW</f>
        <v>252.62900671638494</v>
      </c>
      <c r="K41" s="331">
        <f ca="1">SUM(K31:K40)</f>
        <v>695.64451508344189</v>
      </c>
      <c r="L41" s="331"/>
      <c r="M41" s="331">
        <f ca="1">SUM(M30:M40)</f>
        <v>169.99124758431813</v>
      </c>
      <c r="N41" s="331"/>
      <c r="O41" s="331">
        <f ca="1">SUM(O30:O40)</f>
        <v>252.66439871638494</v>
      </c>
      <c r="P41" s="330">
        <f ca="1">SUM(P31:P40)</f>
        <v>211.32782315035155</v>
      </c>
      <c r="Q41" s="454"/>
      <c r="R41" s="466"/>
      <c r="S41" s="168"/>
      <c r="T41" s="168"/>
      <c r="U41" s="168"/>
      <c r="V41" s="168"/>
      <c r="W41" s="644">
        <f ca="1">SUM(W31:W40)*AvgNHHBill_CAM</f>
        <v>1349.8399974822105</v>
      </c>
      <c r="X41" s="389">
        <f ca="1">SUM(X31:X40)</f>
        <v>477.54741496351988</v>
      </c>
      <c r="Y41" s="389"/>
      <c r="Z41" s="331">
        <f ca="1">SUM(Z30:Z40)</f>
        <v>280.22987485077431</v>
      </c>
      <c r="AA41" s="331"/>
      <c r="AB41" s="219">
        <f ca="1">SUM(AB30:AB40)</f>
        <v>1350.213380906376</v>
      </c>
      <c r="AC41" s="44">
        <f ca="1">SUM(AC31:AC40)</f>
        <v>815.22162787857496</v>
      </c>
      <c r="AE41" s="391"/>
    </row>
    <row r="42" spans="1:31" s="50" customFormat="1" x14ac:dyDescent="0.35">
      <c r="D42" s="379"/>
      <c r="E42" s="14"/>
      <c r="F42" s="384"/>
      <c r="G42" s="384"/>
      <c r="H42" s="384"/>
      <c r="I42" s="384"/>
      <c r="J42" s="409"/>
      <c r="K42" s="25"/>
      <c r="L42" s="25"/>
      <c r="M42" s="163" t="s">
        <v>361</v>
      </c>
      <c r="N42" s="546">
        <f ca="1">AVERAGE(M41,O41)</f>
        <v>211.32782315035155</v>
      </c>
      <c r="O42" s="163"/>
      <c r="P42" s="11"/>
      <c r="Q42" s="458"/>
      <c r="R42" s="467"/>
      <c r="S42" s="38"/>
      <c r="T42" s="38"/>
      <c r="U42" s="38"/>
      <c r="V42" s="38"/>
      <c r="W42" s="151"/>
      <c r="X42" s="25"/>
      <c r="Y42" s="25"/>
      <c r="Z42" s="163" t="s">
        <v>361</v>
      </c>
      <c r="AA42" s="546">
        <f ca="1">AVERAGE(Z41,AB41)</f>
        <v>815.22162787857519</v>
      </c>
      <c r="AB42" s="163"/>
      <c r="AC42" s="11"/>
      <c r="AD42" s="11"/>
      <c r="AE42" s="392"/>
    </row>
    <row r="43" spans="1:31" x14ac:dyDescent="0.35">
      <c r="A43" s="51" t="s">
        <v>93</v>
      </c>
      <c r="B43" s="51"/>
      <c r="D43" s="378"/>
      <c r="E43" s="218"/>
      <c r="F43" s="218"/>
      <c r="G43" s="218"/>
      <c r="H43" s="330"/>
      <c r="I43" s="330"/>
      <c r="J43" s="330"/>
      <c r="K43" s="389"/>
      <c r="L43" s="389"/>
      <c r="M43" s="389"/>
      <c r="N43" s="389"/>
      <c r="O43" s="389"/>
      <c r="P43" s="45"/>
      <c r="Q43" s="456"/>
      <c r="R43" s="468"/>
      <c r="S43" s="45"/>
      <c r="T43" s="45"/>
      <c r="U43" s="44"/>
      <c r="V43" s="44"/>
      <c r="W43" s="44"/>
      <c r="X43" s="389"/>
      <c r="Y43" s="389"/>
      <c r="Z43" s="389"/>
      <c r="AA43" s="389"/>
      <c r="AB43" s="389"/>
      <c r="AC43" s="45"/>
      <c r="AE43" s="393"/>
    </row>
    <row r="44" spans="1:31" x14ac:dyDescent="0.35">
      <c r="A44" s="7" t="s">
        <v>1173</v>
      </c>
      <c r="B44" s="7" t="s">
        <v>138</v>
      </c>
      <c r="C44" s="7" t="s">
        <v>1008</v>
      </c>
      <c r="D44" s="377" t="s">
        <v>127</v>
      </c>
      <c r="E44" s="124">
        <f ca="1">INDEX(INDIRECT("ExtWTP19_"&amp;$C44&amp;"_UnitValues"),MATCH(A$43, INDIRECT("ExtWTP19_Comps_"&amp;C44),0),MATCH("NHH",ExtWTP_Group,0))</f>
        <v>701</v>
      </c>
      <c r="F44" s="383">
        <f ca="1">INDEX(INDIRECT("SSW_WTPCore2_"&amp;$B44&amp;"_Levels"),2,MATCH(F$4,WTPCore2_AttLevels,0))</f>
        <v>1.2500000000000001E-2</v>
      </c>
      <c r="G44" s="383">
        <f ca="1">INDEX(INDIRECT("SSW_WTPCore2_"&amp;$B44&amp;"_Levels"),2,MATCH(G$4,WTPCore2_AttLevels,0))</f>
        <v>8.3333333333333332E-3</v>
      </c>
      <c r="H44" s="431">
        <f ca="1">INDEX(INDIRECT("SSW_WTPCore2_"&amp;$B44&amp;"_LevelValues"),2,MATCH("S1 MEAN",WTPCore2_LevelValues,0))</f>
        <v>2.3562800507588295E-4</v>
      </c>
      <c r="I44" s="431">
        <f ca="1">INDEX(INDIRECT("SSW_WTPCore2_"&amp;$B44&amp;"_LevelValues"),2,MATCH("S2 MEAN",WTPCore2_LevelValues,0))</f>
        <v>4.1117889914467278E-4</v>
      </c>
      <c r="J44" s="323">
        <f ca="1">SUM(H44:I44)</f>
        <v>6.4680690422055573E-4</v>
      </c>
      <c r="K44" s="213">
        <f ca="1">E44*(F44-G44)</f>
        <v>2.9208333333333338</v>
      </c>
      <c r="L44" s="429">
        <f ca="1">INDEX(INDIRECT("SSW_WTPCore_DCE_"&amp;$B44&amp;"_UnitValues"),MATCH("COMBINED-NHH",WTPCore_Group,0),MATCH("MEAN",LMH,0))</f>
        <v>260.23872775996313</v>
      </c>
      <c r="M44" s="89">
        <f ca="1">L44*($F44-$G44)*(AllProps_SSW/NHHProps_SSW)</f>
        <v>20.589685534591201</v>
      </c>
      <c r="N44" s="89">
        <f ca="1">INDEX(INDIRECT("SSW_WTPCore2_"&amp;$B44&amp;"_UnitValues"),2,MATCH("MEAN",LMH,0))</f>
        <v>36.166957745748803</v>
      </c>
      <c r="O44" s="89">
        <f ca="1">N44*($F44-$G44)*(AllProps_SSW/NHHProps_SSW)</f>
        <v>2.8614737442717386</v>
      </c>
      <c r="P44" s="324">
        <f ca="1">K44*N$50/K$49</f>
        <v>9.2609833472434957</v>
      </c>
      <c r="Q44" s="453" t="s">
        <v>127</v>
      </c>
      <c r="R44" s="391">
        <f ca="1">P44*NHHProps_SSW/((F44-G44)*AllProps_SSW)</f>
        <v>117.05212884596409</v>
      </c>
      <c r="S44" s="615">
        <f ca="1">INDEX(INDIRECT("CAM_WTPCore2_"&amp;$B44&amp;"_Levels"),2,MATCH(S$4,WTPCore2_AttLevels,0))</f>
        <v>2.5000000000000001E-2</v>
      </c>
      <c r="T44" s="615">
        <f ca="1">INDEX(INDIRECT("CAM_WTPCore2_"&amp;$B44&amp;"_Levels"),2,MATCH(T$4,WTPCore2_AttLevels,0))</f>
        <v>1.6666666666666666E-2</v>
      </c>
      <c r="U44" s="512">
        <f ca="1">INDEX(INDIRECT("CAM_WTPCore2_"&amp;$B44&amp;"_LevelValues"),2,MATCH("S1 MEAN",WTPCore2_LevelValues,0))</f>
        <v>2.654718763279678E-4</v>
      </c>
      <c r="V44" s="512">
        <f ca="1">INDEX(INDIRECT("CAM_WTPCore2_"&amp;$B44&amp;"_LevelValues"),2,MATCH("S2 MEAN",WTPCore2_LevelValues,0))</f>
        <v>1.3401602008677625E-5</v>
      </c>
      <c r="W44" s="643">
        <f ca="1">SUM(U44:V44)</f>
        <v>2.7887347833664542E-4</v>
      </c>
      <c r="X44" s="386">
        <f ca="1">E44*(S44-T44)</f>
        <v>5.8416666666666677</v>
      </c>
      <c r="Y44" s="89">
        <f ca="1">INDEX(INDIRECT("CAM_WTPCore_"&amp;$B44&amp;"_UnitValues"),MATCH("COMBINED-NHH",WTPCore_Group,0),MATCH("MEAN",LMH,0))</f>
        <v>76.122762573196539</v>
      </c>
      <c r="Z44" s="89">
        <f ca="1">Y44*($S44-$T44)*(AllProps_CAM/NHHProps_CAM)</f>
        <v>10.666666666666668</v>
      </c>
      <c r="AA44" s="89">
        <f ca="1">INDEX(INDIRECT("CAM_WTPCore2_"&amp;$B44&amp;"_UnitValues"),2,MATCH("MEAN",LMH,0))</f>
        <v>10.189737398103325</v>
      </c>
      <c r="AB44" s="89">
        <f ca="1">AA44*($S44-$T44)*(AllProps_CAM/NHHProps_CAM)</f>
        <v>1.4278322090836246</v>
      </c>
      <c r="AC44" s="168">
        <f ca="1">X44*AA$50/X$49</f>
        <v>74.066433153153142</v>
      </c>
      <c r="AD44" s="453" t="s">
        <v>127</v>
      </c>
      <c r="AE44" s="391">
        <f ca="1">AC44*NHHProps_CAM/((S44-T44)*AllProps_CAM)</f>
        <v>528.57576614634468</v>
      </c>
    </row>
    <row r="45" spans="1:31" x14ac:dyDescent="0.35">
      <c r="A45" s="7" t="s">
        <v>876</v>
      </c>
      <c r="B45" s="7" t="s">
        <v>138</v>
      </c>
      <c r="C45" s="7" t="s">
        <v>1007</v>
      </c>
      <c r="D45" s="377" t="s">
        <v>127</v>
      </c>
      <c r="E45" s="124">
        <f ca="1">INDEX(INDIRECT("ExtWTP19_"&amp;$C45&amp;"_UnitValues"),MATCH(A$43, INDIRECT("ExtWTP19_Comps_"&amp;C45),0),MATCH("NHH",ExtWTP_Group,0))</f>
        <v>371</v>
      </c>
      <c r="F45" s="383">
        <f ca="1">INDEX(INDIRECT("SSW_WTPCore2_"&amp;$B45&amp;"_Levels"),2,MATCH(F$4,WTPCore2_AttLevels,0))</f>
        <v>1.2500000000000001E-2</v>
      </c>
      <c r="G45" s="383">
        <f ca="1">INDEX(INDIRECT("SSW_WTPCore2_"&amp;$B45&amp;"_Levels"),2,MATCH(G$4,WTPCore2_AttLevels,0))</f>
        <v>8.3333333333333332E-3</v>
      </c>
      <c r="H45" s="431">
        <f ca="1">INDEX(INDIRECT("SSW_WTPCore2_"&amp;$B45&amp;"_LevelValues"),2,MATCH("S1 MEAN",WTPCore2_LevelValues,0))</f>
        <v>2.3562800507588295E-4</v>
      </c>
      <c r="I45" s="431">
        <f ca="1">INDEX(INDIRECT("SSW_WTPCore2_"&amp;$B45&amp;"_LevelValues"),2,MATCH("S2 MEAN",WTPCore2_LevelValues,0))</f>
        <v>4.1117889914467278E-4</v>
      </c>
      <c r="J45" s="323">
        <f ca="1">SUM(H45:I45)</f>
        <v>6.4680690422055573E-4</v>
      </c>
      <c r="K45" s="213">
        <f ca="1">E45*(F45-G45)</f>
        <v>1.5458333333333336</v>
      </c>
      <c r="L45" s="429">
        <f ca="1">INDEX(INDIRECT("SSW_WTPCore_DCE_"&amp;$B45&amp;"_UnitValues"),MATCH("COMBINED-NHH",WTPCore_Group,0),MATCH("MEAN",LMH,0))</f>
        <v>260.23872775996313</v>
      </c>
      <c r="M45" s="89">
        <f ca="1">L45*($F45-$G45)*(AllProps_SSW/NHHProps_SSW)</f>
        <v>20.589685534591201</v>
      </c>
      <c r="N45" s="89">
        <f ca="1">INDEX(INDIRECT("SSW_WTPCore2_"&amp;$B45&amp;"_UnitValues"),2,MATCH("MEAN",LMH,0))</f>
        <v>36.166957745748803</v>
      </c>
      <c r="O45" s="89">
        <f ca="1">N45*($F45-$G45)*(AllProps_SSW/NHHProps_SSW)</f>
        <v>2.8614737442717386</v>
      </c>
      <c r="P45" s="324">
        <f t="shared" ref="P45:P48" ca="1" si="52">K45*N$50/K$49</f>
        <v>4.9013192893399955</v>
      </c>
      <c r="Q45" s="453" t="s">
        <v>127</v>
      </c>
      <c r="R45" s="391">
        <f ca="1">P45*NHHProps_SSW/((F45-G45)*AllProps_SSW)</f>
        <v>61.94912953188684</v>
      </c>
      <c r="S45" s="615">
        <f ca="1">INDEX(INDIRECT("CAM_WTPCore2_"&amp;$B45&amp;"_Levels"),2,MATCH(S$4,WTPCore2_AttLevels,0))</f>
        <v>2.5000000000000001E-2</v>
      </c>
      <c r="T45" s="615">
        <f ca="1">INDEX(INDIRECT("CAM_WTPCore2_"&amp;$B45&amp;"_Levels"),2,MATCH(T$4,WTPCore2_AttLevels,0))</f>
        <v>1.6666666666666666E-2</v>
      </c>
      <c r="U45" s="512">
        <f ca="1">INDEX(INDIRECT("CAM_WTPCore2_"&amp;$B45&amp;"_LevelValues"),2,MATCH("S1 MEAN",WTPCore2_LevelValues,0))</f>
        <v>2.654718763279678E-4</v>
      </c>
      <c r="V45" s="512">
        <f ca="1">INDEX(INDIRECT("CAM_WTPCore2_"&amp;$B45&amp;"_LevelValues"),2,MATCH("S2 MEAN",WTPCore2_LevelValues,0))</f>
        <v>1.3401602008677625E-5</v>
      </c>
      <c r="W45" s="643">
        <f ca="1">SUM(U45:V45)</f>
        <v>2.7887347833664542E-4</v>
      </c>
      <c r="X45" s="386">
        <f ca="1">E45*(S45-T45)</f>
        <v>3.0916666666666672</v>
      </c>
      <c r="Y45" s="89">
        <f ca="1">INDEX(INDIRECT("CAM_WTPCore_"&amp;$B45&amp;"_UnitValues"),MATCH("COMBINED-NHH",WTPCore_Group,0),MATCH("MEAN",LMH,0))</f>
        <v>76.122762573196539</v>
      </c>
      <c r="Z45" s="89">
        <f ca="1">Y45*($S45-$T45)*(AllProps_CAM/NHHProps_CAM)</f>
        <v>10.666666666666668</v>
      </c>
      <c r="AA45" s="89">
        <f ca="1">INDEX(INDIRECT("CAM_WTPCore2_"&amp;$B45&amp;"_UnitValues"),2,MATCH("MEAN",LMH,0))</f>
        <v>10.189737398103325</v>
      </c>
      <c r="AB45" s="89">
        <f ca="1">AA45*($S45-$T45)*(AllProps_CAM/NHHProps_CAM)</f>
        <v>1.4278322090836246</v>
      </c>
      <c r="AC45" s="168">
        <f t="shared" ref="AC45:AC48" ca="1" si="53">X45*AA$50/X$49</f>
        <v>39.19921069874438</v>
      </c>
      <c r="AD45" s="453" t="s">
        <v>127</v>
      </c>
      <c r="AE45" s="391">
        <f ca="1">AC45*NHHProps_CAM/((S45-T45)*AllProps_CAM)</f>
        <v>279.74551960098978</v>
      </c>
    </row>
    <row r="46" spans="1:31" x14ac:dyDescent="0.35">
      <c r="A46" s="7" t="s">
        <v>1118</v>
      </c>
      <c r="B46" s="7" t="s">
        <v>147</v>
      </c>
      <c r="C46" s="7" t="str">
        <f>B46</f>
        <v>Drought</v>
      </c>
      <c r="D46" s="377" t="s">
        <v>127</v>
      </c>
      <c r="E46" s="124">
        <f ca="1">INDEX(INDIRECT("ExtWTP19_"&amp;$C46&amp;"_UnitValues"),MATCH(A$43, INDIRECT("ExtWTP19_Comps_"&amp;C46),0),MATCH("NHH",ExtWTP_Group,0))</f>
        <v>782</v>
      </c>
      <c r="F46" s="383">
        <f t="shared" ref="F46" ca="1" si="54">INDEX(INDIRECT("SSW_WTPCore_DCE_"&amp;$B46&amp;"_Levels"),MATCH("COMBINED-NHH",WTPCore_Group,0),MATCH(F$4,WTPCore_AttLevels,0))</f>
        <v>1.2500000000000001E-2</v>
      </c>
      <c r="G46" s="383">
        <v>8.3000000000000001E-3</v>
      </c>
      <c r="H46" s="431">
        <f ca="1">INDEX(INDIRECT("SSW_WTPCore_DCE_"&amp;$B46&amp;"_LevelValues"),MATCH("COMBINED-NHH",WTPCore_Group,0),MATCH("S1 MEAN",WTPCore_LevelValues,0))</f>
        <v>1E-3</v>
      </c>
      <c r="I46" s="431">
        <f ca="1">INDEX(INDIRECT("SSW_WTPCore_DCE_"&amp;$B46&amp;"_LevelValues"),MATCH("COMBINED-NHH",WTPCore_Group,0),MATCH("S2 MEAN",WTPCore_LevelValues,0))</f>
        <v>8.0000000000000002E-3</v>
      </c>
      <c r="J46" s="323">
        <f ca="1">H46</f>
        <v>1E-3</v>
      </c>
      <c r="K46" s="213">
        <f ca="1">E46*(F46-G46)</f>
        <v>3.2844000000000007</v>
      </c>
      <c r="L46" s="429">
        <f ca="1">INDEX(INDIRECT("SSW_WTPCore_DCE_"&amp;$B46&amp;"_UnitValues"),MATCH("COMBINED-NHH",WTPCore_Group,0),MATCH("MEAN",LMH,0))</f>
        <v>318400.58879999997</v>
      </c>
      <c r="M46" s="89">
        <f ca="1">L46*(F46-G46)/NHHProps_SSW*100</f>
        <v>4.4593919999999994</v>
      </c>
      <c r="N46" s="89">
        <f ca="1">L46</f>
        <v>318400.58879999997</v>
      </c>
      <c r="O46" s="89">
        <f ca="1">N46*(F46-G46)/NHHProps_SSW*100</f>
        <v>4.4593919999999994</v>
      </c>
      <c r="P46" s="324">
        <f t="shared" ca="1" si="52"/>
        <v>10.413731368566006</v>
      </c>
      <c r="Q46" s="453" t="s">
        <v>145</v>
      </c>
      <c r="R46" s="391">
        <f ca="1">P46*NHHProps_SSW/((F46-G46)*100)</f>
        <v>743540.41971561278</v>
      </c>
      <c r="S46" s="12">
        <f t="shared" ref="S46" ca="1" si="55">INDEX(INDIRECT("CAM_WTPCore_"&amp;$B46&amp;"_Levels"),MATCH("COMBINED-NHH",WTPCore_Group,0),MATCH(S$4,WTPCore_AttLevels,0))</f>
        <v>1.2500000000000001E-2</v>
      </c>
      <c r="T46" s="12">
        <v>8.3000000000000001E-3</v>
      </c>
      <c r="U46" s="435">
        <f ca="1">INDEX(INDIRECT("CAM_WTPCore_"&amp;$B46&amp;"_LevelValues"),MATCH("COMBINED-NHH",WTPCore_Group,0),MATCH("S1 MEAN",WTPCore_LevelValues,0))</f>
        <v>9.1158062540521636E-3</v>
      </c>
      <c r="V46" s="435">
        <f ca="1">INDEX(INDIRECT("CAM_WTPCore_"&amp;$B46&amp;"_LevelValues"),MATCH("COMBINED-NHH",WTPCore_Group,0),MATCH("S2 MEAN",WTPCore_LevelValues,0))</f>
        <v>2.0400790621022298E-3</v>
      </c>
      <c r="W46" s="643">
        <f ca="1">U46</f>
        <v>9.1158062540521636E-3</v>
      </c>
      <c r="X46" s="386">
        <f ca="1">E46*(S46-T46)</f>
        <v>3.2844000000000007</v>
      </c>
      <c r="Y46" s="89">
        <f ca="1">INDEX(INDIRECT("CAM_WTPCore_"&amp;$B46&amp;"_UnitValues"),MATCH("COMBINED-NHH",WTPCore_Group,0),MATCH("MEAN",LMH,0))</f>
        <v>962433.11413022119</v>
      </c>
      <c r="Z46" s="89">
        <f ca="1">Y46*(S46-T46)/NHHProps_CAM*100</f>
        <v>47.046311444913052</v>
      </c>
      <c r="AA46" s="89">
        <f ca="1">Y46</f>
        <v>962433.11413022119</v>
      </c>
      <c r="AB46" s="89">
        <f ca="1">AA46*(S46-T46)/NHHProps_CAM*100</f>
        <v>47.046311444913052</v>
      </c>
      <c r="AC46" s="168">
        <f t="shared" ca="1" si="53"/>
        <v>41.642874701549125</v>
      </c>
      <c r="AD46" s="453" t="s">
        <v>145</v>
      </c>
      <c r="AE46" s="391">
        <f ca="1">AC46*NHHProps_CAM/((S46-T46)*100)</f>
        <v>851894.23675169062</v>
      </c>
    </row>
    <row r="47" spans="1:31" x14ac:dyDescent="0.35">
      <c r="A47" s="7" t="s">
        <v>40</v>
      </c>
      <c r="B47" s="7" t="s">
        <v>40</v>
      </c>
      <c r="C47" s="7" t="str">
        <f>B47</f>
        <v>Leakage</v>
      </c>
      <c r="D47" s="377" t="s">
        <v>1168</v>
      </c>
      <c r="E47" s="124">
        <f ca="1">INDEX(INDIRECT("ExtWTP19_"&amp;$C47&amp;"_UnitValues"),MATCH(A$43, INDIRECT("ExtWTP19_Comps_"&amp;C47),0),MATCH("NHH",ExtWTP_Group,0))</f>
        <v>339374</v>
      </c>
      <c r="F47" s="442">
        <f ca="1">INDEX(INDIRECT("SSW_WTPCore2_"&amp;$B47&amp;"_Levels"),2,MATCH(F$4,WTPCore2_AttLevels,0))</f>
        <v>70.5</v>
      </c>
      <c r="G47" s="442">
        <f ca="1">INDEX(INDIRECT("SSW_WTPCore2_"&amp;$B47&amp;"_Levels"),2,MATCH(G$4,WTPCore2_AttLevels,0))</f>
        <v>35.25</v>
      </c>
      <c r="H47" s="431">
        <f ca="1">INDEX(INDIRECT("SSW_WTPCore2_"&amp;$B47&amp;"_LevelValues"),2,MATCH("S1 MEAN",WTPCore2_LevelValues,0))</f>
        <v>1.8366495603833657E-2</v>
      </c>
      <c r="I47" s="431">
        <f ca="1">INDEX(INDIRECT("SSW_WTPCore2_"&amp;$B47&amp;"_LevelValues"),2,MATCH("S2 MEAN",WTPCore2_LevelValues,0))</f>
        <v>6.6875105310339848E-3</v>
      </c>
      <c r="J47" s="323">
        <f ca="1">SUM(H47:I47)</f>
        <v>2.5054006134867642E-2</v>
      </c>
      <c r="K47" s="213">
        <f ca="1">E47*(F47-G47)/AllProps_SSW</f>
        <v>21.008795714975633</v>
      </c>
      <c r="L47" s="429">
        <f ca="1">INDEX(INDIRECT("SSW_WTPCore_DCE_"&amp;$B47&amp;"_UnitValues"),MATCH("COMBINED-NHH",WTPCore_Group,0),MATCH("MEAN",LMH,0))</f>
        <v>18818.001702127662</v>
      </c>
      <c r="M47" s="89">
        <f ca="1">L47*(F47-G47)/NHHProps_SSW</f>
        <v>22.12</v>
      </c>
      <c r="N47" s="89">
        <f ca="1">INDEX(INDIRECT("SSW_WTPCore2_"&amp;$B47&amp;"_UnitValues"),2,MATCH("MEAN",LMH,0))</f>
        <v>94293.266018211216</v>
      </c>
      <c r="O47" s="89">
        <f ca="1">N47*(F47-G47)/NHHProps_SSW</f>
        <v>110.83892314065444</v>
      </c>
      <c r="P47" s="324">
        <f t="shared" ca="1" si="52"/>
        <v>66.611848420666419</v>
      </c>
      <c r="Q47" s="453" t="s">
        <v>1168</v>
      </c>
      <c r="R47" s="391">
        <f ca="1">P47*NHHProps_SSW/((F47-G47))</f>
        <v>56668.258452168637</v>
      </c>
      <c r="S47" s="620">
        <f ca="1">INDEX(INDIRECT("CAM_WTPCore2_"&amp;$B47&amp;"_Levels"),2,MATCH(S$4,WTPCore2_AttLevels,0))</f>
        <v>13.5</v>
      </c>
      <c r="T47" s="620">
        <f ca="1">INDEX(INDIRECT("CAM_WTPCore2_"&amp;$B47&amp;"_Levels"),2,MATCH(T$4,WTPCore2_AttLevels,0))</f>
        <v>6.75</v>
      </c>
      <c r="U47" s="512">
        <f ca="1">INDEX(INDIRECT("CAM_WTPCore2_"&amp;$B47&amp;"_LevelValues"),2,MATCH("S1 MEAN",WTPCore2_LevelValues,0))</f>
        <v>7.1569068986342493E-2</v>
      </c>
      <c r="V47" s="512">
        <f ca="1">INDEX(INDIRECT("CAM_WTPCore2_"&amp;$B47&amp;"_LevelValues"),2,MATCH("S2 MEAN",WTPCore2_LevelValues,0))</f>
        <v>3.5284810800562588E-2</v>
      </c>
      <c r="W47" s="643">
        <f ca="1">SUM(U47:V47)</f>
        <v>0.10685387978690508</v>
      </c>
      <c r="X47" s="386">
        <f ca="1">E47*(S47-T47)/AllProps_CAM</f>
        <v>15.855963702811579</v>
      </c>
      <c r="Y47" s="89">
        <f ca="1">INDEX(INDIRECT("CAM_WTPCore_"&amp;$B47&amp;"_UnitValues"),MATCH("COMBINED-NHH",WTPCore_Group,0),MATCH("MEAN",LMH,0))</f>
        <v>13034.382222222222</v>
      </c>
      <c r="Z47" s="89">
        <f ca="1">Y47*(S47-T47)/NHHProps_CAM</f>
        <v>10.24</v>
      </c>
      <c r="AA47" s="89">
        <f ca="1">INDEX(INDIRECT("CAM_WTPCore2_"&amp;$B47&amp;"_UnitValues"),2,MATCH("MEAN",LMH,0))</f>
        <v>696387.155534953</v>
      </c>
      <c r="AB47" s="89">
        <f ca="1">AA47*(S47-T47)/NHHProps_CAM</f>
        <v>547.09186450895402</v>
      </c>
      <c r="AC47" s="168">
        <f ca="1">X47*AA$50/X$49</f>
        <v>201.03760496544069</v>
      </c>
      <c r="AD47" s="453" t="s">
        <v>1168</v>
      </c>
      <c r="AE47" s="391">
        <f ca="1">AC47*NHHProps_CAM/((S47-T47))</f>
        <v>255898.53360934317</v>
      </c>
    </row>
    <row r="48" spans="1:31" x14ac:dyDescent="0.35">
      <c r="A48" s="7" t="s">
        <v>726</v>
      </c>
      <c r="B48" s="7" t="s">
        <v>154</v>
      </c>
      <c r="C48" s="7" t="str">
        <f>B48</f>
        <v>Wildlife</v>
      </c>
      <c r="D48" s="377" t="s">
        <v>155</v>
      </c>
      <c r="E48" s="124">
        <f ca="1">INDEX(INDIRECT("ExtWTP19_"&amp;$C48&amp;"_UnitValues"),MATCH(A$43, INDIRECT("ExtWTP19_Comps_"&amp;C48),0),MATCH("NHH",ExtWTP_Group,0))</f>
        <v>45874</v>
      </c>
      <c r="F48" s="444">
        <f ca="1">INDEX(INDIRECT("SSW_WTPCore2_"&amp;$B48&amp;"_Levels"),2,MATCH(F$4,WTPCore2_AttLevels,0))</f>
        <v>0</v>
      </c>
      <c r="G48" s="444">
        <f ca="1">INDEX(INDIRECT("SSW_WTPCore2_"&amp;$B48&amp;"_Levels"),2,MATCH(G$4,WTPCore2_AttLevels,0))</f>
        <v>50</v>
      </c>
      <c r="H48" s="431">
        <f ca="1">INDEX(INDIRECT("SSW_WTPCore2_"&amp;$B48&amp;"_LevelValues"),2,MATCH("S1 MEAN",WTPCore2_LevelValues,0))</f>
        <v>3.6163448555426433E-4</v>
      </c>
      <c r="I48" s="431">
        <f ca="1">INDEX(INDIRECT("SSW_WTPCore2_"&amp;$B48&amp;"_LevelValues"),2,MATCH("S2 MEAN",WTPCore2_LevelValues,0))</f>
        <v>1.464595009466312E-3</v>
      </c>
      <c r="J48" s="323">
        <f ca="1">SUM(H48:I48)</f>
        <v>1.8262294950205764E-3</v>
      </c>
      <c r="K48" s="213">
        <f ca="1">-E48*(F48-G48)/AllProps_SSW</f>
        <v>4.0280985204372834</v>
      </c>
      <c r="L48" s="429">
        <f ca="1">INDEX(INDIRECT("SSW_WTPCore_DCE_"&amp;$B48&amp;"_UnitValues"),MATCH("COMBINED-NHH",WTPCore_Group,0),MATCH("MEAN",LMH,0))</f>
        <v>6633.3456000000006</v>
      </c>
      <c r="M48" s="89">
        <f ca="1">-L48*(F48-G48)/NHHProps_SSW</f>
        <v>11.06</v>
      </c>
      <c r="N48" s="89">
        <f ca="1">INDEX(INDIRECT("SSW_WTPCore2_"&amp;$B48&amp;"_UnitValues"),2,MATCH("MEAN",LMH,0))</f>
        <v>4845.6045541539843</v>
      </c>
      <c r="O48" s="89">
        <f ca="1">-N48*(F48-G48)/NHHProps_SSW</f>
        <v>8.0792392859710294</v>
      </c>
      <c r="P48" s="324">
        <f t="shared" ca="1" si="52"/>
        <v>12.771750066359775</v>
      </c>
      <c r="Q48" s="453" t="s">
        <v>155</v>
      </c>
      <c r="R48" s="391">
        <f ca="1">-P48*NHHProps_SSW/((F48-G48))</f>
        <v>7659.984819799939</v>
      </c>
      <c r="S48" s="620">
        <f ca="1">INDEX(INDIRECT("CAM_WTPCore2_"&amp;$B48&amp;"_Levels"),2,MATCH(S$4,WTPCore2_AttLevels,0))</f>
        <v>0</v>
      </c>
      <c r="T48" s="620">
        <f ca="1">INDEX(INDIRECT("CAM_WTPCore2_"&amp;$B48&amp;"_Levels"),2,MATCH(T$4,WTPCore2_AttLevels,0))</f>
        <v>9</v>
      </c>
      <c r="U48" s="512">
        <f ca="1">INDEX(INDIRECT("CAM_WTPCore2_"&amp;$B48&amp;"_LevelValues"),2,MATCH("S1 MEAN",WTPCore2_LevelValues,0))</f>
        <v>1.500948855436721E-2</v>
      </c>
      <c r="V48" s="512">
        <f ca="1">INDEX(INDIRECT("CAM_WTPCore2_"&amp;$B48&amp;"_LevelValues"),2,MATCH("S2 MEAN",WTPCore2_LevelValues,0))</f>
        <v>5.3297158206472399E-3</v>
      </c>
      <c r="W48" s="643">
        <f ca="1">SUM(U48:V48)</f>
        <v>2.033920437501445E-2</v>
      </c>
      <c r="X48" s="386">
        <f ca="1">-E48*(S48-T48)/AllProps_CAM</f>
        <v>2.8577183437850411</v>
      </c>
      <c r="Y48" s="89">
        <f ca="1">INDEX(INDIRECT("CAM_WTPCore_"&amp;$B48&amp;"_UnitValues"),MATCH("COMBINED-NHH",WTPCore_Group,0),MATCH("MEAN",LMH,0))</f>
        <v>4399.1040000000003</v>
      </c>
      <c r="Z48" s="89">
        <f ca="1">-Y48*(S48-T48)/NHHProps_CAM</f>
        <v>4.6080000000000005</v>
      </c>
      <c r="AA48" s="89">
        <f ca="1">INDEX(INDIRECT("CAM_WTPCore2_"&amp;$B48&amp;"_UnitValues"),2,MATCH("MEAN",LMH,0))</f>
        <v>99415.861469937299</v>
      </c>
      <c r="AB48" s="89">
        <f ca="1">-AA48*(S48-T48)/NHHProps_CAM</f>
        <v>104.13672640007398</v>
      </c>
      <c r="AC48" s="168">
        <f t="shared" ca="1" si="53"/>
        <v>36.232982256290022</v>
      </c>
      <c r="AD48" s="453" t="s">
        <v>155</v>
      </c>
      <c r="AE48" s="391">
        <f ca="1">-AC48*NHHProps_CAM/((S48-T48))</f>
        <v>34590.420394004876</v>
      </c>
    </row>
    <row r="49" spans="1:31" x14ac:dyDescent="0.35">
      <c r="D49" s="377"/>
      <c r="E49" s="124"/>
      <c r="F49" s="16"/>
      <c r="G49" s="16"/>
      <c r="H49" s="16"/>
      <c r="I49" s="16"/>
      <c r="J49" s="330">
        <f ca="1">SUM(J44:J48)*AvgNHHBill_SSW</f>
        <v>129.06510991516896</v>
      </c>
      <c r="K49" s="331">
        <f ca="1">SUM(K44:K48)</f>
        <v>32.787960902079583</v>
      </c>
      <c r="L49" s="331"/>
      <c r="M49" s="331">
        <f ca="1">SUM(M44:M48)</f>
        <v>78.81876306918241</v>
      </c>
      <c r="N49" s="331"/>
      <c r="O49" s="331">
        <f ca="1">SUM(O44:O48)</f>
        <v>129.10050191516896</v>
      </c>
      <c r="P49" s="330">
        <f ca="1">SUM(P44:P48)</f>
        <v>103.95963249217569</v>
      </c>
      <c r="Q49" s="454"/>
      <c r="R49" s="466"/>
      <c r="S49" s="168"/>
      <c r="T49" s="168"/>
      <c r="U49" s="168"/>
      <c r="V49" s="168"/>
      <c r="W49" s="644">
        <f ca="1">SUM(W44:W48)*AvgNHHBill_CAM</f>
        <v>700.75718334794237</v>
      </c>
      <c r="X49" s="389">
        <f ca="1">SUM(X44:X48)</f>
        <v>30.931415379929955</v>
      </c>
      <c r="Y49" s="389"/>
      <c r="Z49" s="331">
        <f ca="1">SUM(Z44:Z48)</f>
        <v>83.227644778246386</v>
      </c>
      <c r="AA49" s="331"/>
      <c r="AB49" s="331">
        <f ca="1">SUM(AB44:AB48)</f>
        <v>701.1305667721083</v>
      </c>
      <c r="AC49" s="44">
        <f ca="1">SUM(AC44:AC48)</f>
        <v>392.17910577517739</v>
      </c>
      <c r="AE49" s="391"/>
    </row>
    <row r="50" spans="1:31" s="50" customFormat="1" x14ac:dyDescent="0.35">
      <c r="D50" s="379"/>
      <c r="E50" s="14"/>
      <c r="F50" s="384"/>
      <c r="G50" s="384"/>
      <c r="H50" s="384"/>
      <c r="I50" s="384"/>
      <c r="J50" s="409"/>
      <c r="K50" s="25"/>
      <c r="L50" s="25"/>
      <c r="M50" s="163" t="s">
        <v>361</v>
      </c>
      <c r="N50" s="546">
        <f ca="1">AVERAGE(M49,O49)</f>
        <v>103.95963249217569</v>
      </c>
      <c r="O50" s="163"/>
      <c r="P50" s="11"/>
      <c r="Q50" s="458"/>
      <c r="R50" s="467"/>
      <c r="S50" s="38"/>
      <c r="T50" s="38"/>
      <c r="U50" s="38"/>
      <c r="V50" s="38"/>
      <c r="W50" s="151"/>
      <c r="X50" s="25"/>
      <c r="Y50" s="25"/>
      <c r="Z50" s="163" t="s">
        <v>361</v>
      </c>
      <c r="AA50" s="546">
        <f ca="1">AVERAGE(Z49,AB49)</f>
        <v>392.17910577517733</v>
      </c>
      <c r="AB50" s="163"/>
      <c r="AC50" s="11"/>
      <c r="AD50" s="11"/>
      <c r="AE50" s="392"/>
    </row>
    <row r="51" spans="1:31" x14ac:dyDescent="0.35">
      <c r="A51" s="51" t="s">
        <v>95</v>
      </c>
      <c r="B51" s="51"/>
      <c r="D51" s="378"/>
      <c r="E51" s="218"/>
      <c r="F51" s="218"/>
      <c r="G51" s="218"/>
      <c r="H51" s="330"/>
      <c r="I51" s="330"/>
      <c r="J51" s="330"/>
      <c r="K51" s="389"/>
      <c r="L51" s="389"/>
      <c r="M51" s="389"/>
      <c r="N51" s="389"/>
      <c r="O51" s="389"/>
      <c r="P51" s="45"/>
      <c r="Q51" s="456"/>
      <c r="R51" s="468"/>
      <c r="S51" s="45"/>
      <c r="T51" s="45"/>
      <c r="U51" s="44"/>
      <c r="V51" s="44"/>
      <c r="W51" s="44"/>
      <c r="X51" s="389"/>
      <c r="Y51" s="389"/>
      <c r="Z51" s="389"/>
      <c r="AA51" s="389"/>
      <c r="AB51" s="389"/>
      <c r="AC51" s="45"/>
      <c r="AE51" s="393"/>
    </row>
    <row r="52" spans="1:31" x14ac:dyDescent="0.35">
      <c r="A52" s="7" t="s">
        <v>131</v>
      </c>
      <c r="B52" s="7" t="s">
        <v>132</v>
      </c>
      <c r="C52" s="7" t="str">
        <f>B52</f>
        <v>TasteSmell</v>
      </c>
      <c r="D52" s="377" t="s">
        <v>127</v>
      </c>
      <c r="E52" s="124">
        <f ca="1">INDEX(INDIRECT("ExtWTP19_"&amp;$C52&amp;"_UnitValues"),MATCH(A$51, INDIRECT("ExtWTP19_Comps_"&amp;C52),0),MATCH("NHH",ExtWTP_Group,0))</f>
        <v>234737</v>
      </c>
      <c r="F52" s="383">
        <f t="shared" ref="F52:G55" ca="1" si="56">INDEX(INDIRECT("SSW_WTPCore2_"&amp;$B52&amp;"_Levels"),2,MATCH(F$4,WTPCore2_AttLevels,0))</f>
        <v>1.6666666666666666E-2</v>
      </c>
      <c r="G52" s="383">
        <f t="shared" ca="1" si="56"/>
        <v>1.1111111111111112E-2</v>
      </c>
      <c r="H52" s="431">
        <f ca="1">INDEX(INDIRECT("SSW_WTPCore2_"&amp;$B52&amp;"_LevelValues"),2,MATCH("S1 MEAN",WTPCore2_LevelValues,0))</f>
        <v>3.6865032727528453E-3</v>
      </c>
      <c r="I52" s="431">
        <f ca="1">INDEX(INDIRECT("SSW_WTPCore2_"&amp;$B52&amp;"_LevelValues"),2,MATCH("S2 MEAN",WTPCore2_LevelValues,0))</f>
        <v>5.1592292451456759E-6</v>
      </c>
      <c r="J52" s="323">
        <f ca="1">SUM(H52:I52)</f>
        <v>3.691662501997991E-3</v>
      </c>
      <c r="K52" s="213">
        <f ca="1">E52*(F52-G52)</f>
        <v>1304.0944444444442</v>
      </c>
      <c r="L52" s="429">
        <f ca="1">INDEX(INDIRECT("SSW_WTPCore_DCE_"&amp;$B52&amp;"_UnitValues"),MATCH("COMBINED-NHH",WTPCore_Group,0),MATCH("MEAN",LMH,0))</f>
        <v>59.451088669301917</v>
      </c>
      <c r="M52" s="89">
        <f ca="1">L52*($F52-$G52)*(AllProps_SSW/NHHProps_SSW)</f>
        <v>6.2715708812260536</v>
      </c>
      <c r="N52" s="89">
        <f ca="1">INDEX(INDIRECT("SSW_WTPCore2_"&amp;$B52&amp;"_UnitValues"),2,MATCH("MEAN",LMH,0))</f>
        <v>154.81769077846621</v>
      </c>
      <c r="O52" s="89">
        <f ca="1">N52*($F52-$G52)*(AllProps_SSW/NHHProps_SSW)</f>
        <v>16.331914908839114</v>
      </c>
      <c r="P52" s="16">
        <f ca="1">K52*$N$57/K$56</f>
        <v>84.829357717194085</v>
      </c>
      <c r="Q52" s="453" t="s">
        <v>127</v>
      </c>
      <c r="R52" s="391">
        <f ca="1">P52*NHHProps_SSW/((F52-G52)*AllProps_SSW)</f>
        <v>804.13627828103608</v>
      </c>
      <c r="S52" s="615">
        <f t="shared" ref="S52:T55" ca="1" si="57">INDEX(INDIRECT("CAM_WTPCore2_"&amp;$B52&amp;"_Levels"),2,MATCH(S$4,WTPCore2_AttLevels,0))</f>
        <v>1.4285714285714285E-2</v>
      </c>
      <c r="T52" s="615">
        <f t="shared" ca="1" si="57"/>
        <v>0.01</v>
      </c>
      <c r="U52" s="512">
        <f ca="1">INDEX(INDIRECT("CAM_WTPCore2_"&amp;$B52&amp;"_LevelValues"),2,MATCH("S1 MEAN",WTPCore2_LevelValues,0))</f>
        <v>4.257264223936371E-2</v>
      </c>
      <c r="V52" s="512">
        <f ca="1">INDEX(INDIRECT("CAM_WTPCore2_"&amp;$B52&amp;"_LevelValues"),2,MATCH("S2 MEAN",WTPCore2_LevelValues,0))</f>
        <v>1.0971349631991048E-2</v>
      </c>
      <c r="W52" s="643">
        <f ca="1">SUM(U52:V52)</f>
        <v>5.3543991871354758E-2</v>
      </c>
      <c r="X52" s="386">
        <f ca="1">E52*(S52-T52)</f>
        <v>1006.0157142857141</v>
      </c>
      <c r="Y52" s="89">
        <f ca="1">INDEX(INDIRECT("CAM_WTPCore_"&amp;$B52&amp;"_UnitValues"),MATCH("COMBINED-NHH",WTPCore_Group,0),MATCH("MEAN",LMH,0))</f>
        <v>152.24552514639311</v>
      </c>
      <c r="Z52" s="89">
        <f ca="1">Y52*($S52-$T52)*(AllProps_CAM/NHHProps_CAM)</f>
        <v>10.97142857142857</v>
      </c>
      <c r="AA52" s="89">
        <f ca="1">INDEX(INDIRECT("CAM_WTPCore2_"&amp;$B52&amp;"_UnitValues"),2,MATCH("MEAN",LMH,0))</f>
        <v>3804.1888084146854</v>
      </c>
      <c r="AB52" s="89">
        <f ca="1">AA52*($S52-$T52)*(AllProps_CAM/NHHProps_CAM)</f>
        <v>274.14523838133641</v>
      </c>
      <c r="AC52" s="168">
        <f ca="1">X52*AA$57/X$56</f>
        <v>427.03494286814328</v>
      </c>
      <c r="AD52" s="453" t="s">
        <v>127</v>
      </c>
      <c r="AE52" s="391">
        <f ca="1">AC52*NHHProps_CAM/((S52-T52)*AllProps_CAM)</f>
        <v>5925.7697126268658</v>
      </c>
    </row>
    <row r="53" spans="1:31" x14ac:dyDescent="0.35">
      <c r="A53" s="7" t="s">
        <v>849</v>
      </c>
      <c r="B53" s="7" t="s">
        <v>138</v>
      </c>
      <c r="C53" s="7" t="s">
        <v>1009</v>
      </c>
      <c r="D53" s="377" t="s">
        <v>127</v>
      </c>
      <c r="E53" s="124">
        <f ca="1">INDEX(INDIRECT("ExtWTP19_"&amp;$C53&amp;"_UnitValues"),MATCH(A$51, INDIRECT("ExtWTP19_Comps_"&amp;C53),0),MATCH("NHH",ExtWTP_Group,0))</f>
        <v>961</v>
      </c>
      <c r="F53" s="383">
        <f t="shared" ca="1" si="56"/>
        <v>1.2500000000000001E-2</v>
      </c>
      <c r="G53" s="383">
        <f t="shared" ca="1" si="56"/>
        <v>8.3333333333333332E-3</v>
      </c>
      <c r="H53" s="431">
        <f ca="1">INDEX(INDIRECT("SSW_WTPCore2_"&amp;$B53&amp;"_LevelValues"),2,MATCH("S1 MEAN",WTPCore2_LevelValues,0))</f>
        <v>2.3562800507588295E-4</v>
      </c>
      <c r="I53" s="431">
        <f ca="1">INDEX(INDIRECT("SSW_WTPCore2_"&amp;$B53&amp;"_LevelValues"),2,MATCH("S2 MEAN",WTPCore2_LevelValues,0))</f>
        <v>4.1117889914467278E-4</v>
      </c>
      <c r="J53" s="323">
        <f ca="1">SUM(H53:I53)</f>
        <v>6.4680690422055573E-4</v>
      </c>
      <c r="K53" s="213">
        <f ca="1">E53*(F53-G53)</f>
        <v>4.0041666666666673</v>
      </c>
      <c r="L53" s="429">
        <f ca="1">INDEX(INDIRECT("SSW_WTPCore_DCE_"&amp;$B53&amp;"_UnitValues"),MATCH("COMBINED-NHH",WTPCore_Group,0),MATCH("MEAN",LMH,0))</f>
        <v>260.23872775996313</v>
      </c>
      <c r="M53" s="89">
        <f ca="1">L53*($F53-$G53)*(AllProps_SSW/NHHProps_SSW)</f>
        <v>20.589685534591201</v>
      </c>
      <c r="N53" s="89">
        <f ca="1">INDEX(INDIRECT("SSW_WTPCore2_"&amp;$B53&amp;"_UnitValues"),2,MATCH("MEAN",LMH,0))</f>
        <v>36.166957745748803</v>
      </c>
      <c r="O53" s="89">
        <f ca="1">N53*($F53-$G53)*(AllProps_SSW/NHHProps_SSW)</f>
        <v>2.8614737442717386</v>
      </c>
      <c r="P53" s="16">
        <f t="shared" ref="P53:P55" ca="1" si="58">K53*$N$57/K$56</f>
        <v>0.26046494406364429</v>
      </c>
      <c r="Q53" s="453" t="s">
        <v>127</v>
      </c>
      <c r="R53" s="391">
        <f ca="1">P53*NHHProps_SSW/((F53-G53)*AllProps_SSW)</f>
        <v>3.2920884369659489</v>
      </c>
      <c r="S53" s="615">
        <f t="shared" ca="1" si="57"/>
        <v>2.5000000000000001E-2</v>
      </c>
      <c r="T53" s="615">
        <f t="shared" ca="1" si="57"/>
        <v>1.6666666666666666E-2</v>
      </c>
      <c r="U53" s="512">
        <f ca="1">INDEX(INDIRECT("CAM_WTPCore2_"&amp;$B53&amp;"_LevelValues"),2,MATCH("S1 MEAN",WTPCore2_LevelValues,0))</f>
        <v>2.654718763279678E-4</v>
      </c>
      <c r="V53" s="512">
        <f ca="1">INDEX(INDIRECT("CAM_WTPCore2_"&amp;$B53&amp;"_LevelValues"),2,MATCH("S2 MEAN",WTPCore2_LevelValues,0))</f>
        <v>1.3401602008677625E-5</v>
      </c>
      <c r="W53" s="643">
        <f ca="1">SUM(U53:V53)</f>
        <v>2.7887347833664542E-4</v>
      </c>
      <c r="X53" s="386">
        <f ca="1">E53*(S53-T53)</f>
        <v>8.0083333333333346</v>
      </c>
      <c r="Y53" s="89">
        <f ca="1">INDEX(INDIRECT("CAM_WTPCore_"&amp;$B53&amp;"_UnitValues"),MATCH("COMBINED-NHH",WTPCore_Group,0),MATCH("MEAN",LMH,0))</f>
        <v>76.122762573196539</v>
      </c>
      <c r="Z53" s="89">
        <f ca="1">Y53*($S53-$T53)*(AllProps_CAM/NHHProps_CAM)</f>
        <v>10.666666666666668</v>
      </c>
      <c r="AA53" s="89">
        <f ca="1">INDEX(INDIRECT("CAM_WTPCore2_"&amp;$B53&amp;"_UnitValues"),2,MATCH("MEAN",LMH,0))</f>
        <v>10.189737398103325</v>
      </c>
      <c r="AB53" s="89">
        <f ca="1">AA53*($S53-$T53)*(AllProps_CAM/NHHProps_CAM)</f>
        <v>1.4278322090836246</v>
      </c>
      <c r="AC53" s="168">
        <f t="shared" ref="AC53:AC55" ca="1" si="59">X53*AA$57/X$56</f>
        <v>3.3993884180001928</v>
      </c>
      <c r="AD53" s="453" t="s">
        <v>127</v>
      </c>
      <c r="AE53" s="391">
        <f ca="1">AC53*NHHProps_CAM/((S53-T53)*AllProps_CAM)</f>
        <v>24.259766009765894</v>
      </c>
    </row>
    <row r="54" spans="1:31" x14ac:dyDescent="0.35">
      <c r="A54" s="7" t="s">
        <v>1010</v>
      </c>
      <c r="B54" s="7" t="s">
        <v>144</v>
      </c>
      <c r="C54" s="7" t="str">
        <f>B54</f>
        <v>TempBan</v>
      </c>
      <c r="D54" s="377" t="s">
        <v>127</v>
      </c>
      <c r="E54" s="124">
        <f ca="1">INDEX(INDIRECT("ExtWTP19_NEUseBan_UnitValues"),1,2)</f>
        <v>346</v>
      </c>
      <c r="F54" s="383">
        <f t="shared" ca="1" si="56"/>
        <v>2.5000000000000001E-2</v>
      </c>
      <c r="G54" s="383">
        <f t="shared" ca="1" si="56"/>
        <v>1.6666666666666666E-2</v>
      </c>
      <c r="H54" s="431">
        <f ca="1">INDEX(INDIRECT("SSW_WTPCore2_"&amp;$B54&amp;"_LevelValues"),2,MATCH("S1 MEAN",WTPCore2_LevelValues,0))</f>
        <v>1.0363458862342743E-3</v>
      </c>
      <c r="I54" s="431">
        <f ca="1">INDEX(INDIRECT("SSW_WTPCore2_"&amp;$B54&amp;"_LevelValues"),2,MATCH("S2 MEAN",WTPCore2_LevelValues,0))</f>
        <v>6.2724159084084235E-4</v>
      </c>
      <c r="J54" s="323">
        <f ca="1">SUM(H54:I54)</f>
        <v>1.6635874770751166E-3</v>
      </c>
      <c r="K54" s="213">
        <f ca="1">E54*(F54-G54)</f>
        <v>2.8833333333333337</v>
      </c>
      <c r="L54" s="429">
        <f ca="1">INDEX(INDIRECT("SSW_WTPCore_DCE_"&amp;$B54&amp;"_UnitValues"),MATCH("COMBINED-NHH",WTPCore_Group,0),MATCH("MEAN",LMH,0))</f>
        <v>159200.29439999998</v>
      </c>
      <c r="M54" s="89">
        <f ca="1">L54*(F54-G54)/NHHProps_SSW</f>
        <v>4.4240000000000002E-2</v>
      </c>
      <c r="N54" s="89">
        <f ca="1">INDEX(INDIRECT("SSW_WTPCore2_"&amp;$B54&amp;"_UnitValues"),2,MATCH("MEAN",LMH,0))</f>
        <v>264843.61611051176</v>
      </c>
      <c r="O54" s="89">
        <f ca="1">N54*(F54-G54)/NHHProps_SSW*100</f>
        <v>7.3597109985803169</v>
      </c>
      <c r="P54" s="16">
        <f t="shared" ca="1" si="58"/>
        <v>0.18755644255155238</v>
      </c>
      <c r="Q54" s="457" t="s">
        <v>145</v>
      </c>
      <c r="R54" s="391">
        <f ca="1">P54*NHHProps_SSW/((F54-G54)*100)</f>
        <v>6749.3311190831419</v>
      </c>
      <c r="S54" s="615">
        <f t="shared" ca="1" si="57"/>
        <v>0.02</v>
      </c>
      <c r="T54" s="615">
        <f t="shared" ca="1" si="57"/>
        <v>1.3333333333333334E-2</v>
      </c>
      <c r="U54" s="512">
        <f ca="1">INDEX(INDIRECT("CAM_WTPCore2_"&amp;$B54&amp;"_LevelValues"),2,MATCH("S1 MEAN",WTPCore2_LevelValues,0))</f>
        <v>1.3694025744847137E-3</v>
      </c>
      <c r="V54" s="512">
        <f ca="1">INDEX(INDIRECT("CAM_WTPCore2_"&amp;$B54&amp;"_LevelValues"),2,MATCH("S2 MEAN",WTPCore2_LevelValues,0))</f>
        <v>1.1073984405910726E-3</v>
      </c>
      <c r="W54" s="643">
        <f ca="1">SUM(U54:V54)</f>
        <v>2.4768010150757864E-3</v>
      </c>
      <c r="X54" s="386">
        <f ca="1">E54*(S54-T54)</f>
        <v>2.3066666666666666</v>
      </c>
      <c r="Y54" s="89">
        <f ca="1">INDEX(INDIRECT("CAM_WTPCore_"&amp;$B54&amp;"_UnitValues"),MATCH("COMBINED-NHH",WTPCore_Group,0),MATCH("MEAN",LMH,0))</f>
        <v>950206.4639999998</v>
      </c>
      <c r="Z54" s="89">
        <f ca="1">Y54*(S54-T54)/NHHProps_CAM*100</f>
        <v>73.727999999999966</v>
      </c>
      <c r="AA54" s="89">
        <f ca="1">INDEX(INDIRECT("CAM_WTPCore2_"&amp;$B54&amp;"_UnitValues"),2,MATCH("MEAN",LMH,0))</f>
        <v>163435.57878935931</v>
      </c>
      <c r="AB54" s="89">
        <f ca="1">AA54*(S54-T54)/NHHProps_CAM*100</f>
        <v>12.681221197188025</v>
      </c>
      <c r="AC54" s="168">
        <f t="shared" ca="1" si="59"/>
        <v>0.97913705941982643</v>
      </c>
      <c r="AD54" s="457" t="s">
        <v>145</v>
      </c>
      <c r="AE54" s="391">
        <f ca="1">AC54*NHHProps_CAM/((S54-T54)*100)</f>
        <v>12619.118421802723</v>
      </c>
    </row>
    <row r="55" spans="1:31" x14ac:dyDescent="0.35">
      <c r="A55" s="7" t="s">
        <v>40</v>
      </c>
      <c r="B55" s="7" t="s">
        <v>40</v>
      </c>
      <c r="C55" s="7" t="str">
        <f>B55</f>
        <v>Leakage</v>
      </c>
      <c r="D55" s="377" t="s">
        <v>1168</v>
      </c>
      <c r="E55" s="124">
        <f ca="1">INDEX(INDIRECT("ExtWTP19_"&amp;$C55&amp;"_UnitValues"),MATCH(A$51, INDIRECT("ExtWTP19_Comps_"&amp;C55),0),MATCH("NHH",ExtWTP_Group,0))</f>
        <v>1969650</v>
      </c>
      <c r="F55" s="442">
        <f t="shared" ca="1" si="56"/>
        <v>70.5</v>
      </c>
      <c r="G55" s="442">
        <f t="shared" ca="1" si="56"/>
        <v>35.25</v>
      </c>
      <c r="H55" s="431">
        <f ca="1">INDEX(INDIRECT("SSW_WTPCore2_"&amp;$B55&amp;"_LevelValues"),2,MATCH("S1 MEAN",WTPCore2_LevelValues,0))</f>
        <v>1.8366495603833657E-2</v>
      </c>
      <c r="I55" s="431">
        <f ca="1">INDEX(INDIRECT("SSW_WTPCore2_"&amp;$B55&amp;"_LevelValues"),2,MATCH("S2 MEAN",WTPCore2_LevelValues,0))</f>
        <v>6.6875105310339848E-3</v>
      </c>
      <c r="J55" s="323">
        <f ca="1">SUM(H55:I55)</f>
        <v>2.5054006134867642E-2</v>
      </c>
      <c r="K55" s="213">
        <f ca="1">E55*(F55-G55)/AllProps_SSW</f>
        <v>121.93030249813408</v>
      </c>
      <c r="L55" s="429">
        <f ca="1">INDEX(INDIRECT("SSW_WTPCore_DCE_"&amp;$B55&amp;"_UnitValues"),MATCH("COMBINED-NHH",WTPCore_Group,0),MATCH("MEAN",LMH,0))</f>
        <v>18818.001702127662</v>
      </c>
      <c r="M55" s="89">
        <f ca="1">L55*(F55-G55)/NHHProps_SSW</f>
        <v>22.12</v>
      </c>
      <c r="N55" s="89">
        <f ca="1">INDEX(INDIRECT("SSW_WTPCore2_"&amp;$B55&amp;"_UnitValues"),2,MATCH("MEAN",LMH,0))</f>
        <v>94293.266018211216</v>
      </c>
      <c r="O55" s="89">
        <f ca="1">N55*(F55-G55)/NHHProps_SSW</f>
        <v>110.83892314065444</v>
      </c>
      <c r="P55" s="16">
        <f t="shared" ca="1" si="58"/>
        <v>7.9313805002721445</v>
      </c>
      <c r="Q55" s="453" t="s">
        <v>1168</v>
      </c>
      <c r="R55" s="391">
        <f ca="1">P55*NHHProps_SSW/((F55-G55))</f>
        <v>6747.4110196357751</v>
      </c>
      <c r="S55" s="620">
        <f t="shared" ca="1" si="57"/>
        <v>13.5</v>
      </c>
      <c r="T55" s="620">
        <f t="shared" ca="1" si="57"/>
        <v>6.75</v>
      </c>
      <c r="U55" s="512">
        <f ca="1">INDEX(INDIRECT("CAM_WTPCore2_"&amp;$B55&amp;"_LevelValues"),2,MATCH("S1 MEAN",WTPCore2_LevelValues,0))</f>
        <v>7.1569068986342493E-2</v>
      </c>
      <c r="V55" s="512">
        <f ca="1">INDEX(INDIRECT("CAM_WTPCore2_"&amp;$B55&amp;"_LevelValues"),2,MATCH("S2 MEAN",WTPCore2_LevelValues,0))</f>
        <v>3.5284810800562588E-2</v>
      </c>
      <c r="W55" s="643">
        <f ca="1">SUM(U55:V55)</f>
        <v>0.10685387978690508</v>
      </c>
      <c r="X55" s="386">
        <f ca="1">E55*(S55-T55)/AllProps_CAM</f>
        <v>92.024430001245904</v>
      </c>
      <c r="Y55" s="89">
        <f ca="1">INDEX(INDIRECT("CAM_WTPCore_"&amp;$B55&amp;"_UnitValues"),MATCH("COMBINED-NHH",WTPCore_Group,0),MATCH("MEAN",LMH,0))</f>
        <v>13034.382222222222</v>
      </c>
      <c r="Z55" s="89">
        <f ca="1">Y55*(S55-T55)/NHHProps_CAM</f>
        <v>10.24</v>
      </c>
      <c r="AA55" s="89">
        <f ca="1">INDEX(INDIRECT("CAM_WTPCore2_"&amp;$B55&amp;"_UnitValues"),2,MATCH("MEAN",LMH,0))</f>
        <v>696387.155534953</v>
      </c>
      <c r="AB55" s="89">
        <f ca="1">AA55*(S55-T55)/NHHProps_CAM</f>
        <v>547.09186450895402</v>
      </c>
      <c r="AC55" s="168">
        <f t="shared" ca="1" si="59"/>
        <v>39.062657421765422</v>
      </c>
      <c r="AD55" s="453" t="s">
        <v>1168</v>
      </c>
      <c r="AE55" s="391">
        <f ca="1">AC55*NHHProps_CAM/((S55-T55))</f>
        <v>49722.422602638304</v>
      </c>
    </row>
    <row r="56" spans="1:31" x14ac:dyDescent="0.35">
      <c r="D56" s="377"/>
      <c r="E56" s="124"/>
      <c r="F56" s="16"/>
      <c r="G56" s="16"/>
      <c r="H56" s="16"/>
      <c r="I56" s="16"/>
      <c r="J56" s="330">
        <f ca="1">SUM(J52:J55)*AvgNHHBill_SSW</f>
        <v>137.39202279234561</v>
      </c>
      <c r="K56" s="331">
        <f ca="1">SUM(K52:K55)</f>
        <v>1432.9122469425783</v>
      </c>
      <c r="L56" s="331"/>
      <c r="M56" s="331">
        <f ca="1">SUM(M51:M55)</f>
        <v>49.025496415817258</v>
      </c>
      <c r="N56" s="331"/>
      <c r="O56" s="331">
        <f ca="1">SUM(O51:O55)</f>
        <v>137.39202279234561</v>
      </c>
      <c r="P56" s="330">
        <f ca="1">SUM(P52:P55)</f>
        <v>93.208759604081422</v>
      </c>
      <c r="Q56" s="459"/>
      <c r="R56" s="466"/>
      <c r="S56" s="168"/>
      <c r="T56" s="168"/>
      <c r="U56" s="168"/>
      <c r="V56" s="168"/>
      <c r="W56" s="44">
        <f ca="1">SUM(W52:W55)*AvgNHHBill_CAM</f>
        <v>835.34615629656196</v>
      </c>
      <c r="X56" s="389">
        <f ca="1">SUM(X52:X55)</f>
        <v>1108.35514428696</v>
      </c>
      <c r="Y56" s="389"/>
      <c r="Z56" s="331">
        <f ca="1">SUM(Z51:Z55)</f>
        <v>105.60609523809519</v>
      </c>
      <c r="AA56" s="331"/>
      <c r="AB56" s="331">
        <f ca="1">SUM(AB51:AB55)</f>
        <v>835.34615629656219</v>
      </c>
      <c r="AC56" s="44">
        <f ca="1">SUM(AC52:AC55)</f>
        <v>470.47612576732871</v>
      </c>
      <c r="AE56" s="391"/>
    </row>
    <row r="57" spans="1:31" s="50" customFormat="1" x14ac:dyDescent="0.35">
      <c r="D57" s="379"/>
      <c r="E57" s="14"/>
      <c r="F57" s="384"/>
      <c r="G57" s="384"/>
      <c r="H57" s="384"/>
      <c r="I57" s="384"/>
      <c r="J57" s="409"/>
      <c r="K57" s="25"/>
      <c r="L57" s="25"/>
      <c r="M57" s="163" t="s">
        <v>361</v>
      </c>
      <c r="N57" s="546">
        <f ca="1">AVERAGE(M56,O56)</f>
        <v>93.208759604081436</v>
      </c>
      <c r="O57" s="163"/>
      <c r="P57" s="11"/>
      <c r="Q57" s="458"/>
      <c r="R57" s="467"/>
      <c r="S57" s="38"/>
      <c r="T57" s="38"/>
      <c r="U57" s="38"/>
      <c r="V57" s="38"/>
      <c r="W57" s="151"/>
      <c r="X57" s="25"/>
      <c r="Y57" s="25"/>
      <c r="Z57" s="163" t="s">
        <v>361</v>
      </c>
      <c r="AA57" s="546">
        <f ca="1">AVERAGE(Z56,AB56)</f>
        <v>470.47612576732871</v>
      </c>
      <c r="AB57" s="163"/>
      <c r="AC57" s="11"/>
      <c r="AD57" s="11"/>
      <c r="AE57" s="392"/>
    </row>
    <row r="58" spans="1:31" x14ac:dyDescent="0.35">
      <c r="A58" s="51" t="s">
        <v>97</v>
      </c>
      <c r="B58" s="51"/>
      <c r="D58" s="378"/>
      <c r="E58" s="218"/>
      <c r="F58" s="218"/>
      <c r="G58" s="218"/>
      <c r="H58" s="330"/>
      <c r="I58" s="330"/>
      <c r="J58" s="330"/>
      <c r="K58" s="389"/>
      <c r="L58" s="389"/>
      <c r="M58" s="389"/>
      <c r="N58" s="389"/>
      <c r="O58" s="389"/>
      <c r="P58" s="45"/>
      <c r="Q58" s="456"/>
      <c r="R58" s="468"/>
      <c r="S58" s="45"/>
      <c r="T58" s="45"/>
      <c r="U58" s="44"/>
      <c r="V58" s="44"/>
      <c r="W58" s="44"/>
      <c r="X58" s="389"/>
      <c r="Y58" s="389"/>
      <c r="Z58" s="389"/>
      <c r="AA58" s="389"/>
      <c r="AB58" s="389"/>
      <c r="AC58" s="45"/>
      <c r="AE58" s="393"/>
    </row>
    <row r="59" spans="1:31" x14ac:dyDescent="0.35">
      <c r="A59" s="7" t="s">
        <v>849</v>
      </c>
      <c r="B59" s="7" t="s">
        <v>138</v>
      </c>
      <c r="C59" s="7" t="s">
        <v>1009</v>
      </c>
      <c r="D59" s="377" t="s">
        <v>127</v>
      </c>
      <c r="E59" s="124">
        <f ca="1">INDEX(INDIRECT("ExtWTP19_"&amp;$C59&amp;"_UnitValues"),MATCH(A$58, INDIRECT("ExtWTP19_Comps_"&amp;C59),0),MATCH("NHH",ExtWTP_Group,0))</f>
        <v>5161</v>
      </c>
      <c r="F59" s="383">
        <f t="shared" ref="F59:G62" ca="1" si="60">INDEX(INDIRECT("SSW_WTPCore2_"&amp;$B59&amp;"_Levels"),2,MATCH(F$4,WTPCore2_AttLevels,0))</f>
        <v>1.2500000000000001E-2</v>
      </c>
      <c r="G59" s="383">
        <f t="shared" ca="1" si="60"/>
        <v>8.3333333333333332E-3</v>
      </c>
      <c r="H59" s="431">
        <f ca="1">INDEX(INDIRECT("SSW_WTPCore2_"&amp;$B59&amp;"_LevelValues"),2,MATCH("S1 MEAN",WTPCore2_LevelValues,0))</f>
        <v>2.3562800507588295E-4</v>
      </c>
      <c r="I59" s="431">
        <f ca="1">INDEX(INDIRECT("SSW_WTPCore2_"&amp;$B59&amp;"_LevelValues"),2,MATCH("S2 MEAN",WTPCore2_LevelValues,0))</f>
        <v>4.1117889914467278E-4</v>
      </c>
      <c r="J59" s="323">
        <f ca="1">SUM(H59:I59)</f>
        <v>6.4680690422055573E-4</v>
      </c>
      <c r="K59" s="213">
        <f ca="1">E59*(F59-G59)</f>
        <v>21.50416666666667</v>
      </c>
      <c r="L59" s="429">
        <f ca="1">INDEX(INDIRECT("SSW_WTPCore_DCE_"&amp;$B59&amp;"_UnitValues"),MATCH("COMBINED-NHH",WTPCore_Group,0),MATCH("MEAN",LMH,0))</f>
        <v>260.23872775996313</v>
      </c>
      <c r="M59" s="89">
        <f ca="1">L59*($F59-$G59)*(AllProps_SSW/NHHProps_SSW)</f>
        <v>20.589685534591201</v>
      </c>
      <c r="N59" s="89">
        <f ca="1">INDEX(INDIRECT("SSW_WTPCore2_"&amp;$B59&amp;"_UnitValues"),2,MATCH("MEAN",LMH,0))</f>
        <v>36.166957745748803</v>
      </c>
      <c r="O59" s="89">
        <f ca="1">N59*($F59-$G59)*(AllProps_SSW/NHHProps_SSW)</f>
        <v>2.8614737442717386</v>
      </c>
      <c r="P59" s="16">
        <f ca="1">K59*N$64/K$63</f>
        <v>4.979228987125544</v>
      </c>
      <c r="Q59" s="453" t="s">
        <v>127</v>
      </c>
      <c r="R59" s="391">
        <f ca="1">P59*NHHProps_SSW/((F59-G59)*AllProps_SSW)</f>
        <v>62.933851741354857</v>
      </c>
      <c r="S59" s="615">
        <f t="shared" ref="S59:T62" ca="1" si="61">INDEX(INDIRECT("CAM_WTPCore2_"&amp;$B59&amp;"_Levels"),2,MATCH(S$4,WTPCore2_AttLevels,0))</f>
        <v>2.5000000000000001E-2</v>
      </c>
      <c r="T59" s="615">
        <f t="shared" ca="1" si="61"/>
        <v>1.6666666666666666E-2</v>
      </c>
      <c r="U59" s="512">
        <f ca="1">INDEX(INDIRECT("CAM_WTPCore2_"&amp;$B59&amp;"_LevelValues"),2,MATCH("S1 MEAN",WTPCore2_LevelValues,0))</f>
        <v>2.654718763279678E-4</v>
      </c>
      <c r="V59" s="512">
        <f ca="1">INDEX(INDIRECT("CAM_WTPCore2_"&amp;$B59&amp;"_LevelValues"),2,MATCH("S2 MEAN",WTPCore2_LevelValues,0))</f>
        <v>1.3401602008677625E-5</v>
      </c>
      <c r="W59" s="643">
        <f ca="1">SUM(U59:V59)</f>
        <v>2.7887347833664542E-4</v>
      </c>
      <c r="X59" s="386">
        <f ca="1">E59*(S59-T59)</f>
        <v>43.00833333333334</v>
      </c>
      <c r="Y59" s="89">
        <f ca="1">INDEX(INDIRECT("CAM_WTPCore_"&amp;$B59&amp;"_UnitValues"),MATCH("COMBINED-NHH",WTPCore_Group,0),MATCH("MEAN",LMH,0))</f>
        <v>76.122762573196539</v>
      </c>
      <c r="Z59" s="89">
        <f ca="1">Y59*($S59-$T59)*(AllProps_CAM/NHHProps_CAM)</f>
        <v>10.666666666666668</v>
      </c>
      <c r="AA59" s="89">
        <f ca="1">INDEX(INDIRECT("CAM_WTPCore2_"&amp;$B59&amp;"_UnitValues"),2,MATCH("MEAN",LMH,0))</f>
        <v>10.189737398103325</v>
      </c>
      <c r="AB59" s="89">
        <f ca="1">AA59*($S59-$T59)*(AllProps_CAM/NHHProps_CAM)</f>
        <v>1.4278322090836246</v>
      </c>
      <c r="AC59" s="168">
        <f ca="1">X59*AA$64/X$63</f>
        <v>50.746587014165662</v>
      </c>
      <c r="AD59" s="453" t="s">
        <v>127</v>
      </c>
      <c r="AE59" s="391">
        <f ca="1">AC59*NHHProps_CAM/((S59-T59)*AllProps_CAM)</f>
        <v>362.15347450119299</v>
      </c>
    </row>
    <row r="60" spans="1:31" x14ac:dyDescent="0.35">
      <c r="A60" s="7" t="s">
        <v>1010</v>
      </c>
      <c r="B60" s="7" t="s">
        <v>144</v>
      </c>
      <c r="C60" s="7" t="str">
        <f>B60</f>
        <v>TempBan</v>
      </c>
      <c r="D60" s="377" t="s">
        <v>127</v>
      </c>
      <c r="E60" s="124">
        <f ca="1">INDEX(INDIRECT("ExtWTP19_NEUseBan_UnitValues"),2,2)</f>
        <v>0</v>
      </c>
      <c r="F60" s="383">
        <f t="shared" ca="1" si="60"/>
        <v>2.5000000000000001E-2</v>
      </c>
      <c r="G60" s="383">
        <f t="shared" ca="1" si="60"/>
        <v>1.6666666666666666E-2</v>
      </c>
      <c r="H60" s="431">
        <f ca="1">INDEX(INDIRECT("SSW_WTPCore2_"&amp;$B60&amp;"_LevelValues"),2,MATCH("S1 MEAN",WTPCore2_LevelValues,0))</f>
        <v>1.0363458862342743E-3</v>
      </c>
      <c r="I60" s="431">
        <f ca="1">INDEX(INDIRECT("SSW_WTPCore2_"&amp;$B60&amp;"_LevelValues"),2,MATCH("S2 MEAN",WTPCore2_LevelValues,0))</f>
        <v>6.2724159084084235E-4</v>
      </c>
      <c r="J60" s="323">
        <f ca="1">SUM(H60:I60)</f>
        <v>1.6635874770751166E-3</v>
      </c>
      <c r="K60" s="213">
        <f ca="1">E60*(F60-G60)</f>
        <v>0</v>
      </c>
      <c r="L60" s="429">
        <f ca="1">INDEX(INDIRECT("SSW_WTPCore_DCE_"&amp;$B60&amp;"_UnitValues"),MATCH("COMBINED-NHH",WTPCore_Group,0),MATCH("MEAN",LMH,0))</f>
        <v>159200.29439999998</v>
      </c>
      <c r="M60" s="89">
        <f ca="1">L60*(F60-G60)/NHHProps_SSW</f>
        <v>4.4240000000000002E-2</v>
      </c>
      <c r="N60" s="89">
        <f ca="1">INDEX(INDIRECT("SSW_WTPCore2_"&amp;$B60&amp;"_UnitValues"),2,MATCH("MEAN",LMH,0))</f>
        <v>264843.61611051176</v>
      </c>
      <c r="O60" s="89">
        <f ca="1">N60*(F60-G60)/NHHProps_SSW*100</f>
        <v>7.3597109985803169</v>
      </c>
      <c r="P60" s="16">
        <f t="shared" ref="P60:P62" ca="1" si="62">K60*N$64/K$63</f>
        <v>0</v>
      </c>
      <c r="Q60" s="457" t="s">
        <v>145</v>
      </c>
      <c r="R60" s="391">
        <f ca="1">P60*NHHProps_SSW/((F60-G60)*100)</f>
        <v>0</v>
      </c>
      <c r="S60" s="615">
        <f t="shared" ca="1" si="61"/>
        <v>0.02</v>
      </c>
      <c r="T60" s="615">
        <f t="shared" ca="1" si="61"/>
        <v>1.3333333333333334E-2</v>
      </c>
      <c r="U60" s="512">
        <f ca="1">INDEX(INDIRECT("CAM_WTPCore2_"&amp;$B60&amp;"_LevelValues"),2,MATCH("S1 MEAN",WTPCore2_LevelValues,0))</f>
        <v>1.3694025744847137E-3</v>
      </c>
      <c r="V60" s="512">
        <f ca="1">INDEX(INDIRECT("CAM_WTPCore2_"&amp;$B60&amp;"_LevelValues"),2,MATCH("S2 MEAN",WTPCore2_LevelValues,0))</f>
        <v>1.1073984405910726E-3</v>
      </c>
      <c r="W60" s="643">
        <f ca="1">SUM(U60:V60)</f>
        <v>2.4768010150757864E-3</v>
      </c>
      <c r="X60" s="386">
        <f ca="1">E60*(S60-T60)</f>
        <v>0</v>
      </c>
      <c r="Y60" s="89">
        <f ca="1">INDEX(INDIRECT("CAM_WTPCore_"&amp;$B60&amp;"_UnitValues"),MATCH("COMBINED-NHH",WTPCore_Group,0),MATCH("MEAN",LMH,0))</f>
        <v>950206.4639999998</v>
      </c>
      <c r="Z60" s="89">
        <f ca="1">Y60*(S60-T60)/NHHProps_CAM*100</f>
        <v>73.727999999999966</v>
      </c>
      <c r="AA60" s="89">
        <f ca="1">INDEX(INDIRECT("CAM_WTPCore2_"&amp;$B60&amp;"_UnitValues"),2,MATCH("MEAN",LMH,0))</f>
        <v>163435.57878935931</v>
      </c>
      <c r="AB60" s="89">
        <f ca="1">AA60*(S60-T60)/NHHProps_CAM*100</f>
        <v>12.681221197188025</v>
      </c>
      <c r="AC60" s="168">
        <f t="shared" ref="AC60:AC62" ca="1" si="63">X60*AA$64/X$63</f>
        <v>0</v>
      </c>
      <c r="AD60" s="457" t="s">
        <v>145</v>
      </c>
      <c r="AE60" s="391">
        <f ca="1">AC60*NHHProps_CAM/((S60-T60)*100)</f>
        <v>0</v>
      </c>
    </row>
    <row r="61" spans="1:31" x14ac:dyDescent="0.35">
      <c r="A61" s="7" t="s">
        <v>40</v>
      </c>
      <c r="B61" s="7" t="s">
        <v>40</v>
      </c>
      <c r="C61" s="7" t="str">
        <f>B61</f>
        <v>Leakage</v>
      </c>
      <c r="D61" s="377" t="s">
        <v>1168</v>
      </c>
      <c r="E61" s="124">
        <f ca="1">INDEX(INDIRECT("ExtWTP19_"&amp;$C61&amp;"_UnitValues"),MATCH(A$58, INDIRECT("ExtWTP19_Comps_"&amp;C61),0),MATCH("NHH",ExtWTP_Group,0))</f>
        <v>5694943</v>
      </c>
      <c r="F61" s="444">
        <f t="shared" ca="1" si="60"/>
        <v>70.5</v>
      </c>
      <c r="G61" s="444">
        <f t="shared" ca="1" si="60"/>
        <v>35.25</v>
      </c>
      <c r="H61" s="431">
        <f ca="1">INDEX(INDIRECT("SSW_WTPCore2_"&amp;$B61&amp;"_LevelValues"),2,MATCH("S1 MEAN",WTPCore2_LevelValues,0))</f>
        <v>1.8366495603833657E-2</v>
      </c>
      <c r="I61" s="431">
        <f ca="1">INDEX(INDIRECT("SSW_WTPCore2_"&amp;$B61&amp;"_LevelValues"),2,MATCH("S2 MEAN",WTPCore2_LevelValues,0))</f>
        <v>6.6875105310339848E-3</v>
      </c>
      <c r="J61" s="323">
        <f ca="1">SUM(H61:I61)</f>
        <v>2.5054006134867642E-2</v>
      </c>
      <c r="K61" s="213">
        <f ca="1">E61*(F61-G61)/AllProps_SSW</f>
        <v>352.54289985511701</v>
      </c>
      <c r="L61" s="429">
        <f ca="1">INDEX(INDIRECT("SSW_WTPCore_DCE_"&amp;$B61&amp;"_UnitValues"),MATCH("COMBINED-NHH",WTPCore_Group,0),MATCH("MEAN",LMH,0))</f>
        <v>18818.001702127662</v>
      </c>
      <c r="M61" s="89">
        <f ca="1">L61*(F61-G61)/NHHProps_SSW</f>
        <v>22.12</v>
      </c>
      <c r="N61" s="89">
        <f ca="1">INDEX(INDIRECT("SSW_WTPCore2_"&amp;$B61&amp;"_UnitValues"),2,MATCH("MEAN",LMH,0))</f>
        <v>94293.266018211216</v>
      </c>
      <c r="O61" s="89">
        <f ca="1">N61*(F61-G61)/NHHProps_SSW</f>
        <v>110.83892314065444</v>
      </c>
      <c r="P61" s="16">
        <f ca="1">K61*N$64/K$63</f>
        <v>81.630311621649881</v>
      </c>
      <c r="Q61" s="453" t="s">
        <v>1168</v>
      </c>
      <c r="R61" s="391">
        <f ca="1">P61*NHHProps_SSW/((F61-G61))</f>
        <v>69444.816593192532</v>
      </c>
      <c r="S61" s="620">
        <f t="shared" ca="1" si="61"/>
        <v>13.5</v>
      </c>
      <c r="T61" s="620">
        <f t="shared" ca="1" si="61"/>
        <v>6.75</v>
      </c>
      <c r="U61" s="512">
        <f ca="1">INDEX(INDIRECT("CAM_WTPCore2_"&amp;$B61&amp;"_LevelValues"),2,MATCH("S1 MEAN",WTPCore2_LevelValues,0))</f>
        <v>7.1569068986342493E-2</v>
      </c>
      <c r="V61" s="512">
        <f ca="1">INDEX(INDIRECT("CAM_WTPCore2_"&amp;$B61&amp;"_LevelValues"),2,MATCH("S2 MEAN",WTPCore2_LevelValues,0))</f>
        <v>3.5284810800562588E-2</v>
      </c>
      <c r="W61" s="643">
        <f ca="1">SUM(U61:V61)</f>
        <v>0.10685387978690508</v>
      </c>
      <c r="X61" s="386">
        <f ca="1">E61*(S61-T61)/AllProps_CAM</f>
        <v>266.07462415382696</v>
      </c>
      <c r="Y61" s="89">
        <f ca="1">INDEX(INDIRECT("CAM_WTPCore_"&amp;$B61&amp;"_UnitValues"),MATCH("COMBINED-NHH",WTPCore_Group,0),MATCH("MEAN",LMH,0))</f>
        <v>13034.382222222222</v>
      </c>
      <c r="Z61" s="89">
        <f ca="1">Y61*(S61-T61)/NHHProps_CAM</f>
        <v>10.24</v>
      </c>
      <c r="AA61" s="89">
        <f ca="1">INDEX(INDIRECT("CAM_WTPCore2_"&amp;$B61&amp;"_UnitValues"),2,MATCH("MEAN",LMH,0))</f>
        <v>696387.155534953</v>
      </c>
      <c r="AB61" s="89">
        <f ca="1">AA61*(S61-T61)/NHHProps_CAM</f>
        <v>547.09186450895402</v>
      </c>
      <c r="AC61" s="168">
        <f t="shared" ca="1" si="63"/>
        <v>313.94797287851816</v>
      </c>
      <c r="AD61" s="453" t="s">
        <v>1168</v>
      </c>
      <c r="AE61" s="391">
        <f ca="1">AC61*NHHProps_CAM/((S61-T61))</f>
        <v>399620.88636625599</v>
      </c>
    </row>
    <row r="62" spans="1:31" x14ac:dyDescent="0.35">
      <c r="A62" s="7" t="s">
        <v>726</v>
      </c>
      <c r="B62" s="7" t="s">
        <v>154</v>
      </c>
      <c r="C62" s="7" t="str">
        <f>B62</f>
        <v>Wildlife</v>
      </c>
      <c r="D62" s="377" t="s">
        <v>155</v>
      </c>
      <c r="E62" s="124">
        <f ca="1">INDEX(INDIRECT("ExtWTP19_"&amp;$C62&amp;"_UnitValues"),MATCH(A$58, INDIRECT("ExtWTP19_Comps_"&amp;C62),0),MATCH("NHH",ExtWTP_Group,0))</f>
        <v>239385</v>
      </c>
      <c r="F62" s="444">
        <f t="shared" ca="1" si="60"/>
        <v>0</v>
      </c>
      <c r="G62" s="444">
        <f t="shared" ca="1" si="60"/>
        <v>50</v>
      </c>
      <c r="H62" s="431">
        <f ca="1">INDEX(INDIRECT("SSW_WTPCore2_"&amp;$B62&amp;"_LevelValues"),2,MATCH("S1 MEAN",WTPCore2_LevelValues,0))</f>
        <v>3.6163448555426433E-4</v>
      </c>
      <c r="I62" s="431">
        <f ca="1">INDEX(INDIRECT("SSW_WTPCore2_"&amp;$B62&amp;"_LevelValues"),2,MATCH("S2 MEAN",WTPCore2_LevelValues,0))</f>
        <v>1.464595009466312E-3</v>
      </c>
      <c r="J62" s="323">
        <f ca="1">SUM(H62:I62)</f>
        <v>1.8262294950205764E-3</v>
      </c>
      <c r="K62" s="213">
        <f ca="1">-E62*(F62-G62)/AllProps_SSW</f>
        <v>21.019888483997015</v>
      </c>
      <c r="L62" s="429">
        <f ca="1">INDEX(INDIRECT("SSW_WTPCore_DCE_"&amp;$B62&amp;"_UnitValues"),MATCH("COMBINED-NHH",WTPCore_Group,0),MATCH("MEAN",LMH,0))</f>
        <v>6633.3456000000006</v>
      </c>
      <c r="M62" s="89">
        <f ca="1">-L62*(F62-G62)/NHHProps_SSW</f>
        <v>11.06</v>
      </c>
      <c r="N62" s="89">
        <f ca="1">INDEX(INDIRECT("SSW_WTPCore2_"&amp;$B62&amp;"_UnitValues"),2,MATCH("MEAN",LMH,0))</f>
        <v>4845.6045541539843</v>
      </c>
      <c r="O62" s="89">
        <f ca="1">-N62*(F62-G62)/NHHProps_SSW</f>
        <v>8.0792392859710294</v>
      </c>
      <c r="P62" s="16">
        <f t="shared" ca="1" si="62"/>
        <v>4.8670957432589494</v>
      </c>
      <c r="Q62" s="453" t="s">
        <v>155</v>
      </c>
      <c r="R62" s="391">
        <f ca="1">-P62*NHHProps_SSW/((F62-G62))</f>
        <v>2919.0893429769872</v>
      </c>
      <c r="S62" s="620">
        <f t="shared" ca="1" si="61"/>
        <v>0</v>
      </c>
      <c r="T62" s="620">
        <f t="shared" ca="1" si="61"/>
        <v>9</v>
      </c>
      <c r="U62" s="512">
        <f ca="1">INDEX(INDIRECT("CAM_WTPCore2_"&amp;$B62&amp;"_LevelValues"),2,MATCH("S1 MEAN",WTPCore2_LevelValues,0))</f>
        <v>1.500948855436721E-2</v>
      </c>
      <c r="V62" s="512">
        <f ca="1">INDEX(INDIRECT("CAM_WTPCore2_"&amp;$B62&amp;"_LevelValues"),2,MATCH("S2 MEAN",WTPCore2_LevelValues,0))</f>
        <v>5.3297158206472399E-3</v>
      </c>
      <c r="W62" s="643">
        <f ca="1">SUM(U62:V62)</f>
        <v>2.033920437501445E-2</v>
      </c>
      <c r="X62" s="386">
        <f ca="1">-E62*(S62-T62)/AllProps_CAM</f>
        <v>14.912475601146227</v>
      </c>
      <c r="Y62" s="89">
        <f ca="1">INDEX(INDIRECT("CAM_WTPCore_"&amp;$B62&amp;"_UnitValues"),MATCH("COMBINED-NHH",WTPCore_Group,0),MATCH("MEAN",LMH,0))</f>
        <v>4399.1040000000003</v>
      </c>
      <c r="Z62" s="89">
        <f ca="1">-Y62*(S62-T62)/NHHProps_CAM</f>
        <v>4.6080000000000005</v>
      </c>
      <c r="AA62" s="89">
        <f ca="1">INDEX(INDIRECT("CAM_WTPCore2_"&amp;$B62&amp;"_UnitValues"),2,MATCH("MEAN",LMH,0))</f>
        <v>99415.861469937299</v>
      </c>
      <c r="AB62" s="89">
        <f ca="1">-AA62*(S62-T62)/NHHProps_CAM</f>
        <v>104.13672640007398</v>
      </c>
      <c r="AC62" s="168">
        <f t="shared" ca="1" si="63"/>
        <v>17.595595598299305</v>
      </c>
      <c r="AD62" s="453" t="s">
        <v>155</v>
      </c>
      <c r="AE62" s="391">
        <f ca="1">-AC62*NHHProps_CAM/((S62-T62))</f>
        <v>16797.928597843071</v>
      </c>
    </row>
    <row r="63" spans="1:31" x14ac:dyDescent="0.35">
      <c r="D63" s="377"/>
      <c r="E63" s="124"/>
      <c r="F63" s="383"/>
      <c r="G63" s="383"/>
      <c r="H63" s="16"/>
      <c r="I63" s="16"/>
      <c r="J63" s="330">
        <f ca="1">SUM(J59:J62)*AvgNHHBill_SSW</f>
        <v>129.13934716947753</v>
      </c>
      <c r="K63" s="331">
        <f ca="1">SUM(K59:K62)</f>
        <v>395.0669550057807</v>
      </c>
      <c r="L63" s="429"/>
      <c r="M63" s="331">
        <f ca="1">SUM(M58:M62)</f>
        <v>53.813925534591206</v>
      </c>
      <c r="N63" s="331"/>
      <c r="O63" s="331">
        <f ca="1">SUM(O58:O62)</f>
        <v>129.13934716947753</v>
      </c>
      <c r="P63" s="330">
        <f ca="1">SUM(P59:P60)</f>
        <v>4.979228987125544</v>
      </c>
      <c r="Q63" s="459"/>
      <c r="R63" s="469"/>
      <c r="S63" s="12"/>
      <c r="T63" s="12"/>
      <c r="U63" s="168"/>
      <c r="V63" s="168"/>
      <c r="W63" s="44">
        <f ca="1">SUM(W59:W62)*AvgNHHBill_CAM</f>
        <v>665.3376443152996</v>
      </c>
      <c r="X63" s="389">
        <f ca="1">SUM(X59:X62)</f>
        <v>323.99543308830653</v>
      </c>
      <c r="Y63" s="389"/>
      <c r="Z63" s="331">
        <f ca="1">SUM(Z58:Z62)</f>
        <v>99.242666666666636</v>
      </c>
      <c r="AA63" s="331"/>
      <c r="AB63" s="331">
        <f ca="1">SUM(AB58:AB62)</f>
        <v>665.3376443152996</v>
      </c>
      <c r="AC63" s="44">
        <f ca="1">SUM(AC59:AC62)</f>
        <v>382.29015549098312</v>
      </c>
      <c r="AE63" s="391"/>
    </row>
    <row r="64" spans="1:31" s="50" customFormat="1" x14ac:dyDescent="0.35">
      <c r="D64" s="379"/>
      <c r="E64" s="14"/>
      <c r="F64" s="384"/>
      <c r="G64" s="384"/>
      <c r="H64" s="384"/>
      <c r="I64" s="384"/>
      <c r="J64" s="409"/>
      <c r="K64" s="25"/>
      <c r="L64" s="25"/>
      <c r="M64" s="163" t="s">
        <v>361</v>
      </c>
      <c r="N64" s="546">
        <f ca="1">AVERAGE(M63,O63)</f>
        <v>91.476636352034376</v>
      </c>
      <c r="O64" s="163"/>
      <c r="P64" s="11"/>
      <c r="Q64" s="458"/>
      <c r="R64" s="467"/>
      <c r="S64" s="38"/>
      <c r="T64" s="38"/>
      <c r="U64" s="38"/>
      <c r="V64" s="38"/>
      <c r="W64" s="151"/>
      <c r="X64" s="25"/>
      <c r="Y64" s="25"/>
      <c r="Z64" s="163" t="s">
        <v>361</v>
      </c>
      <c r="AA64" s="546">
        <f ca="1">AVERAGE(Z63,AB63)</f>
        <v>382.29015549098312</v>
      </c>
      <c r="AB64" s="163"/>
      <c r="AC64" s="11"/>
      <c r="AD64" s="11"/>
      <c r="AE64" s="392"/>
    </row>
    <row r="65" spans="1:31" x14ac:dyDescent="0.35">
      <c r="A65" s="51" t="s">
        <v>98</v>
      </c>
      <c r="B65" s="51"/>
      <c r="D65" s="378"/>
      <c r="E65" s="218"/>
      <c r="F65" s="218"/>
      <c r="G65" s="218"/>
      <c r="H65" s="330"/>
      <c r="I65" s="330"/>
      <c r="J65" s="330"/>
      <c r="K65" s="389"/>
      <c r="L65" s="389"/>
      <c r="M65" s="389"/>
      <c r="N65" s="389"/>
      <c r="O65" s="389"/>
      <c r="P65" s="45"/>
      <c r="Q65" s="456"/>
      <c r="R65" s="468"/>
      <c r="S65" s="45"/>
      <c r="T65" s="45"/>
      <c r="U65" s="44"/>
      <c r="V65" s="44"/>
      <c r="W65" s="44"/>
      <c r="X65" s="389"/>
      <c r="Y65" s="389"/>
      <c r="Z65" s="389"/>
      <c r="AA65" s="389"/>
      <c r="AB65" s="389"/>
      <c r="AC65" s="45"/>
      <c r="AE65" s="393"/>
    </row>
    <row r="66" spans="1:31" x14ac:dyDescent="0.35">
      <c r="A66" s="7" t="s">
        <v>131</v>
      </c>
      <c r="B66" s="7" t="s">
        <v>132</v>
      </c>
      <c r="C66" s="7" t="str">
        <f>B66</f>
        <v>TasteSmell</v>
      </c>
      <c r="D66" s="377" t="s">
        <v>127</v>
      </c>
      <c r="E66" s="124">
        <f ca="1">INDEX(INDIRECT("ExtWTP19_"&amp;$C66&amp;"_UnitValues"),MATCH(A$65, INDIRECT("ExtWTP19_Comps_"&amp;C66),0),MATCH("NHH",ExtWTP_Group,0))</f>
        <v>3325</v>
      </c>
      <c r="F66" s="383">
        <f t="shared" ref="F66:G69" ca="1" si="64">INDEX(INDIRECT("SSW_WTPCore2_"&amp;$B66&amp;"_Levels"),2,MATCH(F$4,WTPCore2_AttLevels,0))</f>
        <v>1.6666666666666666E-2</v>
      </c>
      <c r="G66" s="383">
        <f t="shared" ca="1" si="64"/>
        <v>1.1111111111111112E-2</v>
      </c>
      <c r="H66" s="431">
        <f ca="1">INDEX(INDIRECT("SSW_WTPCore2_"&amp;$B66&amp;"_LevelValues"),2,MATCH("S1 MEAN",WTPCore2_LevelValues,0))</f>
        <v>3.6865032727528453E-3</v>
      </c>
      <c r="I66" s="431">
        <f ca="1">INDEX(INDIRECT("SSW_WTPCore2_"&amp;$B66&amp;"_LevelValues"),2,MATCH("S2 MEAN",WTPCore2_LevelValues,0))</f>
        <v>5.1592292451456759E-6</v>
      </c>
      <c r="J66" s="323">
        <f ca="1">SUM(H66:I66)</f>
        <v>3.691662501997991E-3</v>
      </c>
      <c r="K66" s="213">
        <f ca="1">E66*(F66-G66)</f>
        <v>18.472222222222221</v>
      </c>
      <c r="L66" s="429">
        <f ca="1">INDEX(INDIRECT("SSW_WTPCore_DCE_"&amp;$B66&amp;"_UnitValues"),MATCH("COMBINED-NHH",WTPCore_Group,0),MATCH("MEAN",LMH,0))</f>
        <v>59.451088669301917</v>
      </c>
      <c r="M66" s="89">
        <f ca="1">L66*($F66-$G66)*(AllProps_SSW/NHHProps_SSW)</f>
        <v>6.2715708812260536</v>
      </c>
      <c r="N66" s="89">
        <f ca="1">INDEX(INDIRECT("SSW_WTPCore2_"&amp;$B66&amp;"_UnitValues"),2,MATCH("MEAN",LMH,0))</f>
        <v>154.81769077846621</v>
      </c>
      <c r="O66" s="89">
        <f ca="1">N66*($F66-$G66)*(AllProps_SSW/NHHProps_SSW)</f>
        <v>16.331914908839114</v>
      </c>
      <c r="P66" s="16">
        <f ca="1">K66*N$71/K$70</f>
        <v>16.023869699021535</v>
      </c>
      <c r="Q66" s="453" t="s">
        <v>127</v>
      </c>
      <c r="R66" s="391">
        <f ca="1">P66*NHHProps_SSW/((F66-G66)*AllProps_SSW)</f>
        <v>151.89758935095301</v>
      </c>
      <c r="S66" s="615">
        <f t="shared" ref="S66:T69" ca="1" si="65">INDEX(INDIRECT("CAM_WTPCore2_"&amp;$B66&amp;"_Levels"),2,MATCH(S$4,WTPCore2_AttLevels,0))</f>
        <v>1.4285714285714285E-2</v>
      </c>
      <c r="T66" s="615">
        <f t="shared" ca="1" si="65"/>
        <v>0.01</v>
      </c>
      <c r="U66" s="512">
        <f ca="1">INDEX(INDIRECT("CAM_WTPCore2_"&amp;$B66&amp;"_LevelValues"),2,MATCH("S1 MEAN",WTPCore2_LevelValues,0))</f>
        <v>4.257264223936371E-2</v>
      </c>
      <c r="V66" s="512">
        <f ca="1">INDEX(INDIRECT("CAM_WTPCore2_"&amp;$B66&amp;"_LevelValues"),2,MATCH("S2 MEAN",WTPCore2_LevelValues,0))</f>
        <v>1.0971349631991048E-2</v>
      </c>
      <c r="W66" s="643">
        <f ca="1">SUM(U66:V66)</f>
        <v>5.3543991871354758E-2</v>
      </c>
      <c r="X66" s="386">
        <f ca="1">E66*(S66-T66)</f>
        <v>14.249999999999998</v>
      </c>
      <c r="Y66" s="89">
        <f ca="1">INDEX(INDIRECT("CAM_WTPCore_"&amp;$B66&amp;"_UnitValues"),MATCH("COMBINED-NHH",WTPCore_Group,0),MATCH("MEAN",LMH,0))</f>
        <v>152.24552514639311</v>
      </c>
      <c r="Z66" s="89">
        <f ca="1">Y66*($S66-$T66)*(AllProps_CAM/NHHProps_CAM)</f>
        <v>10.97142857142857</v>
      </c>
      <c r="AA66" s="89">
        <f ca="1">INDEX(INDIRECT("CAM_WTPCore2_"&amp;$B66&amp;"_UnitValues"),2,MATCH("MEAN",LMH,0))</f>
        <v>3804.1888084146854</v>
      </c>
      <c r="AB66" s="89">
        <f ca="1">AA66*($S66-$T66)*(AllProps_CAM/NHHProps_CAM)</f>
        <v>274.14523838133641</v>
      </c>
      <c r="AC66" s="168">
        <f ca="1">X66*AA$71/X$70</f>
        <v>46.482418454380223</v>
      </c>
      <c r="AD66" s="453" t="s">
        <v>127</v>
      </c>
      <c r="AE66" s="391">
        <f ca="1">AC66*NHHProps_CAM/((S66-T66)*AllProps_CAM)</f>
        <v>645.01538351081501</v>
      </c>
    </row>
    <row r="67" spans="1:31" x14ac:dyDescent="0.35">
      <c r="A67" s="7" t="s">
        <v>1174</v>
      </c>
      <c r="B67" s="7" t="s">
        <v>138</v>
      </c>
      <c r="C67" s="7" t="s">
        <v>1008</v>
      </c>
      <c r="D67" s="377" t="s">
        <v>127</v>
      </c>
      <c r="E67" s="124">
        <f ca="1">INDEX(INDIRECT("ExtWTP19_"&amp;$C67&amp;"_UnitValues"),MATCH(A$65, INDIRECT("ExtWTP19_Comps_"&amp;C67),0),MATCH("NHH",ExtWTP_Group,0))</f>
        <v>2524</v>
      </c>
      <c r="F67" s="383">
        <f t="shared" ca="1" si="64"/>
        <v>1.2500000000000001E-2</v>
      </c>
      <c r="G67" s="383">
        <f t="shared" ca="1" si="64"/>
        <v>8.3333333333333332E-3</v>
      </c>
      <c r="H67" s="431">
        <f ca="1">INDEX(INDIRECT("SSW_WTPCore2_"&amp;$B67&amp;"_LevelValues"),2,MATCH("S1 MEAN",WTPCore2_LevelValues,0))</f>
        <v>2.3562800507588295E-4</v>
      </c>
      <c r="I67" s="431">
        <f ca="1">INDEX(INDIRECT("SSW_WTPCore2_"&amp;$B67&amp;"_LevelValues"),2,MATCH("S2 MEAN",WTPCore2_LevelValues,0))</f>
        <v>4.1117889914467278E-4</v>
      </c>
      <c r="J67" s="323">
        <f ca="1">SUM(H67:I67)</f>
        <v>6.4680690422055573E-4</v>
      </c>
      <c r="K67" s="213">
        <f ca="1">E67*(F67-G67)</f>
        <v>10.516666666666669</v>
      </c>
      <c r="L67" s="429">
        <f ca="1">INDEX(INDIRECT("SSW_WTPCore_DCE_"&amp;$B67&amp;"_UnitValues"),MATCH("COMBINED-NHH",WTPCore_Group,0),MATCH("MEAN",LMH,0))</f>
        <v>260.23872775996313</v>
      </c>
      <c r="M67" s="89">
        <f ca="1">L67*($F67-$G67)*(AllProps_SSW/NHHProps_SSW)</f>
        <v>20.589685534591201</v>
      </c>
      <c r="N67" s="89">
        <f ca="1">INDEX(INDIRECT("SSW_WTPCore2_"&amp;$B67&amp;"_UnitValues"),2,MATCH("MEAN",LMH,0))</f>
        <v>36.166957745748803</v>
      </c>
      <c r="O67" s="89">
        <f ca="1">N67*($F67-$G67)*(AllProps_SSW/NHHProps_SSW)</f>
        <v>2.8614737442717386</v>
      </c>
      <c r="P67" s="16">
        <f t="shared" ref="P67:P69" ca="1" si="66">K67*N$71/K$70</f>
        <v>9.1227625083451969</v>
      </c>
      <c r="Q67" s="453" t="s">
        <v>127</v>
      </c>
      <c r="R67" s="391">
        <f ca="1">P67*NHHProps_SSW/((F67-G67)*AllProps_SSW)</f>
        <v>115.30511745016706</v>
      </c>
      <c r="S67" s="615">
        <f t="shared" ca="1" si="65"/>
        <v>2.5000000000000001E-2</v>
      </c>
      <c r="T67" s="615">
        <f t="shared" ca="1" si="65"/>
        <v>1.6666666666666666E-2</v>
      </c>
      <c r="U67" s="512">
        <f ca="1">INDEX(INDIRECT("CAM_WTPCore2_"&amp;$B67&amp;"_LevelValues"),2,MATCH("S1 MEAN",WTPCore2_LevelValues,0))</f>
        <v>2.654718763279678E-4</v>
      </c>
      <c r="V67" s="512">
        <f ca="1">INDEX(INDIRECT("CAM_WTPCore2_"&amp;$B67&amp;"_LevelValues"),2,MATCH("S2 MEAN",WTPCore2_LevelValues,0))</f>
        <v>1.3401602008677625E-5</v>
      </c>
      <c r="W67" s="643">
        <f ca="1">SUM(U67:V67)</f>
        <v>2.7887347833664542E-4</v>
      </c>
      <c r="X67" s="386">
        <f ca="1">E67*(S67-T67)</f>
        <v>21.033333333333339</v>
      </c>
      <c r="Y67" s="89">
        <f ca="1">INDEX(INDIRECT("CAM_WTPCore_"&amp;$B67&amp;"_UnitValues"),MATCH("COMBINED-NHH",WTPCore_Group,0),MATCH("MEAN",LMH,0))</f>
        <v>76.122762573196539</v>
      </c>
      <c r="Z67" s="89">
        <f ca="1">Y67*($S67-$T67)*(AllProps_CAM/NHHProps_CAM)</f>
        <v>10.666666666666668</v>
      </c>
      <c r="AA67" s="89">
        <f ca="1">INDEX(INDIRECT("CAM_WTPCore2_"&amp;$B67&amp;"_UnitValues"),2,MATCH("MEAN",LMH,0))</f>
        <v>10.189737398103325</v>
      </c>
      <c r="AB67" s="89">
        <f ca="1">AA67*($S67-$T67)*(AllProps_CAM/NHHProps_CAM)</f>
        <v>1.4278322090836246</v>
      </c>
      <c r="AC67" s="168">
        <f t="shared" ref="AC67:AC69" ca="1" si="67">X67*AA$71/X$70</f>
        <v>68.609136946699252</v>
      </c>
      <c r="AD67" s="453" t="s">
        <v>127</v>
      </c>
      <c r="AE67" s="391">
        <f ca="1">AC67*NHHProps_CAM/((S67-T67)*AllProps_CAM)</f>
        <v>489.62972270114193</v>
      </c>
    </row>
    <row r="68" spans="1:31" x14ac:dyDescent="0.35">
      <c r="A68" s="7" t="s">
        <v>1175</v>
      </c>
      <c r="B68" s="7" t="s">
        <v>138</v>
      </c>
      <c r="C68" s="7" t="s">
        <v>1007</v>
      </c>
      <c r="D68" s="377" t="s">
        <v>127</v>
      </c>
      <c r="E68" s="124">
        <f ca="1">INDEX(INDIRECT("ExtWTP19_"&amp;$C68&amp;"_UnitValues"),MATCH(A$65, INDIRECT("ExtWTP19_Comps_"&amp;C68),0),MATCH("NHH",ExtWTP_Group,0))</f>
        <v>2620</v>
      </c>
      <c r="F68" s="383">
        <f t="shared" ca="1" si="64"/>
        <v>1.2500000000000001E-2</v>
      </c>
      <c r="G68" s="383">
        <f t="shared" ca="1" si="64"/>
        <v>8.3333333333333332E-3</v>
      </c>
      <c r="H68" s="431">
        <f ca="1">INDEX(INDIRECT("SSW_WTPCore2_"&amp;$B68&amp;"_LevelValues"),2,MATCH("S1 MEAN",WTPCore2_LevelValues,0))</f>
        <v>2.3562800507588295E-4</v>
      </c>
      <c r="I68" s="431">
        <f ca="1">INDEX(INDIRECT("SSW_WTPCore2_"&amp;$B68&amp;"_LevelValues"),2,MATCH("S2 MEAN",WTPCore2_LevelValues,0))</f>
        <v>4.1117889914467278E-4</v>
      </c>
      <c r="J68" s="323">
        <f ca="1">SUM(H68:I68)</f>
        <v>6.4680690422055573E-4</v>
      </c>
      <c r="K68" s="213">
        <f ca="1">E68*(F68-G68)</f>
        <v>10.91666666666667</v>
      </c>
      <c r="L68" s="429">
        <f ca="1">INDEX(INDIRECT("SSW_WTPCore_DCE_"&amp;$B68&amp;"_UnitValues"),MATCH("COMBINED-NHH",WTPCore_Group,0),MATCH("MEAN",LMH,0))</f>
        <v>260.23872775996313</v>
      </c>
      <c r="M68" s="89">
        <f ca="1">L68*($F68-$G68)*(AllProps_SSW/NHHProps_SSW)</f>
        <v>20.589685534591201</v>
      </c>
      <c r="N68" s="89">
        <f ca="1">INDEX(INDIRECT("SSW_WTPCore2_"&amp;$B68&amp;"_UnitValues"),2,MATCH("MEAN",LMH,0))</f>
        <v>36.166957745748803</v>
      </c>
      <c r="O68" s="89">
        <f ca="1">N68*($F68-$G68)*(AllProps_SSW/NHHProps_SSW)</f>
        <v>2.8614737442717386</v>
      </c>
      <c r="P68" s="16">
        <f t="shared" ca="1" si="66"/>
        <v>9.4697455514518278</v>
      </c>
      <c r="Q68" s="453" t="s">
        <v>127</v>
      </c>
      <c r="R68" s="391">
        <f ca="1">P68*NHHProps_SSW/((F68-G68)*AllProps_SSW)</f>
        <v>119.69073205999908</v>
      </c>
      <c r="S68" s="615">
        <f t="shared" ca="1" si="65"/>
        <v>2.5000000000000001E-2</v>
      </c>
      <c r="T68" s="615">
        <f t="shared" ca="1" si="65"/>
        <v>1.6666666666666666E-2</v>
      </c>
      <c r="U68" s="512">
        <f ca="1">INDEX(INDIRECT("CAM_WTPCore2_"&amp;$B68&amp;"_LevelValues"),2,MATCH("S1 MEAN",WTPCore2_LevelValues,0))</f>
        <v>2.654718763279678E-4</v>
      </c>
      <c r="V68" s="512">
        <f ca="1">INDEX(INDIRECT("CAM_WTPCore2_"&amp;$B68&amp;"_LevelValues"),2,MATCH("S2 MEAN",WTPCore2_LevelValues,0))</f>
        <v>1.3401602008677625E-5</v>
      </c>
      <c r="W68" s="643">
        <f ca="1">SUM(U68:V68)</f>
        <v>2.7887347833664542E-4</v>
      </c>
      <c r="X68" s="386">
        <f ca="1">E68*(S68-T68)</f>
        <v>21.833333333333339</v>
      </c>
      <c r="Y68" s="89">
        <f ca="1">INDEX(INDIRECT("CAM_WTPCore_"&amp;$B68&amp;"_UnitValues"),MATCH("COMBINED-NHH",WTPCore_Group,0),MATCH("MEAN",LMH,0))</f>
        <v>76.122762573196539</v>
      </c>
      <c r="Z68" s="89">
        <f ca="1">Y68*($S68-$T68)*(AllProps_CAM/NHHProps_CAM)</f>
        <v>10.666666666666668</v>
      </c>
      <c r="AA68" s="89">
        <f ca="1">INDEX(INDIRECT("CAM_WTPCore2_"&amp;$B68&amp;"_UnitValues"),2,MATCH("MEAN",LMH,0))</f>
        <v>10.189737398103325</v>
      </c>
      <c r="AB68" s="89">
        <f ca="1">AA68*($S68-$T68)*(AllProps_CAM/NHHProps_CAM)</f>
        <v>1.4278322090836246</v>
      </c>
      <c r="AC68" s="168">
        <f t="shared" ca="1" si="67"/>
        <v>71.21867622834867</v>
      </c>
      <c r="AD68" s="453" t="s">
        <v>127</v>
      </c>
      <c r="AE68" s="391">
        <f ca="1">AC68*NHHProps_CAM/((S68-T68)*AllProps_CAM)</f>
        <v>508.2527232476196</v>
      </c>
    </row>
    <row r="69" spans="1:31" x14ac:dyDescent="0.35">
      <c r="A69" s="7" t="s">
        <v>1010</v>
      </c>
      <c r="B69" s="7" t="s">
        <v>144</v>
      </c>
      <c r="C69" s="7" t="str">
        <f>B69</f>
        <v>TempBan</v>
      </c>
      <c r="D69" s="377" t="s">
        <v>127</v>
      </c>
      <c r="E69" s="124">
        <f ca="1">INDEX(INDIRECT("ExtWTP19_NEUseBan_UnitValues"),3,2)</f>
        <v>531</v>
      </c>
      <c r="F69" s="383">
        <f t="shared" ca="1" si="64"/>
        <v>2.5000000000000001E-2</v>
      </c>
      <c r="G69" s="383">
        <f t="shared" ca="1" si="64"/>
        <v>1.6666666666666666E-2</v>
      </c>
      <c r="H69" s="431">
        <f ca="1">INDEX(INDIRECT("SSW_WTPCore2_"&amp;$B69&amp;"_LevelValues"),2,MATCH("S1 MEAN",WTPCore2_LevelValues,0))</f>
        <v>1.0363458862342743E-3</v>
      </c>
      <c r="I69" s="431">
        <f ca="1">INDEX(INDIRECT("SSW_WTPCore2_"&amp;$B69&amp;"_LevelValues"),2,MATCH("S2 MEAN",WTPCore2_LevelValues,0))</f>
        <v>6.2724159084084235E-4</v>
      </c>
      <c r="J69" s="323">
        <f ca="1">SUM(H69:I69)</f>
        <v>1.6635874770751166E-3</v>
      </c>
      <c r="K69" s="213">
        <f ca="1">E69*(F69-G69)</f>
        <v>4.4250000000000007</v>
      </c>
      <c r="L69" s="429">
        <f ca="1">INDEX(INDIRECT("SSW_WTPCore_DCE_"&amp;$B69&amp;"_UnitValues"),MATCH("COMBINED-NHH",WTPCore_Group,0),MATCH("MEAN",LMH,0))</f>
        <v>159200.29439999998</v>
      </c>
      <c r="M69" s="89">
        <f ca="1">L69*(F69-G69)/NHHProps_SSW</f>
        <v>4.4240000000000002E-2</v>
      </c>
      <c r="N69" s="89">
        <f ca="1">INDEX(INDIRECT("SSW_WTPCore2_"&amp;$B69&amp;"_UnitValues"),2,MATCH("MEAN",LMH,0))</f>
        <v>264843.61611051176</v>
      </c>
      <c r="O69" s="89">
        <f ca="1">N69*(F69-G69)/NHHProps_SSW*100</f>
        <v>7.3597109985803169</v>
      </c>
      <c r="P69" s="16">
        <f t="shared" ca="1" si="66"/>
        <v>3.8384999143671146</v>
      </c>
      <c r="Q69" s="457" t="s">
        <v>145</v>
      </c>
      <c r="R69" s="391">
        <f ca="1">P69*NHHProps_SSW/((F69-G69)*100)</f>
        <v>138130.72251844921</v>
      </c>
      <c r="S69" s="615">
        <f t="shared" ca="1" si="65"/>
        <v>0.02</v>
      </c>
      <c r="T69" s="615">
        <f t="shared" ca="1" si="65"/>
        <v>1.3333333333333334E-2</v>
      </c>
      <c r="U69" s="512">
        <f ca="1">INDEX(INDIRECT("CAM_WTPCore2_"&amp;$B69&amp;"_LevelValues"),2,MATCH("S1 MEAN",WTPCore2_LevelValues,0))</f>
        <v>1.3694025744847137E-3</v>
      </c>
      <c r="V69" s="512">
        <f ca="1">INDEX(INDIRECT("CAM_WTPCore2_"&amp;$B69&amp;"_LevelValues"),2,MATCH("S2 MEAN",WTPCore2_LevelValues,0))</f>
        <v>1.1073984405910726E-3</v>
      </c>
      <c r="W69" s="643">
        <f ca="1">SUM(U69:V69)</f>
        <v>2.4768010150757864E-3</v>
      </c>
      <c r="X69" s="386">
        <f ca="1">E69*(S69-T69)</f>
        <v>3.5399999999999996</v>
      </c>
      <c r="Y69" s="89">
        <f ca="1">INDEX(INDIRECT("CAM_WTPCore_"&amp;$B69&amp;"_UnitValues"),MATCH("COMBINED-NHH",WTPCore_Group,0),MATCH("MEAN",LMH,0))</f>
        <v>950206.4639999998</v>
      </c>
      <c r="Z69" s="89">
        <f ca="1">Y69*(S69-T69)/NHHProps_CAM*100</f>
        <v>73.727999999999966</v>
      </c>
      <c r="AA69" s="89">
        <f ca="1">INDEX(INDIRECT("CAM_WTPCore2_"&amp;$B69&amp;"_UnitValues"),2,MATCH("MEAN",LMH,0))</f>
        <v>163435.57878935931</v>
      </c>
      <c r="AB69" s="89">
        <f ca="1">AA69*(S69-T69)/NHHProps_CAM*100</f>
        <v>12.681221197188025</v>
      </c>
      <c r="AC69" s="168">
        <f t="shared" ca="1" si="67"/>
        <v>11.547211321298667</v>
      </c>
      <c r="AD69" s="457" t="s">
        <v>145</v>
      </c>
      <c r="AE69" s="391">
        <f ca="1">AC69*NHHProps_CAM/((S69-T69)*100)</f>
        <v>148820.45950889724</v>
      </c>
    </row>
    <row r="70" spans="1:31" x14ac:dyDescent="0.35">
      <c r="D70" s="377"/>
      <c r="E70" s="124"/>
      <c r="F70" s="383"/>
      <c r="G70" s="383"/>
      <c r="H70" s="16"/>
      <c r="I70" s="16"/>
      <c r="J70" s="330">
        <f ca="1">SUM(J66:J69)*AvgNHHBill_SSW</f>
        <v>29.414573395962908</v>
      </c>
      <c r="K70" s="331">
        <f ca="1">SUM(K66:K69)</f>
        <v>44.330555555555563</v>
      </c>
      <c r="L70" s="331"/>
      <c r="M70" s="331">
        <f ca="1">SUM(M65:M69)</f>
        <v>47.495181950408458</v>
      </c>
      <c r="N70" s="331"/>
      <c r="O70" s="331">
        <f ca="1">SUM(O65:O69)</f>
        <v>29.414573395962904</v>
      </c>
      <c r="P70" s="330">
        <f ca="1">SUM(P66:P69)</f>
        <v>38.454877673185671</v>
      </c>
      <c r="Q70" s="459"/>
      <c r="R70" s="469"/>
      <c r="S70" s="12"/>
      <c r="T70" s="12"/>
      <c r="U70" s="168"/>
      <c r="V70" s="168"/>
      <c r="W70" s="44">
        <f ca="1">SUM(W66:W69)*AvgNHHBill_CAM</f>
        <v>289.68212399669164</v>
      </c>
      <c r="X70" s="389">
        <f ca="1">SUM(X66:X69)</f>
        <v>60.656666666666673</v>
      </c>
      <c r="Y70" s="389"/>
      <c r="Z70" s="331">
        <f ca="1">SUM(Z65:Z69)</f>
        <v>106.03276190476187</v>
      </c>
      <c r="AA70" s="331"/>
      <c r="AB70" s="331">
        <f ca="1">SUM(AB65:AB69)</f>
        <v>289.68212399669176</v>
      </c>
      <c r="AC70" s="44">
        <f ca="1">SUM(AC66:AC69)</f>
        <v>197.85744295072681</v>
      </c>
      <c r="AE70" s="391"/>
    </row>
    <row r="71" spans="1:31" s="50" customFormat="1" x14ac:dyDescent="0.35">
      <c r="D71" s="379"/>
      <c r="E71" s="14"/>
      <c r="F71" s="384"/>
      <c r="G71" s="384"/>
      <c r="H71" s="384"/>
      <c r="I71" s="384"/>
      <c r="J71" s="409"/>
      <c r="K71" s="25"/>
      <c r="L71" s="25"/>
      <c r="M71" s="163" t="s">
        <v>361</v>
      </c>
      <c r="N71" s="546">
        <f ca="1">AVERAGE(M70,O70)</f>
        <v>38.454877673185678</v>
      </c>
      <c r="O71" s="163"/>
      <c r="P71" s="11"/>
      <c r="Q71" s="458"/>
      <c r="R71" s="467"/>
      <c r="S71" s="38"/>
      <c r="T71" s="38"/>
      <c r="U71" s="38"/>
      <c r="V71" s="38"/>
      <c r="W71" s="151"/>
      <c r="X71" s="25"/>
      <c r="Y71" s="25"/>
      <c r="Z71" s="163" t="s">
        <v>361</v>
      </c>
      <c r="AA71" s="546">
        <f ca="1">AVERAGE(Z70,AB70)</f>
        <v>197.85744295072681</v>
      </c>
      <c r="AB71" s="163"/>
      <c r="AC71" s="11"/>
      <c r="AD71" s="11"/>
      <c r="AE71" s="392"/>
    </row>
    <row r="72" spans="1:31" x14ac:dyDescent="0.35">
      <c r="A72" s="51" t="s">
        <v>100</v>
      </c>
      <c r="D72" s="377"/>
      <c r="E72" s="124"/>
      <c r="F72" s="16"/>
      <c r="G72" s="16"/>
      <c r="H72" s="16"/>
      <c r="I72" s="16"/>
      <c r="J72" s="324"/>
      <c r="K72" s="169"/>
      <c r="L72" s="169"/>
      <c r="M72" s="169"/>
      <c r="N72" s="169"/>
      <c r="O72" s="266"/>
      <c r="P72"/>
      <c r="R72" s="466"/>
      <c r="S72" s="168"/>
      <c r="T72" s="168"/>
      <c r="U72" s="168"/>
      <c r="V72" s="168"/>
      <c r="W72" s="512"/>
      <c r="X72" s="169"/>
      <c r="Y72" s="169"/>
      <c r="Z72" s="169"/>
      <c r="AA72" s="169"/>
      <c r="AB72" s="169"/>
      <c r="AC72"/>
      <c r="AE72" s="391"/>
    </row>
    <row r="73" spans="1:31" x14ac:dyDescent="0.35">
      <c r="A73" s="7" t="s">
        <v>129</v>
      </c>
      <c r="B73" s="7" t="s">
        <v>130</v>
      </c>
      <c r="C73" s="7" t="str">
        <f>B73</f>
        <v>Discolour</v>
      </c>
      <c r="D73" s="377" t="s">
        <v>127</v>
      </c>
      <c r="E73" s="124">
        <f t="shared" ref="E73:E80" ca="1" si="68">INDEX(INDIRECT("ExtWTP19_"&amp;$C73&amp;"_UnitValues"),MATCH(A$72, INDIRECT("ExtWTP19_Comps_"&amp;C73),0),MATCH("NHH",ExtWTP_Group,0))</f>
        <v>353</v>
      </c>
      <c r="F73" s="383">
        <f t="shared" ref="F73:G79" ca="1" si="69">INDEX(INDIRECT("SSW_WTPCore2_"&amp;$B73&amp;"_Levels"),2,MATCH(F$4,WTPCore2_AttLevels,0))</f>
        <v>6.6666666666666666E-2</v>
      </c>
      <c r="G73" s="383">
        <f t="shared" ca="1" si="69"/>
        <v>0.04</v>
      </c>
      <c r="H73" s="431">
        <f t="shared" ref="H73:H79" ca="1" si="70">INDEX(INDIRECT("SSW_WTPCore2_"&amp;$B73&amp;"_LevelValues"),2,MATCH("S1 MEAN",WTPCore2_LevelValues,0))</f>
        <v>1.9376915692789636E-2</v>
      </c>
      <c r="I73" s="431">
        <f t="shared" ref="I73:I79" ca="1" si="71">INDEX(INDIRECT("SSW_WTPCore2_"&amp;$B73&amp;"_LevelValues"),2,MATCH("S2 MEAN",WTPCore2_LevelValues,0))</f>
        <v>4.9841954334050795E-4</v>
      </c>
      <c r="J73" s="323">
        <f t="shared" ref="J73:J80" ca="1" si="72">SUM(H73:I73)</f>
        <v>1.9875335236130144E-2</v>
      </c>
      <c r="K73" s="213">
        <f t="shared" ref="K73:K79" ca="1" si="73">E73*(F73-G73)</f>
        <v>9.4133333333333322</v>
      </c>
      <c r="L73" s="429">
        <f t="shared" ref="L73:L80" ca="1" si="74">INDEX(INDIRECT("SSW_WTPCore_DCE_"&amp;$B73&amp;"_UnitValues"),MATCH("COMBINED-NHH",WTPCore_Group,0),MATCH("MEAN",LMH,0))</f>
        <v>37.156930418313699</v>
      </c>
      <c r="M73" s="89">
        <f ca="1">L73*($F73-$G73)*(AllProps_SSW/NHHProps_SSW)</f>
        <v>18.814712643678163</v>
      </c>
      <c r="N73" s="89">
        <f t="shared" ref="N73:N79" ca="1" si="75">INDEX(INDIRECT("SSW_WTPCore2_"&amp;$B73&amp;"_UnitValues"),2,MATCH("MEAN",LMH,0))</f>
        <v>173.64881354494736</v>
      </c>
      <c r="O73" s="89">
        <f ca="1">N73*($F73-$G73)*(AllProps_SSW/NHHProps_SSW)</f>
        <v>87.928483084639765</v>
      </c>
      <c r="P73" s="16">
        <f ca="1">K73*N$82/K$81</f>
        <v>21.932308408788948</v>
      </c>
      <c r="Q73" s="453" t="s">
        <v>127</v>
      </c>
      <c r="R73" s="391">
        <f ca="1">P73*NHHProps_SSW/((F73-G73)*AllProps_SSW)</f>
        <v>43.313829601973239</v>
      </c>
      <c r="S73" s="615">
        <f t="shared" ref="S73:T79" ca="1" si="76">INDEX(INDIRECT("CAM_WTPCore2_"&amp;$B73&amp;"_Levels"),2,MATCH(S$4,WTPCore2_AttLevels,0))</f>
        <v>2.2222222222222223E-2</v>
      </c>
      <c r="T73" s="615">
        <f t="shared" ca="1" si="76"/>
        <v>1.5384615384615385E-2</v>
      </c>
      <c r="U73" s="512">
        <f t="shared" ref="U73:U79" ca="1" si="77">INDEX(INDIRECT("CAM_WTPCore2_"&amp;$B73&amp;"_LevelValues"),2,MATCH("S1 MEAN",WTPCore2_LevelValues,0))</f>
        <v>5.6414013673365619E-2</v>
      </c>
      <c r="V73" s="512">
        <f t="shared" ref="V73:V79" ca="1" si="78">INDEX(INDIRECT("CAM_WTPCore2_"&amp;$B73&amp;"_LevelValues"),2,MATCH("S2 MEAN",WTPCore2_LevelValues,0))</f>
        <v>1.4754621463399648E-4</v>
      </c>
      <c r="W73" s="643">
        <f t="shared" ref="W73:W80" ca="1" si="79">SUM(U73:V73)</f>
        <v>5.6561559887999616E-2</v>
      </c>
      <c r="X73" s="386">
        <f t="shared" ref="X73:X79" ca="1" si="80">E73*(S73-T73)</f>
        <v>2.4136752136752135</v>
      </c>
      <c r="Y73" s="89">
        <f t="shared" ref="Y73:Y80" ca="1" si="81">INDEX(INDIRECT("CAM_WTPCore_"&amp;$B73&amp;"_UnitValues"),MATCH("COMBINED-NHH",WTPCore_Group,0),MATCH("MEAN",LMH,0))</f>
        <v>243.59284023422896</v>
      </c>
      <c r="Z73" s="89">
        <f ca="1">Y73*($S73-$T73)*(AllProps_CAM/NHHProps_CAM)</f>
        <v>28.006837606837603</v>
      </c>
      <c r="AA73" s="89">
        <f t="shared" ref="AA73:AA79" ca="1" si="82">INDEX(INDIRECT("CAM_WTPCore2_"&amp;$B73&amp;"_UnitValues"),2,MATCH("MEAN",LMH,0))</f>
        <v>2518.7889835624424</v>
      </c>
      <c r="AB73" s="89">
        <f ca="1">AA73*($S73-$T73)*(AllProps_CAM/NHHProps_CAM)</f>
        <v>289.59518662655807</v>
      </c>
      <c r="AC73" s="168">
        <f ca="1">X73*AA$82/X$81</f>
        <v>14.884575811536266</v>
      </c>
      <c r="AD73" s="453" t="s">
        <v>127</v>
      </c>
      <c r="AE73" s="391">
        <f ca="1">AC73*NHHProps_CAM/((S73-T73)*AllProps_CAM)</f>
        <v>129.46038922754434</v>
      </c>
    </row>
    <row r="74" spans="1:31" x14ac:dyDescent="0.35">
      <c r="A74" s="7" t="s">
        <v>131</v>
      </c>
      <c r="B74" s="7" t="s">
        <v>132</v>
      </c>
      <c r="C74" s="7" t="str">
        <f>B74</f>
        <v>TasteSmell</v>
      </c>
      <c r="D74" s="377" t="s">
        <v>127</v>
      </c>
      <c r="E74" s="124">
        <f t="shared" ca="1" si="68"/>
        <v>804</v>
      </c>
      <c r="F74" s="383">
        <f t="shared" ca="1" si="69"/>
        <v>1.6666666666666666E-2</v>
      </c>
      <c r="G74" s="383">
        <f t="shared" ca="1" si="69"/>
        <v>1.1111111111111112E-2</v>
      </c>
      <c r="H74" s="431">
        <f t="shared" ca="1" si="70"/>
        <v>3.6865032727528453E-3</v>
      </c>
      <c r="I74" s="431">
        <f t="shared" ca="1" si="71"/>
        <v>5.1592292451456759E-6</v>
      </c>
      <c r="J74" s="323">
        <f t="shared" ca="1" si="72"/>
        <v>3.691662501997991E-3</v>
      </c>
      <c r="K74" s="213">
        <f t="shared" ca="1" si="73"/>
        <v>4.4666666666666659</v>
      </c>
      <c r="L74" s="429">
        <f t="shared" ca="1" si="74"/>
        <v>59.451088669301917</v>
      </c>
      <c r="M74" s="89">
        <f ca="1">L74*($F74-$G74)*(AllProps_SSW/NHHProps_SSW)</f>
        <v>6.2715708812260536</v>
      </c>
      <c r="N74" s="89">
        <f t="shared" ca="1" si="75"/>
        <v>154.81769077846621</v>
      </c>
      <c r="O74" s="89">
        <f ca="1">N74*($F74-$G74)*(AllProps_SSW/NHHProps_SSW)</f>
        <v>16.331914908839114</v>
      </c>
      <c r="P74" s="16">
        <f t="shared" ref="P74:P80" ca="1" si="83">K74*N$82/K$81</f>
        <v>10.406973536748298</v>
      </c>
      <c r="Q74" s="453" t="s">
        <v>127</v>
      </c>
      <c r="R74" s="391">
        <f ca="1">P74*NHHProps_SSW/((F74-G74)*AllProps_SSW)</f>
        <v>98.652461756335668</v>
      </c>
      <c r="S74" s="615">
        <f t="shared" ca="1" si="76"/>
        <v>1.4285714285714285E-2</v>
      </c>
      <c r="T74" s="615">
        <f t="shared" ca="1" si="76"/>
        <v>0.01</v>
      </c>
      <c r="U74" s="512">
        <f t="shared" ca="1" si="77"/>
        <v>4.257264223936371E-2</v>
      </c>
      <c r="V74" s="512">
        <f t="shared" ca="1" si="78"/>
        <v>1.0971349631991048E-2</v>
      </c>
      <c r="W74" s="643">
        <f t="shared" ca="1" si="79"/>
        <v>5.3543991871354758E-2</v>
      </c>
      <c r="X74" s="386">
        <f t="shared" ca="1" si="80"/>
        <v>3.4457142857142853</v>
      </c>
      <c r="Y74" s="89">
        <f t="shared" ca="1" si="81"/>
        <v>152.24552514639311</v>
      </c>
      <c r="Z74" s="89">
        <f ca="1">Y74*($S74-$T74)*(AllProps_CAM/NHHProps_CAM)</f>
        <v>10.97142857142857</v>
      </c>
      <c r="AA74" s="89">
        <f t="shared" ca="1" si="82"/>
        <v>3804.1888084146854</v>
      </c>
      <c r="AB74" s="89">
        <f ca="1">AA74*($S74-$T74)*(AllProps_CAM/NHHProps_CAM)</f>
        <v>274.14523838133641</v>
      </c>
      <c r="AC74" s="168">
        <f t="shared" ref="AC74:AC80" ca="1" si="84">X74*AA$82/X$81</f>
        <v>21.248921652765986</v>
      </c>
      <c r="AD74" s="453" t="s">
        <v>127</v>
      </c>
      <c r="AE74" s="391">
        <f ca="1">AC74*NHHProps_CAM/((S74-T74)*AllProps_CAM)</f>
        <v>294.86162305650333</v>
      </c>
    </row>
    <row r="75" spans="1:31" x14ac:dyDescent="0.35">
      <c r="A75" s="7" t="s">
        <v>855</v>
      </c>
      <c r="B75" s="7" t="s">
        <v>138</v>
      </c>
      <c r="C75" s="7" t="s">
        <v>1008</v>
      </c>
      <c r="D75" s="377" t="s">
        <v>127</v>
      </c>
      <c r="E75" s="124">
        <f t="shared" ca="1" si="68"/>
        <v>1565</v>
      </c>
      <c r="F75" s="383">
        <f t="shared" ca="1" si="69"/>
        <v>1.2500000000000001E-2</v>
      </c>
      <c r="G75" s="383">
        <f t="shared" ca="1" si="69"/>
        <v>8.3333333333333332E-3</v>
      </c>
      <c r="H75" s="431">
        <f t="shared" ca="1" si="70"/>
        <v>2.3562800507588295E-4</v>
      </c>
      <c r="I75" s="431">
        <f t="shared" ca="1" si="71"/>
        <v>4.1117889914467278E-4</v>
      </c>
      <c r="J75" s="323">
        <f t="shared" ca="1" si="72"/>
        <v>6.4680690422055573E-4</v>
      </c>
      <c r="K75" s="213">
        <f t="shared" ca="1" si="73"/>
        <v>6.5208333333333348</v>
      </c>
      <c r="L75" s="429">
        <f t="shared" ca="1" si="74"/>
        <v>260.23872775996313</v>
      </c>
      <c r="M75" s="89">
        <f ca="1">L75*($F75-$G75)*(AllProps_SSW/NHHProps_SSW)</f>
        <v>20.589685534591201</v>
      </c>
      <c r="N75" s="89">
        <f t="shared" ca="1" si="75"/>
        <v>36.166957745748803</v>
      </c>
      <c r="O75" s="89">
        <f ca="1">N75*($F75-$G75)*(AllProps_SSW/NHHProps_SSW)</f>
        <v>2.8614737442717386</v>
      </c>
      <c r="P75" s="16">
        <f t="shared" ca="1" si="83"/>
        <v>15.193016403928258</v>
      </c>
      <c r="Q75" s="453" t="s">
        <v>127</v>
      </c>
      <c r="R75" s="391">
        <f ca="1">P75*NHHProps_SSW/((F75-G75)*AllProps_SSW)</f>
        <v>192.02873463764345</v>
      </c>
      <c r="S75" s="615">
        <f t="shared" ca="1" si="76"/>
        <v>2.5000000000000001E-2</v>
      </c>
      <c r="T75" s="615">
        <f t="shared" ca="1" si="76"/>
        <v>1.6666666666666666E-2</v>
      </c>
      <c r="U75" s="512">
        <f t="shared" ca="1" si="77"/>
        <v>2.654718763279678E-4</v>
      </c>
      <c r="V75" s="512">
        <f t="shared" ca="1" si="78"/>
        <v>1.3401602008677625E-5</v>
      </c>
      <c r="W75" s="643">
        <f t="shared" ca="1" si="79"/>
        <v>2.7887347833664542E-4</v>
      </c>
      <c r="X75" s="386">
        <f t="shared" ca="1" si="80"/>
        <v>13.04166666666667</v>
      </c>
      <c r="Y75" s="89">
        <f t="shared" ca="1" si="81"/>
        <v>76.122762573196539</v>
      </c>
      <c r="Z75" s="89">
        <f ca="1">Y75*($S75-$T75)*(AllProps_CAM/NHHProps_CAM)</f>
        <v>10.666666666666668</v>
      </c>
      <c r="AA75" s="89">
        <f t="shared" ca="1" si="82"/>
        <v>10.189737398103325</v>
      </c>
      <c r="AB75" s="89">
        <f ca="1">AA75*($S75-$T75)*(AllProps_CAM/NHHProps_CAM)</f>
        <v>1.4278322090836246</v>
      </c>
      <c r="AC75" s="168">
        <f t="shared" ca="1" si="84"/>
        <v>80.424936672903343</v>
      </c>
      <c r="AD75" s="453" t="s">
        <v>127</v>
      </c>
      <c r="AE75" s="391">
        <f ca="1">AC75*NHHProps_CAM/((S75-T75)*AllProps_CAM)</f>
        <v>573.95328368585524</v>
      </c>
    </row>
    <row r="76" spans="1:31" x14ac:dyDescent="0.35">
      <c r="A76" s="7" t="s">
        <v>1176</v>
      </c>
      <c r="B76" s="7" t="s">
        <v>138</v>
      </c>
      <c r="C76" s="7" t="s">
        <v>1007</v>
      </c>
      <c r="D76" s="377" t="s">
        <v>127</v>
      </c>
      <c r="E76" s="124">
        <f t="shared" ca="1" si="68"/>
        <v>1941</v>
      </c>
      <c r="F76" s="383">
        <f t="shared" ca="1" si="69"/>
        <v>1.2500000000000001E-2</v>
      </c>
      <c r="G76" s="383">
        <f t="shared" ca="1" si="69"/>
        <v>8.3333333333333332E-3</v>
      </c>
      <c r="H76" s="431">
        <f t="shared" ca="1" si="70"/>
        <v>2.3562800507588295E-4</v>
      </c>
      <c r="I76" s="431">
        <f t="shared" ca="1" si="71"/>
        <v>4.1117889914467278E-4</v>
      </c>
      <c r="J76" s="323">
        <f t="shared" ca="1" si="72"/>
        <v>6.4680690422055573E-4</v>
      </c>
      <c r="K76" s="213">
        <f t="shared" ca="1" si="73"/>
        <v>8.0875000000000021</v>
      </c>
      <c r="L76" s="429">
        <f t="shared" ca="1" si="74"/>
        <v>260.23872775996313</v>
      </c>
      <c r="M76" s="89">
        <f ca="1">L76*($F76-$G76)*(AllProps_SSW/NHHProps_SSW)</f>
        <v>20.589685534591201</v>
      </c>
      <c r="N76" s="89">
        <f t="shared" ca="1" si="75"/>
        <v>36.166957745748803</v>
      </c>
      <c r="O76" s="89">
        <f ca="1">N76*($F76-$G76)*(AllProps_SSW/NHHProps_SSW)</f>
        <v>2.8614737442717386</v>
      </c>
      <c r="P76" s="16">
        <f t="shared" ca="1" si="83"/>
        <v>18.843223539951918</v>
      </c>
      <c r="Q76" s="453" t="s">
        <v>127</v>
      </c>
      <c r="R76" s="391">
        <f ca="1">P76*NHHProps_SSW/((F76-G76)*AllProps_SSW)</f>
        <v>238.16471177742238</v>
      </c>
      <c r="S76" s="615">
        <f t="shared" ca="1" si="76"/>
        <v>2.5000000000000001E-2</v>
      </c>
      <c r="T76" s="615">
        <f t="shared" ca="1" si="76"/>
        <v>1.6666666666666666E-2</v>
      </c>
      <c r="U76" s="512">
        <f t="shared" ca="1" si="77"/>
        <v>2.654718763279678E-4</v>
      </c>
      <c r="V76" s="512">
        <f t="shared" ca="1" si="78"/>
        <v>1.3401602008677625E-5</v>
      </c>
      <c r="W76" s="643">
        <f t="shared" ca="1" si="79"/>
        <v>2.7887347833664542E-4</v>
      </c>
      <c r="X76" s="386">
        <f t="shared" ca="1" si="80"/>
        <v>16.175000000000004</v>
      </c>
      <c r="Y76" s="89">
        <f t="shared" ca="1" si="81"/>
        <v>76.122762573196539</v>
      </c>
      <c r="Z76" s="89">
        <f ca="1">Y76*($S76-$T76)*(AllProps_CAM/NHHProps_CAM)</f>
        <v>10.666666666666668</v>
      </c>
      <c r="AA76" s="89">
        <f t="shared" ca="1" si="82"/>
        <v>10.189737398103325</v>
      </c>
      <c r="AB76" s="89">
        <f ca="1">AA76*($S76-$T76)*(AllProps_CAM/NHHProps_CAM)</f>
        <v>1.4278322090836246</v>
      </c>
      <c r="AC76" s="168">
        <f t="shared" ca="1" si="84"/>
        <v>99.747477368757444</v>
      </c>
      <c r="AD76" s="453" t="s">
        <v>127</v>
      </c>
      <c r="AE76" s="391">
        <f ca="1">AC76*NHHProps_CAM/((S76-T76)*AllProps_CAM)</f>
        <v>711.84876909536422</v>
      </c>
    </row>
    <row r="77" spans="1:31" x14ac:dyDescent="0.35">
      <c r="A77" s="7" t="s">
        <v>1177</v>
      </c>
      <c r="B77" s="7" t="s">
        <v>138</v>
      </c>
      <c r="C77" s="7" t="s">
        <v>1011</v>
      </c>
      <c r="D77" s="377" t="s">
        <v>127</v>
      </c>
      <c r="E77" s="124">
        <f t="shared" ca="1" si="68"/>
        <v>2661</v>
      </c>
      <c r="F77" s="383">
        <f t="shared" ca="1" si="69"/>
        <v>1.2500000000000001E-2</v>
      </c>
      <c r="G77" s="383">
        <f t="shared" ca="1" si="69"/>
        <v>8.3333333333333332E-3</v>
      </c>
      <c r="H77" s="431">
        <f t="shared" ca="1" si="70"/>
        <v>2.3562800507588295E-4</v>
      </c>
      <c r="I77" s="431">
        <f t="shared" ca="1" si="71"/>
        <v>4.1117889914467278E-4</v>
      </c>
      <c r="J77" s="323">
        <f t="shared" ca="1" si="72"/>
        <v>6.4680690422055573E-4</v>
      </c>
      <c r="K77" s="213">
        <f t="shared" ca="1" si="73"/>
        <v>11.087500000000002</v>
      </c>
      <c r="L77" s="429">
        <f t="shared" ca="1" si="74"/>
        <v>260.23872775996313</v>
      </c>
      <c r="M77" s="89">
        <f ca="1">L77*($F77-$G77)*(AllProps_SSW/NHHProps_SSW)</f>
        <v>20.589685534591201</v>
      </c>
      <c r="N77" s="89">
        <f t="shared" ca="1" si="75"/>
        <v>36.166957745748803</v>
      </c>
      <c r="O77" s="89">
        <f ca="1">N77*($F77-$G77)*(AllProps_SSW/NHHProps_SSW)</f>
        <v>2.8614737442717386</v>
      </c>
      <c r="P77" s="16">
        <f t="shared" ca="1" si="83"/>
        <v>25.832981885529133</v>
      </c>
      <c r="Q77" s="453" t="s">
        <v>127</v>
      </c>
      <c r="R77" s="391">
        <f ca="1">P77*NHHProps_SSW/((F77-G77)*AllProps_SSW)</f>
        <v>326.51019991742442</v>
      </c>
      <c r="S77" s="615">
        <f t="shared" ca="1" si="76"/>
        <v>2.5000000000000001E-2</v>
      </c>
      <c r="T77" s="615">
        <f t="shared" ca="1" si="76"/>
        <v>1.6666666666666666E-2</v>
      </c>
      <c r="U77" s="512">
        <f t="shared" ca="1" si="77"/>
        <v>2.654718763279678E-4</v>
      </c>
      <c r="V77" s="512">
        <f t="shared" ca="1" si="78"/>
        <v>1.3401602008677625E-5</v>
      </c>
      <c r="W77" s="643">
        <f t="shared" ca="1" si="79"/>
        <v>2.7887347833664542E-4</v>
      </c>
      <c r="X77" s="386">
        <f t="shared" ca="1" si="80"/>
        <v>22.175000000000004</v>
      </c>
      <c r="Y77" s="89">
        <f t="shared" ca="1" si="81"/>
        <v>76.122762573196539</v>
      </c>
      <c r="Z77" s="89">
        <f ca="1">Y77*($S77-$T77)*(AllProps_CAM/NHHProps_CAM)</f>
        <v>10.666666666666668</v>
      </c>
      <c r="AA77" s="89">
        <f t="shared" ca="1" si="82"/>
        <v>10.189737398103325</v>
      </c>
      <c r="AB77" s="89">
        <f ca="1">AA77*($S77-$T77)*(AllProps_CAM/NHHProps_CAM)</f>
        <v>1.4278322090836246</v>
      </c>
      <c r="AC77" s="168">
        <f t="shared" ca="1" si="84"/>
        <v>136.74808721188231</v>
      </c>
      <c r="AD77" s="453" t="s">
        <v>127</v>
      </c>
      <c r="AE77" s="391">
        <f ca="1">AC77*NHHProps_CAM/((S77-T77)*AllProps_CAM)</f>
        <v>975.90395392208359</v>
      </c>
    </row>
    <row r="78" spans="1:31" x14ac:dyDescent="0.35">
      <c r="A78" s="7" t="s">
        <v>1010</v>
      </c>
      <c r="B78" s="7" t="s">
        <v>144</v>
      </c>
      <c r="C78" s="7" t="str">
        <f>B78</f>
        <v>TempBan</v>
      </c>
      <c r="D78" s="377" t="s">
        <v>127</v>
      </c>
      <c r="E78" s="124">
        <f t="shared" ca="1" si="68"/>
        <v>211</v>
      </c>
      <c r="F78" s="383">
        <f t="shared" ca="1" si="69"/>
        <v>2.5000000000000001E-2</v>
      </c>
      <c r="G78" s="383">
        <f t="shared" ca="1" si="69"/>
        <v>1.6666666666666666E-2</v>
      </c>
      <c r="H78" s="431">
        <f t="shared" ca="1" si="70"/>
        <v>1.0363458862342743E-3</v>
      </c>
      <c r="I78" s="431">
        <f t="shared" ca="1" si="71"/>
        <v>6.2724159084084235E-4</v>
      </c>
      <c r="J78" s="323">
        <f t="shared" ca="1" si="72"/>
        <v>1.6635874770751166E-3</v>
      </c>
      <c r="K78" s="213">
        <f t="shared" ca="1" si="73"/>
        <v>1.7583333333333337</v>
      </c>
      <c r="L78" s="429">
        <f t="shared" ca="1" si="74"/>
        <v>159200.29439999998</v>
      </c>
      <c r="M78" s="89">
        <f ca="1">L78*(F78-G78)/NHHProps_SSW</f>
        <v>4.4240000000000002E-2</v>
      </c>
      <c r="N78" s="89">
        <f t="shared" ca="1" si="75"/>
        <v>264843.61611051176</v>
      </c>
      <c r="O78" s="89">
        <f ca="1">N78*(F78-G78)/NHHProps_SSW*100</f>
        <v>7.3597109985803169</v>
      </c>
      <c r="P78" s="16">
        <f t="shared" ca="1" si="83"/>
        <v>4.0967750303244248</v>
      </c>
      <c r="Q78" s="457" t="s">
        <v>145</v>
      </c>
      <c r="R78" s="391">
        <f ca="1">P78*NHHProps_SSW/((F78-G78)*100)</f>
        <v>147424.90753124258</v>
      </c>
      <c r="S78" s="615">
        <f t="shared" ca="1" si="76"/>
        <v>0.02</v>
      </c>
      <c r="T78" s="615">
        <f t="shared" ca="1" si="76"/>
        <v>1.3333333333333334E-2</v>
      </c>
      <c r="U78" s="512">
        <f t="shared" ca="1" si="77"/>
        <v>1.3694025744847137E-3</v>
      </c>
      <c r="V78" s="512">
        <f t="shared" ca="1" si="78"/>
        <v>1.1073984405910726E-3</v>
      </c>
      <c r="W78" s="643">
        <f t="shared" ca="1" si="79"/>
        <v>2.4768010150757864E-3</v>
      </c>
      <c r="X78" s="386">
        <f t="shared" ca="1" si="80"/>
        <v>1.4066666666666665</v>
      </c>
      <c r="Y78" s="89">
        <f t="shared" ca="1" si="81"/>
        <v>950206.4639999998</v>
      </c>
      <c r="Z78" s="89">
        <f ca="1">Y78*(S78-T78)/NHHProps_CAM*100</f>
        <v>73.727999999999966</v>
      </c>
      <c r="AA78" s="89">
        <f t="shared" ca="1" si="82"/>
        <v>163435.57878935931</v>
      </c>
      <c r="AB78" s="89">
        <f ca="1">AA78*(S78-T78)/NHHProps_CAM*100</f>
        <v>12.681221197188025</v>
      </c>
      <c r="AC78" s="168">
        <f t="shared" ca="1" si="84"/>
        <v>8.6745874187770493</v>
      </c>
      <c r="AD78" s="457" t="s">
        <v>145</v>
      </c>
      <c r="AE78" s="391">
        <f ca="1">AC78*NHHProps_CAM/((S78-T78)*100)</f>
        <v>111798.08265319861</v>
      </c>
    </row>
    <row r="79" spans="1:31" x14ac:dyDescent="0.35">
      <c r="A79" s="7" t="s">
        <v>929</v>
      </c>
      <c r="B79" s="7" t="s">
        <v>140</v>
      </c>
      <c r="C79" s="7" t="str">
        <f>B79</f>
        <v>LowPressure</v>
      </c>
      <c r="D79" s="377" t="s">
        <v>127</v>
      </c>
      <c r="E79" s="124">
        <f t="shared" ca="1" si="68"/>
        <v>338</v>
      </c>
      <c r="F79" s="383">
        <f t="shared" ca="1" si="69"/>
        <v>0.1</v>
      </c>
      <c r="G79" s="383">
        <f t="shared" ca="1" si="69"/>
        <v>6.6666666666666666E-2</v>
      </c>
      <c r="H79" s="431">
        <f t="shared" ca="1" si="70"/>
        <v>6.9813125314618224E-5</v>
      </c>
      <c r="I79" s="431">
        <f t="shared" ca="1" si="71"/>
        <v>4.2539865887973236E-4</v>
      </c>
      <c r="J79" s="323">
        <f t="shared" ca="1" si="72"/>
        <v>4.9521178419435058E-4</v>
      </c>
      <c r="K79" s="213">
        <f t="shared" ca="1" si="73"/>
        <v>11.266666666666669</v>
      </c>
      <c r="L79" s="429">
        <f t="shared" ca="1" si="74"/>
        <v>32.097263297522041</v>
      </c>
      <c r="M79" s="89">
        <f ca="1">L79*($F79-$G79)*(AllProps_SSW/NHHProps_SSW)</f>
        <v>20.315886524822698</v>
      </c>
      <c r="N79" s="89">
        <f t="shared" ca="1" si="75"/>
        <v>3.461292612463883</v>
      </c>
      <c r="O79" s="89">
        <f ca="1">N79*($F79-$G79)*(AllProps_SSW/NHHProps_SSW)</f>
        <v>2.1908169332758067</v>
      </c>
      <c r="P79" s="16">
        <f t="shared" ca="1" si="83"/>
        <v>26.25042578672333</v>
      </c>
      <c r="Q79" s="453" t="s">
        <v>127</v>
      </c>
      <c r="R79" s="391">
        <f ca="1">P79*NHHProps_SSW/((F79-G79)*AllProps_SSW)</f>
        <v>41.473298599056548</v>
      </c>
      <c r="S79" s="615">
        <f t="shared" ca="1" si="76"/>
        <v>9.0909090909090912E-2</v>
      </c>
      <c r="T79" s="615">
        <f t="shared" ca="1" si="76"/>
        <v>6.6666666666666666E-2</v>
      </c>
      <c r="U79" s="512">
        <f t="shared" ca="1" si="77"/>
        <v>4.8585541264324922E-5</v>
      </c>
      <c r="V79" s="512">
        <f t="shared" ca="1" si="78"/>
        <v>4.7427328754792901E-3</v>
      </c>
      <c r="W79" s="643">
        <f t="shared" ca="1" si="79"/>
        <v>4.7913184167436155E-3</v>
      </c>
      <c r="X79" s="386">
        <f t="shared" ca="1" si="80"/>
        <v>8.1939393939393952</v>
      </c>
      <c r="Y79" s="89">
        <f t="shared" ca="1" si="81"/>
        <v>19.435598954858694</v>
      </c>
      <c r="Z79" s="89">
        <f ca="1">Y79*($S79-$T79)*(AllProps_CAM/NHHProps_CAM)</f>
        <v>7.9226305609284342</v>
      </c>
      <c r="AA79" s="89">
        <f t="shared" ca="1" si="82"/>
        <v>60.18018505130911</v>
      </c>
      <c r="AB79" s="89">
        <f ca="1">AA79*($S79-$T79)*(AllProps_CAM/NHHProps_CAM)</f>
        <v>24.531550293727314</v>
      </c>
      <c r="AC79" s="168">
        <f t="shared" ca="1" si="84"/>
        <v>50.530125765560413</v>
      </c>
      <c r="AD79" s="453" t="s">
        <v>127</v>
      </c>
      <c r="AE79" s="391">
        <f ca="1">AC79*NHHProps_CAM/((S79-T79)*AllProps_CAM)</f>
        <v>123.95923954365435</v>
      </c>
    </row>
    <row r="80" spans="1:31" x14ac:dyDescent="0.35">
      <c r="A80" s="7" t="s">
        <v>158</v>
      </c>
      <c r="B80" s="7" t="s">
        <v>159</v>
      </c>
      <c r="C80" s="7" t="str">
        <f>B80</f>
        <v>Traffic</v>
      </c>
      <c r="D80" s="377" t="s">
        <v>127</v>
      </c>
      <c r="E80" s="124">
        <f t="shared" ca="1" si="68"/>
        <v>735</v>
      </c>
      <c r="F80" s="444">
        <f t="shared" ref="F80:G80" ca="1" si="85">INDEX(INDIRECT("SSW_WTPCore_DCE_"&amp;$B80&amp;"_Levels"),MATCH("COMBINED-NHH",WTPCore_Group,0),MATCH(F$4,WTPCore_AttLevels,0))</f>
        <v>608.33333333333337</v>
      </c>
      <c r="G80" s="444">
        <f t="shared" ca="1" si="85"/>
        <v>243.33333333333334</v>
      </c>
      <c r="H80" s="431">
        <f t="shared" ref="H80" ca="1" si="86">INDEX(INDIRECT("SSW_WTPCore_DCE_"&amp;$B80&amp;"_LevelValues"),MATCH("COMBINED-NHH",WTPCore_Group,0),MATCH("S1 MEAN",WTPCore_LevelValues,0))</f>
        <v>1E-3</v>
      </c>
      <c r="I80" s="431">
        <f t="shared" ref="I80" ca="1" si="87">INDEX(INDIRECT("SSW_WTPCore_DCE_"&amp;$B80&amp;"_LevelValues"),MATCH("COMBINED-NHH",WTPCore_Group,0),MATCH("S2 MEAN",WTPCore_LevelValues,0))</f>
        <v>1E-3</v>
      </c>
      <c r="J80" s="323">
        <f t="shared" ca="1" si="72"/>
        <v>2E-3</v>
      </c>
      <c r="K80" s="213">
        <f ca="1">E80*(F80-G80)/AllProps_SSW</f>
        <v>0.47113316064450983</v>
      </c>
      <c r="L80" s="429">
        <f t="shared" ca="1" si="74"/>
        <v>726.94198356164395</v>
      </c>
      <c r="M80" s="89">
        <f ca="1">L80*(F80-G80)/NHHProps_SSW</f>
        <v>8.8480000000000008</v>
      </c>
      <c r="N80" s="89">
        <f ca="1">L80</f>
        <v>726.94198356164395</v>
      </c>
      <c r="O80" s="89">
        <f ca="1">N80*(F80-G80)/NHHProps_SSW</f>
        <v>8.8480000000000008</v>
      </c>
      <c r="P80" s="16">
        <f t="shared" ca="1" si="83"/>
        <v>1.0977023138310447</v>
      </c>
      <c r="Q80" s="453" t="s">
        <v>160</v>
      </c>
      <c r="R80" s="391">
        <f ca="1">P80*NHHProps_SSW/((F80-G80))</f>
        <v>90.186019142918823</v>
      </c>
      <c r="S80" s="460">
        <f t="shared" ref="S80:T80" ca="1" si="88">INDEX(INDIRECT("CAM_WTPCore_"&amp;$B80&amp;"_Levels"),MATCH("COMBINED-NHH",WTPCore_Group,0),MATCH(S$4,WTPCore_AttLevels,0))</f>
        <v>365</v>
      </c>
      <c r="T80" s="460">
        <f t="shared" ca="1" si="88"/>
        <v>121.66666666666667</v>
      </c>
      <c r="U80" s="435">
        <f t="shared" ref="U80" ca="1" si="89">INDEX(INDIRECT("CAM_WTPCore_"&amp;$B80&amp;"_LevelValues"),MATCH("COMBINED-NHH",WTPCore_Group,0),MATCH("S1 MEAN",WTPCore_LevelValues,0))</f>
        <v>3.0000000000000001E-3</v>
      </c>
      <c r="V80" s="435">
        <f t="shared" ref="V80" ca="1" si="90">INDEX(INDIRECT("CAM_WTPCore_"&amp;$B80&amp;"_LevelValues"),MATCH("COMBINED-NHH",WTPCore_Group,0),MATCH("S2 MEAN",WTPCore_LevelValues,0))</f>
        <v>5.0000000000000001E-3</v>
      </c>
      <c r="W80" s="643">
        <f t="shared" ca="1" si="79"/>
        <v>8.0000000000000002E-3</v>
      </c>
      <c r="X80" s="386">
        <f ca="1">E80*(S80-T80)/AllProps_CAM</f>
        <v>1.2379390063263978</v>
      </c>
      <c r="Y80" s="89">
        <f t="shared" ca="1" si="81"/>
        <v>1446.2807671232879</v>
      </c>
      <c r="Z80" s="89">
        <f ca="1">Y80*(S80-T80)/NHHProps_CAM</f>
        <v>40.96</v>
      </c>
      <c r="AA80" s="89">
        <f ca="1">Y80</f>
        <v>1446.2807671232879</v>
      </c>
      <c r="AB80" s="89">
        <f ca="1">AA80*(S80-T80)/NHHProps_CAM</f>
        <v>40.96</v>
      </c>
      <c r="AC80" s="168">
        <f t="shared" ca="1" si="84"/>
        <v>7.6340830304447858</v>
      </c>
      <c r="AD80" s="453" t="s">
        <v>160</v>
      </c>
      <c r="AE80" s="391">
        <f ca="1">AC80*NHHProps_CAM/((S80-T80))</f>
        <v>269.55633451060936</v>
      </c>
    </row>
    <row r="81" spans="1:31" x14ac:dyDescent="0.35">
      <c r="D81" s="377"/>
      <c r="E81" s="124"/>
      <c r="F81" s="16"/>
      <c r="G81" s="16"/>
      <c r="H81" s="16"/>
      <c r="I81" s="16"/>
      <c r="J81" s="330">
        <f ca="1">SUM(J73:J80)*AvgNHHBill_SSW</f>
        <v>131.24334715815019</v>
      </c>
      <c r="K81" s="331">
        <f ca="1">SUM(K73:K80)</f>
        <v>53.071966493977854</v>
      </c>
      <c r="L81" s="331"/>
      <c r="M81" s="331">
        <f ca="1">SUM(M73:M80)</f>
        <v>116.06346665350051</v>
      </c>
      <c r="N81" s="331"/>
      <c r="O81" s="331">
        <f ca="1">SUM(O73:O80)</f>
        <v>131.24334715815021</v>
      </c>
      <c r="P81" s="330">
        <f ca="1">SUM(P73:P80)</f>
        <v>123.65340690582536</v>
      </c>
      <c r="R81" s="466"/>
      <c r="S81" s="168"/>
      <c r="T81" s="168"/>
      <c r="U81" s="168"/>
      <c r="V81" s="168"/>
      <c r="W81" s="44">
        <f ca="1">SUM(W73:W80)*AvgNHHBill_CAM</f>
        <v>646.19669312606061</v>
      </c>
      <c r="X81" s="389">
        <f ca="1">SUM(X73:X80)</f>
        <v>68.089601232988642</v>
      </c>
      <c r="Y81" s="389"/>
      <c r="Z81" s="331">
        <f ca="1">SUM(Z73:Z80)</f>
        <v>193.58889673919461</v>
      </c>
      <c r="AA81" s="331"/>
      <c r="AB81" s="331">
        <f ca="1">SUM(AB73:AB80)</f>
        <v>646.19669312606061</v>
      </c>
      <c r="AC81" s="44">
        <f ca="1">SUM(AC73:AC80)</f>
        <v>419.89279493262757</v>
      </c>
      <c r="AE81" s="391"/>
    </row>
    <row r="82" spans="1:31" s="50" customFormat="1" x14ac:dyDescent="0.35">
      <c r="D82" s="379"/>
      <c r="E82" s="14"/>
      <c r="F82" s="384"/>
      <c r="G82" s="384"/>
      <c r="H82" s="384"/>
      <c r="I82" s="384"/>
      <c r="J82" s="409"/>
      <c r="K82" s="25"/>
      <c r="L82" s="25"/>
      <c r="M82" s="163" t="s">
        <v>361</v>
      </c>
      <c r="N82" s="546">
        <f ca="1">AVERAGE(M81,O81)</f>
        <v>123.65340690582536</v>
      </c>
      <c r="O82" s="163"/>
      <c r="P82" s="11"/>
      <c r="Q82" s="458"/>
      <c r="R82" s="467"/>
      <c r="S82" s="38"/>
      <c r="T82" s="38"/>
      <c r="U82" s="38"/>
      <c r="V82" s="38"/>
      <c r="W82" s="151"/>
      <c r="X82" s="25"/>
      <c r="Y82" s="25"/>
      <c r="Z82" s="163" t="s">
        <v>361</v>
      </c>
      <c r="AA82" s="546">
        <f ca="1">AVERAGE(Z81,AB81)</f>
        <v>419.89279493262762</v>
      </c>
      <c r="AB82" s="163"/>
      <c r="AC82" s="11"/>
      <c r="AD82" s="11"/>
      <c r="AE82" s="392"/>
    </row>
    <row r="83" spans="1:31" x14ac:dyDescent="0.35">
      <c r="A83" s="51" t="s">
        <v>101</v>
      </c>
      <c r="B83" s="51"/>
      <c r="D83" s="378"/>
      <c r="E83" s="218"/>
      <c r="F83" s="218"/>
      <c r="G83" s="218"/>
      <c r="H83" s="330"/>
      <c r="I83" s="330"/>
      <c r="J83" s="330"/>
      <c r="K83" s="389"/>
      <c r="L83" s="389"/>
      <c r="M83" s="389"/>
      <c r="N83" s="389"/>
      <c r="O83" s="389"/>
      <c r="P83" s="45"/>
      <c r="Q83" s="456"/>
      <c r="R83" s="468"/>
      <c r="S83" s="45"/>
      <c r="T83" s="45"/>
      <c r="U83" s="44"/>
      <c r="V83" s="44"/>
      <c r="W83" s="44"/>
      <c r="X83" s="389"/>
      <c r="Y83" s="389"/>
      <c r="Z83" s="389"/>
      <c r="AA83" s="389"/>
      <c r="AB83" s="389"/>
      <c r="AC83" s="45"/>
      <c r="AE83" s="393"/>
    </row>
    <row r="84" spans="1:31" x14ac:dyDescent="0.35">
      <c r="A84" s="7" t="s">
        <v>129</v>
      </c>
      <c r="B84" s="7" t="s">
        <v>130</v>
      </c>
      <c r="C84" s="7" t="str">
        <f>B84</f>
        <v>Discolour</v>
      </c>
      <c r="D84" s="377" t="s">
        <v>127</v>
      </c>
      <c r="E84" s="124">
        <f ca="1">INDEX(INDIRECT("ExtWTP19_"&amp;$C84&amp;"_UnitValues"),MATCH(A$83, INDIRECT("ExtWTP19_Comps_"&amp;C84),0),MATCH("NHH",ExtWTP_Group,0))</f>
        <v>953</v>
      </c>
      <c r="F84" s="383">
        <f t="shared" ref="F84:G88" ca="1" si="91">INDEX(INDIRECT("SSW_WTPCore2_"&amp;$B84&amp;"_Levels"),2,MATCH(F$4,WTPCore2_AttLevels,0))</f>
        <v>6.6666666666666666E-2</v>
      </c>
      <c r="G84" s="383">
        <f t="shared" ca="1" si="91"/>
        <v>0.04</v>
      </c>
      <c r="H84" s="431">
        <f ca="1">INDEX(INDIRECT("SSW_WTPCore2_"&amp;$B84&amp;"_LevelValues"),2,MATCH("S1 MEAN",WTPCore2_LevelValues,0))</f>
        <v>1.9376915692789636E-2</v>
      </c>
      <c r="I84" s="431">
        <f ca="1">INDEX(INDIRECT("SSW_WTPCore2_"&amp;$B84&amp;"_LevelValues"),2,MATCH("S2 MEAN",WTPCore2_LevelValues,0))</f>
        <v>4.9841954334050795E-4</v>
      </c>
      <c r="J84" s="323">
        <f ca="1">SUM(H84:I84)</f>
        <v>1.9875335236130144E-2</v>
      </c>
      <c r="K84" s="213">
        <f ca="1">E84*(F84-G84)</f>
        <v>25.41333333333333</v>
      </c>
      <c r="L84" s="429">
        <f ca="1">INDEX(INDIRECT("SSW_WTPCore_DCE_"&amp;$B84&amp;"_UnitValues"),MATCH("COMBINED-NHH",WTPCore_Group,0),MATCH("MEAN",LMH,0))</f>
        <v>37.156930418313699</v>
      </c>
      <c r="M84" s="89">
        <f ca="1">L84*($F84-$G84)*(AllProps_SSW/NHHProps_SSW)</f>
        <v>18.814712643678163</v>
      </c>
      <c r="N84" s="89">
        <f ca="1">INDEX(INDIRECT("SSW_WTPCore2_"&amp;$B84&amp;"_UnitValues"),2,MATCH("MEAN",LMH,0))</f>
        <v>173.64881354494736</v>
      </c>
      <c r="O84" s="89">
        <f ca="1">N84*($F84-$G84)*(AllProps_SSW/NHHProps_SSW)</f>
        <v>87.928483084639765</v>
      </c>
      <c r="P84" s="16">
        <f ca="1">K84*N$90/K$89</f>
        <v>31.294195237008289</v>
      </c>
      <c r="Q84" s="453" t="s">
        <v>127</v>
      </c>
      <c r="R84" s="391">
        <f ca="1">P84*NHHProps_SSW/((F84-G84)*AllProps_SSW)</f>
        <v>61.802497701677432</v>
      </c>
      <c r="S84" s="615">
        <f t="shared" ref="S84:T88" ca="1" si="92">INDEX(INDIRECT("CAM_WTPCore2_"&amp;$B84&amp;"_Levels"),2,MATCH(S$4,WTPCore2_AttLevels,0))</f>
        <v>2.2222222222222223E-2</v>
      </c>
      <c r="T84" s="615">
        <f t="shared" ca="1" si="92"/>
        <v>1.5384615384615385E-2</v>
      </c>
      <c r="U84" s="512">
        <f ca="1">INDEX(INDIRECT("CAM_WTPCore2_"&amp;$B84&amp;"_LevelValues"),2,MATCH("S1 MEAN",WTPCore2_LevelValues,0))</f>
        <v>5.6414013673365619E-2</v>
      </c>
      <c r="V84" s="512">
        <f ca="1">INDEX(INDIRECT("CAM_WTPCore2_"&amp;$B84&amp;"_LevelValues"),2,MATCH("S2 MEAN",WTPCore2_LevelValues,0))</f>
        <v>1.4754621463399648E-4</v>
      </c>
      <c r="W84" s="643">
        <f ca="1">SUM(U84:V84)</f>
        <v>5.6561559887999616E-2</v>
      </c>
      <c r="X84" s="386">
        <f ca="1">E84*(S84-T84)</f>
        <v>6.5162393162393162</v>
      </c>
      <c r="Y84" s="89">
        <f ca="1">INDEX(INDIRECT("CAM_WTPCore_"&amp;$B84&amp;"_UnitValues"),MATCH("COMBINED-NHH",WTPCore_Group,0),MATCH("MEAN",LMH,0))</f>
        <v>243.59284023422896</v>
      </c>
      <c r="Z84" s="89">
        <f ca="1">Y84*($S84-$T84)*(AllProps_CAM/NHHProps_CAM)</f>
        <v>28.006837606837603</v>
      </c>
      <c r="AA84" s="89">
        <f ca="1">INDEX(INDIRECT("CAM_WTPCore2_"&amp;$B84&amp;"_UnitValues"),2,MATCH("MEAN",LMH,0))</f>
        <v>2518.7889835624424</v>
      </c>
      <c r="AB84" s="89">
        <f ca="1">AA84*($S84-$T84)*(AllProps_CAM/NHHProps_CAM)</f>
        <v>289.59518662655807</v>
      </c>
      <c r="AC84" s="168">
        <f ca="1">X84*AA$90/X$89</f>
        <v>25.766905582488164</v>
      </c>
      <c r="AD84" s="453" t="s">
        <v>127</v>
      </c>
      <c r="AE84" s="391">
        <f ca="1">AC84*NHHProps_CAM/((S84-T84)*AllProps_CAM)</f>
        <v>224.11076191455194</v>
      </c>
    </row>
    <row r="85" spans="1:31" x14ac:dyDescent="0.35">
      <c r="A85" s="7" t="s">
        <v>131</v>
      </c>
      <c r="B85" s="7" t="s">
        <v>132</v>
      </c>
      <c r="C85" s="7" t="str">
        <f>B85</f>
        <v>TasteSmell</v>
      </c>
      <c r="D85" s="377" t="s">
        <v>127</v>
      </c>
      <c r="E85" s="124">
        <f ca="1">INDEX(INDIRECT("ExtWTP19_"&amp;$C85&amp;"_UnitValues"),MATCH(A$83, INDIRECT("ExtWTP19_Comps_"&amp;C85),0),MATCH("NHH",ExtWTP_Group,0))</f>
        <v>1643</v>
      </c>
      <c r="F85" s="383">
        <f t="shared" ca="1" si="91"/>
        <v>1.6666666666666666E-2</v>
      </c>
      <c r="G85" s="383">
        <f t="shared" ca="1" si="91"/>
        <v>1.1111111111111112E-2</v>
      </c>
      <c r="H85" s="431">
        <f ca="1">INDEX(INDIRECT("SSW_WTPCore2_"&amp;$B85&amp;"_LevelValues"),2,MATCH("S1 MEAN",WTPCore2_LevelValues,0))</f>
        <v>3.6865032727528453E-3</v>
      </c>
      <c r="I85" s="431">
        <f ca="1">INDEX(INDIRECT("SSW_WTPCore2_"&amp;$B85&amp;"_LevelValues"),2,MATCH("S2 MEAN",WTPCore2_LevelValues,0))</f>
        <v>5.1592292451456759E-6</v>
      </c>
      <c r="J85" s="323">
        <f ca="1">SUM(H85:I85)</f>
        <v>3.691662501997991E-3</v>
      </c>
      <c r="K85" s="213">
        <f ca="1">E85*(F85-G85)</f>
        <v>9.1277777777777764</v>
      </c>
      <c r="L85" s="429">
        <f ca="1">INDEX(INDIRECT("SSW_WTPCore_DCE_"&amp;$B85&amp;"_UnitValues"),MATCH("COMBINED-NHH",WTPCore_Group,0),MATCH("MEAN",LMH,0))</f>
        <v>59.451088669301917</v>
      </c>
      <c r="M85" s="89">
        <f ca="1">L85*($F85-$G85)*(AllProps_SSW/NHHProps_SSW)</f>
        <v>6.2715708812260536</v>
      </c>
      <c r="N85" s="89">
        <f ca="1">INDEX(INDIRECT("SSW_WTPCore2_"&amp;$B85&amp;"_UnitValues"),2,MATCH("MEAN",LMH,0))</f>
        <v>154.81769077846621</v>
      </c>
      <c r="O85" s="89">
        <f ca="1">N85*($F85-$G85)*(AllProps_SSW/NHHProps_SSW)</f>
        <v>16.331914908839114</v>
      </c>
      <c r="P85" s="16">
        <f t="shared" ref="P85:P88" ca="1" si="93">K85*N$90/K$89</f>
        <v>11.240023341728886</v>
      </c>
      <c r="Q85" s="453" t="s">
        <v>127</v>
      </c>
      <c r="R85" s="391">
        <f ca="1">P85*NHHProps_SSW/((F85-G85)*AllProps_SSW)</f>
        <v>106.54932185084579</v>
      </c>
      <c r="S85" s="615">
        <f t="shared" ca="1" si="92"/>
        <v>1.4285714285714285E-2</v>
      </c>
      <c r="T85" s="615">
        <f t="shared" ca="1" si="92"/>
        <v>0.01</v>
      </c>
      <c r="U85" s="512">
        <f ca="1">INDEX(INDIRECT("CAM_WTPCore2_"&amp;$B85&amp;"_LevelValues"),2,MATCH("S1 MEAN",WTPCore2_LevelValues,0))</f>
        <v>4.257264223936371E-2</v>
      </c>
      <c r="V85" s="512">
        <f ca="1">INDEX(INDIRECT("CAM_WTPCore2_"&amp;$B85&amp;"_LevelValues"),2,MATCH("S2 MEAN",WTPCore2_LevelValues,0))</f>
        <v>1.0971349631991048E-2</v>
      </c>
      <c r="W85" s="643">
        <f ca="1">SUM(U85:V85)</f>
        <v>5.3543991871354758E-2</v>
      </c>
      <c r="X85" s="386">
        <f ca="1">E85*(S85-T85)</f>
        <v>7.04142857142857</v>
      </c>
      <c r="Y85" s="89">
        <f ca="1">INDEX(INDIRECT("CAM_WTPCore_"&amp;$B85&amp;"_UnitValues"),MATCH("COMBINED-NHH",WTPCore_Group,0),MATCH("MEAN",LMH,0))</f>
        <v>152.24552514639311</v>
      </c>
      <c r="Z85" s="89">
        <f ca="1">Y85*($S85-$T85)*(AllProps_CAM/NHHProps_CAM)</f>
        <v>10.97142857142857</v>
      </c>
      <c r="AA85" s="89">
        <f ca="1">INDEX(INDIRECT("CAM_WTPCore2_"&amp;$B85&amp;"_UnitValues"),2,MATCH("MEAN",LMH,0))</f>
        <v>3804.1888084146854</v>
      </c>
      <c r="AB85" s="89">
        <f ca="1">AA85*($S85-$T85)*(AllProps_CAM/NHHProps_CAM)</f>
        <v>274.14523838133641</v>
      </c>
      <c r="AC85" s="168">
        <f t="shared" ref="AC85:AC88" ca="1" si="94">X85*AA$90/X$89</f>
        <v>27.843640535680262</v>
      </c>
      <c r="AD85" s="453" t="s">
        <v>127</v>
      </c>
      <c r="AE85" s="391">
        <f ca="1">AC85*NHHProps_CAM/((S85-T85)*AllProps_CAM)</f>
        <v>386.37353811711313</v>
      </c>
    </row>
    <row r="86" spans="1:31" x14ac:dyDescent="0.35">
      <c r="A86" s="7" t="s">
        <v>855</v>
      </c>
      <c r="B86" s="7" t="s">
        <v>138</v>
      </c>
      <c r="C86" s="7" t="s">
        <v>1008</v>
      </c>
      <c r="D86" s="377" t="s">
        <v>127</v>
      </c>
      <c r="E86" s="124">
        <f ca="1">INDEX(INDIRECT("ExtWTP19_"&amp;$C86&amp;"_UnitValues"),MATCH(A$83, INDIRECT("ExtWTP19_Comps_"&amp;C86),0),MATCH("NHH",ExtWTP_Group,0))</f>
        <v>4224</v>
      </c>
      <c r="F86" s="383">
        <f t="shared" ca="1" si="91"/>
        <v>1.2500000000000001E-2</v>
      </c>
      <c r="G86" s="383">
        <f t="shared" ca="1" si="91"/>
        <v>8.3333333333333332E-3</v>
      </c>
      <c r="H86" s="431">
        <f ca="1">INDEX(INDIRECT("SSW_WTPCore2_"&amp;$B86&amp;"_LevelValues"),2,MATCH("S1 MEAN",WTPCore2_LevelValues,0))</f>
        <v>2.3562800507588295E-4</v>
      </c>
      <c r="I86" s="431">
        <f ca="1">INDEX(INDIRECT("SSW_WTPCore2_"&amp;$B86&amp;"_LevelValues"),2,MATCH("S2 MEAN",WTPCore2_LevelValues,0))</f>
        <v>4.1117889914467278E-4</v>
      </c>
      <c r="J86" s="323">
        <f ca="1">SUM(H86:I86)</f>
        <v>6.4680690422055573E-4</v>
      </c>
      <c r="K86" s="213">
        <f ca="1">E86*(F86-G86)</f>
        <v>17.600000000000005</v>
      </c>
      <c r="L86" s="429">
        <f ca="1">INDEX(INDIRECT("SSW_WTPCore_DCE_"&amp;$B86&amp;"_UnitValues"),MATCH("COMBINED-NHH",WTPCore_Group,0),MATCH("MEAN",LMH,0))</f>
        <v>260.23872775996313</v>
      </c>
      <c r="M86" s="89">
        <f ca="1">L86*($F86-$G86)*(AllProps_SSW/NHHProps_SSW)</f>
        <v>20.589685534591201</v>
      </c>
      <c r="N86" s="89">
        <f ca="1">INDEX(INDIRECT("SSW_WTPCore2_"&amp;$B86&amp;"_UnitValues"),2,MATCH("MEAN",LMH,0))</f>
        <v>36.166957745748803</v>
      </c>
      <c r="O86" s="89">
        <f ca="1">N86*($F86-$G86)*(AllProps_SSW/NHHProps_SSW)</f>
        <v>2.8614737442717386</v>
      </c>
      <c r="P86" s="16">
        <f t="shared" ca="1" si="93"/>
        <v>21.672789985756012</v>
      </c>
      <c r="Q86" s="453" t="s">
        <v>127</v>
      </c>
      <c r="R86" s="391">
        <f ca="1">P86*NHHProps_SSW/((F86-G86)*AllProps_SSW)</f>
        <v>273.928384356648</v>
      </c>
      <c r="S86" s="615">
        <f t="shared" ca="1" si="92"/>
        <v>2.5000000000000001E-2</v>
      </c>
      <c r="T86" s="615">
        <f t="shared" ca="1" si="92"/>
        <v>1.6666666666666666E-2</v>
      </c>
      <c r="U86" s="512">
        <f ca="1">INDEX(INDIRECT("CAM_WTPCore2_"&amp;$B86&amp;"_LevelValues"),2,MATCH("S1 MEAN",WTPCore2_LevelValues,0))</f>
        <v>2.654718763279678E-4</v>
      </c>
      <c r="V86" s="512">
        <f ca="1">INDEX(INDIRECT("CAM_WTPCore2_"&amp;$B86&amp;"_LevelValues"),2,MATCH("S2 MEAN",WTPCore2_LevelValues,0))</f>
        <v>1.3401602008677625E-5</v>
      </c>
      <c r="W86" s="643">
        <f ca="1">SUM(U86:V86)</f>
        <v>2.7887347833664542E-4</v>
      </c>
      <c r="X86" s="386">
        <f ca="1">E86*(S86-T86)</f>
        <v>35.20000000000001</v>
      </c>
      <c r="Y86" s="89">
        <f ca="1">INDEX(INDIRECT("CAM_WTPCore_"&amp;$B86&amp;"_UnitValues"),MATCH("COMBINED-NHH",WTPCore_Group,0),MATCH("MEAN",LMH,0))</f>
        <v>76.122762573196539</v>
      </c>
      <c r="Z86" s="89">
        <f ca="1">Y86*($S86-$T86)*(AllProps_CAM/NHHProps_CAM)</f>
        <v>10.666666666666668</v>
      </c>
      <c r="AA86" s="89">
        <f ca="1">INDEX(INDIRECT("CAM_WTPCore2_"&amp;$B86&amp;"_UnitValues"),2,MATCH("MEAN",LMH,0))</f>
        <v>10.189737398103325</v>
      </c>
      <c r="AB86" s="89">
        <f ca="1">AA86*($S86-$T86)*(AllProps_CAM/NHHProps_CAM)</f>
        <v>1.4278322090836246</v>
      </c>
      <c r="AC86" s="168">
        <f t="shared" ca="1" si="94"/>
        <v>139.18995796290565</v>
      </c>
      <c r="AD86" s="453" t="s">
        <v>127</v>
      </c>
      <c r="AE86" s="391">
        <f ca="1">AC86*NHHProps_CAM/((S86-T86)*AllProps_CAM)</f>
        <v>993.33038649220077</v>
      </c>
    </row>
    <row r="87" spans="1:31" x14ac:dyDescent="0.35">
      <c r="A87" s="7" t="s">
        <v>1176</v>
      </c>
      <c r="B87" s="7" t="s">
        <v>138</v>
      </c>
      <c r="C87" s="7" t="s">
        <v>1007</v>
      </c>
      <c r="D87" s="377" t="s">
        <v>127</v>
      </c>
      <c r="E87" s="124">
        <f ca="1">INDEX(INDIRECT("ExtWTP19_"&amp;$C87&amp;"_UnitValues"),MATCH(A$83, INDIRECT("ExtWTP19_Comps_"&amp;C87),0),MATCH("NHH",ExtWTP_Group,0))</f>
        <v>4699</v>
      </c>
      <c r="F87" s="383">
        <f t="shared" ca="1" si="91"/>
        <v>1.2500000000000001E-2</v>
      </c>
      <c r="G87" s="383">
        <f t="shared" ca="1" si="91"/>
        <v>8.3333333333333332E-3</v>
      </c>
      <c r="H87" s="431">
        <f ca="1">INDEX(INDIRECT("SSW_WTPCore2_"&amp;$B87&amp;"_LevelValues"),2,MATCH("S1 MEAN",WTPCore2_LevelValues,0))</f>
        <v>2.3562800507588295E-4</v>
      </c>
      <c r="I87" s="431">
        <f ca="1">INDEX(INDIRECT("SSW_WTPCore2_"&amp;$B87&amp;"_LevelValues"),2,MATCH("S2 MEAN",WTPCore2_LevelValues,0))</f>
        <v>4.1117889914467278E-4</v>
      </c>
      <c r="J87" s="323">
        <f ca="1">SUM(H87:I87)</f>
        <v>6.4680690422055573E-4</v>
      </c>
      <c r="K87" s="213">
        <f ca="1">E87*(F87-G87)</f>
        <v>19.579166666666669</v>
      </c>
      <c r="L87" s="429">
        <f ca="1">INDEX(INDIRECT("SSW_WTPCore_DCE_"&amp;$B87&amp;"_UnitValues"),MATCH("COMBINED-NHH",WTPCore_Group,0),MATCH("MEAN",LMH,0))</f>
        <v>260.23872775996313</v>
      </c>
      <c r="M87" s="89">
        <f ca="1">L87*($F87-$G87)*(AllProps_SSW/NHHProps_SSW)</f>
        <v>20.589685534591201</v>
      </c>
      <c r="N87" s="89">
        <f ca="1">INDEX(INDIRECT("SSW_WTPCore2_"&amp;$B87&amp;"_UnitValues"),2,MATCH("MEAN",LMH,0))</f>
        <v>36.166957745748803</v>
      </c>
      <c r="O87" s="89">
        <f ca="1">N87*($F87-$G87)*(AllProps_SSW/NHHProps_SSW)</f>
        <v>2.8614737442717386</v>
      </c>
      <c r="P87" s="16">
        <f t="shared" ca="1" si="93"/>
        <v>24.109952685385291</v>
      </c>
      <c r="Q87" s="453" t="s">
        <v>127</v>
      </c>
      <c r="R87" s="391">
        <f ca="1">P87*NHHProps_SSW/((F87-G87)*AllProps_SSW)</f>
        <v>304.73235750281452</v>
      </c>
      <c r="S87" s="615">
        <f t="shared" ca="1" si="92"/>
        <v>2.5000000000000001E-2</v>
      </c>
      <c r="T87" s="615">
        <f t="shared" ca="1" si="92"/>
        <v>1.6666666666666666E-2</v>
      </c>
      <c r="U87" s="512">
        <f ca="1">INDEX(INDIRECT("CAM_WTPCore2_"&amp;$B87&amp;"_LevelValues"),2,MATCH("S1 MEAN",WTPCore2_LevelValues,0))</f>
        <v>2.654718763279678E-4</v>
      </c>
      <c r="V87" s="512">
        <f ca="1">INDEX(INDIRECT("CAM_WTPCore2_"&amp;$B87&amp;"_LevelValues"),2,MATCH("S2 MEAN",WTPCore2_LevelValues,0))</f>
        <v>1.3401602008677625E-5</v>
      </c>
      <c r="W87" s="643">
        <f ca="1">SUM(U87:V87)</f>
        <v>2.7887347833664542E-4</v>
      </c>
      <c r="X87" s="386">
        <f ca="1">E87*(S87-T87)</f>
        <v>39.158333333333339</v>
      </c>
      <c r="Y87" s="89">
        <f ca="1">INDEX(INDIRECT("CAM_WTPCore_"&amp;$B87&amp;"_UnitValues"),MATCH("COMBINED-NHH",WTPCore_Group,0),MATCH("MEAN",LMH,0))</f>
        <v>76.122762573196539</v>
      </c>
      <c r="Z87" s="89">
        <f ca="1">Y87*($S87-$T87)*(AllProps_CAM/NHHProps_CAM)</f>
        <v>10.666666666666668</v>
      </c>
      <c r="AA87" s="89">
        <f ca="1">INDEX(INDIRECT("CAM_WTPCore2_"&amp;$B87&amp;"_UnitValues"),2,MATCH("MEAN",LMH,0))</f>
        <v>10.189737398103325</v>
      </c>
      <c r="AB87" s="89">
        <f ca="1">AA87*($S87-$T87)*(AllProps_CAM/NHHProps_CAM)</f>
        <v>1.4278322090836246</v>
      </c>
      <c r="AC87" s="168">
        <f t="shared" ca="1" si="94"/>
        <v>154.84223780011683</v>
      </c>
      <c r="AD87" s="453" t="s">
        <v>127</v>
      </c>
      <c r="AE87" s="391">
        <f ca="1">AC87*NHHProps_CAM/((S87-T87)*AllProps_CAM)</f>
        <v>1105.0330222838188</v>
      </c>
    </row>
    <row r="88" spans="1:31" x14ac:dyDescent="0.35">
      <c r="A88" s="7" t="s">
        <v>1010</v>
      </c>
      <c r="B88" s="7" t="s">
        <v>144</v>
      </c>
      <c r="C88" s="7" t="str">
        <f>B88</f>
        <v>TempBan</v>
      </c>
      <c r="D88" s="377" t="s">
        <v>127</v>
      </c>
      <c r="E88" s="124">
        <f ca="1">INDEX(INDIRECT("ExtWTP19_"&amp;$C88&amp;"_UnitValues"),MATCH(A$83, INDIRECT("ExtWTP19_Comps_"&amp;C88),0),MATCH("NHH",ExtWTP_Group,0))</f>
        <v>342</v>
      </c>
      <c r="F88" s="383">
        <f t="shared" ca="1" si="91"/>
        <v>2.5000000000000001E-2</v>
      </c>
      <c r="G88" s="383">
        <f t="shared" ca="1" si="91"/>
        <v>1.6666666666666666E-2</v>
      </c>
      <c r="H88" s="431">
        <f ca="1">INDEX(INDIRECT("SSW_WTPCore2_"&amp;$B88&amp;"_LevelValues"),2,MATCH("S1 MEAN",WTPCore2_LevelValues,0))</f>
        <v>1.0363458862342743E-3</v>
      </c>
      <c r="I88" s="431">
        <f ca="1">INDEX(INDIRECT("SSW_WTPCore2_"&amp;$B88&amp;"_LevelValues"),2,MATCH("S2 MEAN",WTPCore2_LevelValues,0))</f>
        <v>6.2724159084084235E-4</v>
      </c>
      <c r="J88" s="323">
        <f ca="1">SUM(H88:I88)</f>
        <v>1.6635874770751166E-3</v>
      </c>
      <c r="K88" s="213">
        <f ca="1">E88*(F88-G88)</f>
        <v>2.8500000000000005</v>
      </c>
      <c r="L88" s="429">
        <f ca="1">INDEX(INDIRECT("SSW_WTPCore_DCE_"&amp;$B88&amp;"_UnitValues"),MATCH("COMBINED-NHH",WTPCore_Group,0),MATCH("MEAN",LMH,0))</f>
        <v>159200.29439999998</v>
      </c>
      <c r="M88" s="89">
        <f ca="1">L88*(F88-G88)/NHHProps_SSW</f>
        <v>4.4240000000000002E-2</v>
      </c>
      <c r="N88" s="89">
        <f ca="1">INDEX(INDIRECT("SSW_WTPCore2_"&amp;$B88&amp;"_UnitValues"),2,MATCH("MEAN",LMH,0))</f>
        <v>264843.61611051176</v>
      </c>
      <c r="O88" s="89">
        <f ca="1">N88*(F88-G88)/NHHProps_SSW*100</f>
        <v>7.3597109985803169</v>
      </c>
      <c r="P88" s="16">
        <f t="shared" ca="1" si="93"/>
        <v>3.5095142874661716</v>
      </c>
      <c r="Q88" s="457" t="s">
        <v>145</v>
      </c>
      <c r="R88" s="391">
        <f ca="1">P88*NHHProps_SSW/((F88-G88)*100)</f>
        <v>126291.97734304263</v>
      </c>
      <c r="S88" s="615">
        <f t="shared" ca="1" si="92"/>
        <v>0.02</v>
      </c>
      <c r="T88" s="615">
        <f t="shared" ca="1" si="92"/>
        <v>1.3333333333333334E-2</v>
      </c>
      <c r="U88" s="512">
        <f ca="1">INDEX(INDIRECT("CAM_WTPCore2_"&amp;$B88&amp;"_LevelValues"),2,MATCH("S1 MEAN",WTPCore2_LevelValues,0))</f>
        <v>1.3694025744847137E-3</v>
      </c>
      <c r="V88" s="512">
        <f ca="1">INDEX(INDIRECT("CAM_WTPCore2_"&amp;$B88&amp;"_LevelValues"),2,MATCH("S2 MEAN",WTPCore2_LevelValues,0))</f>
        <v>1.1073984405910726E-3</v>
      </c>
      <c r="W88" s="643">
        <f ca="1">SUM(U88:V88)</f>
        <v>2.4768010150757864E-3</v>
      </c>
      <c r="X88" s="386">
        <f ca="1">E88*(S88-T88)</f>
        <v>2.2799999999999998</v>
      </c>
      <c r="Y88" s="89">
        <f ca="1">INDEX(INDIRECT("CAM_WTPCore_"&amp;$B88&amp;"_UnitValues"),MATCH("COMBINED-NHH",WTPCore_Group,0),MATCH("MEAN",LMH,0))</f>
        <v>950206.4639999998</v>
      </c>
      <c r="Z88" s="89">
        <f ca="1">Y88*(S88-T88)/NHHProps_CAM*100</f>
        <v>73.727999999999966</v>
      </c>
      <c r="AA88" s="89">
        <f ca="1">INDEX(INDIRECT("CAM_WTPCore2_"&amp;$B88&amp;"_UnitValues"),2,MATCH("MEAN",LMH,0))</f>
        <v>163435.57878935931</v>
      </c>
      <c r="AB88" s="89">
        <f ca="1">AA88*(S88-T88)/NHHProps_CAM*100</f>
        <v>12.681221197188025</v>
      </c>
      <c r="AC88" s="168">
        <f t="shared" ca="1" si="94"/>
        <v>9.0157131862336577</v>
      </c>
      <c r="AD88" s="457" t="s">
        <v>145</v>
      </c>
      <c r="AE88" s="391">
        <f ca="1">AC88*NHHProps_CAM/((S88-T88)*100)</f>
        <v>116194.51154417939</v>
      </c>
    </row>
    <row r="89" spans="1:31" x14ac:dyDescent="0.35">
      <c r="D89" s="377"/>
      <c r="E89" s="124"/>
      <c r="F89" s="16"/>
      <c r="G89" s="16"/>
      <c r="H89" s="16"/>
      <c r="I89" s="16"/>
      <c r="J89" s="330">
        <f ca="1">SUM(J84:J88)*AvgNHHBill_SSW</f>
        <v>117.34305648060266</v>
      </c>
      <c r="K89" s="331">
        <f ca="1">SUM(K84:K88)</f>
        <v>74.570277777777775</v>
      </c>
      <c r="L89" s="331"/>
      <c r="M89" s="331">
        <f ca="1">SUM(M84:M88)</f>
        <v>66.309894594086614</v>
      </c>
      <c r="N89" s="331"/>
      <c r="O89" s="331">
        <f ca="1">SUM(O84:O88)</f>
        <v>117.34305648060266</v>
      </c>
      <c r="P89" s="330">
        <f ca="1">SUM(P84:P88)</f>
        <v>91.826475537344649</v>
      </c>
      <c r="R89" s="466"/>
      <c r="S89" s="168"/>
      <c r="T89" s="168"/>
      <c r="U89" s="168"/>
      <c r="V89" s="168"/>
      <c r="W89" s="44">
        <f ca="1">SUM(W84:W88)*AvgNHHBill_CAM</f>
        <v>579.27731062324972</v>
      </c>
      <c r="X89" s="389">
        <f ca="1">SUM(X84:X88)</f>
        <v>90.196001221001239</v>
      </c>
      <c r="Y89" s="389"/>
      <c r="Z89" s="331">
        <f ca="1">SUM(Z84:Z88)</f>
        <v>134.03959951159948</v>
      </c>
      <c r="AA89" s="331"/>
      <c r="AB89" s="331">
        <f ca="1">SUM(AB84:AB88)</f>
        <v>579.27731062324972</v>
      </c>
      <c r="AC89" s="44">
        <f ca="1">SUM(AC84:AC88)</f>
        <v>356.65845506742454</v>
      </c>
      <c r="AE89" s="391"/>
    </row>
    <row r="90" spans="1:31" s="50" customFormat="1" x14ac:dyDescent="0.35">
      <c r="D90" s="379"/>
      <c r="E90" s="14"/>
      <c r="F90" s="384"/>
      <c r="G90" s="384"/>
      <c r="H90" s="384"/>
      <c r="I90" s="384"/>
      <c r="J90" s="409"/>
      <c r="K90" s="25"/>
      <c r="L90" s="25"/>
      <c r="M90" s="163" t="s">
        <v>361</v>
      </c>
      <c r="N90" s="546">
        <f ca="1">AVERAGE(M89,O89)</f>
        <v>91.826475537344635</v>
      </c>
      <c r="O90" s="163"/>
      <c r="P90" s="11"/>
      <c r="Q90" s="458"/>
      <c r="R90" s="467"/>
      <c r="S90" s="38"/>
      <c r="T90" s="38"/>
      <c r="U90" s="38"/>
      <c r="V90" s="38"/>
      <c r="W90" s="151"/>
      <c r="X90" s="25"/>
      <c r="Y90" s="25"/>
      <c r="Z90" s="163" t="s">
        <v>361</v>
      </c>
      <c r="AA90" s="546">
        <f ca="1">AVERAGE(Z89,AB89)</f>
        <v>356.6584550674246</v>
      </c>
      <c r="AB90" s="163"/>
      <c r="AC90" s="11"/>
      <c r="AD90" s="11"/>
      <c r="AE90" s="392"/>
    </row>
    <row r="91" spans="1:31" x14ac:dyDescent="0.35">
      <c r="A91" s="51" t="s">
        <v>104</v>
      </c>
      <c r="J91" s="90"/>
      <c r="O91" s="133"/>
      <c r="R91" s="398"/>
      <c r="W91" s="512"/>
      <c r="AE91" s="398"/>
    </row>
    <row r="92" spans="1:31" x14ac:dyDescent="0.35">
      <c r="A92" s="7" t="s">
        <v>1010</v>
      </c>
      <c r="B92" s="7" t="s">
        <v>144</v>
      </c>
      <c r="C92" s="7" t="str">
        <f>B92</f>
        <v>TempBan</v>
      </c>
      <c r="D92" s="377" t="s">
        <v>127</v>
      </c>
      <c r="E92" s="124">
        <f ca="1">INDEX(INDIRECT("ExtWTP19_"&amp;$C92&amp;"_UnitValues"),MATCH(A$72, INDIRECT("ExtWTP19_Comps_"&amp;C92),0),MATCH("NHH",ExtWTP_Group,0))</f>
        <v>211</v>
      </c>
      <c r="F92" s="383">
        <f ca="1">INDEX(INDIRECT("SSW_WTPCore2_"&amp;$B92&amp;"_Levels"),2,MATCH(F$4,WTPCore2_AttLevels,0))</f>
        <v>2.5000000000000001E-2</v>
      </c>
      <c r="G92" s="383">
        <f ca="1">INDEX(INDIRECT("SSW_WTPCore2_"&amp;$B92&amp;"_Levels"),2,MATCH(G$4,WTPCore2_AttLevels,0))</f>
        <v>1.6666666666666666E-2</v>
      </c>
      <c r="H92" s="431">
        <f ca="1">INDEX(INDIRECT("SSW_WTPCore2_"&amp;$B92&amp;"_LevelValues"),2,MATCH("S1 MEAN",WTPCore2_LevelValues,0))</f>
        <v>1.0363458862342743E-3</v>
      </c>
      <c r="I92" s="431">
        <f ca="1">INDEX(INDIRECT("SSW_WTPCore2_"&amp;$B92&amp;"_LevelValues"),2,MATCH("S2 MEAN",WTPCore2_LevelValues,0))</f>
        <v>6.2724159084084235E-4</v>
      </c>
      <c r="J92" s="323">
        <f ca="1">SUM(H92:I92)</f>
        <v>1.6635874770751166E-3</v>
      </c>
      <c r="K92" s="213">
        <f ca="1">E92*(F92-G92)</f>
        <v>1.7583333333333337</v>
      </c>
      <c r="L92" s="429">
        <f ca="1">INDEX(INDIRECT("SSW_WTPCore_DCE_"&amp;$B92&amp;"_UnitValues"),MATCH("COMBINED-NHH",WTPCore_Group,0),MATCH("MEAN",LMH,0))</f>
        <v>159200.29439999998</v>
      </c>
      <c r="M92" s="89">
        <f ca="1">L92*(F92-G92)/NHHProps_SSW</f>
        <v>4.4240000000000002E-2</v>
      </c>
      <c r="N92" s="89">
        <f ca="1">INDEX(INDIRECT("SSW_WTPCore2_"&amp;$B92&amp;"_UnitValues"),2,MATCH("MEAN",LMH,0))</f>
        <v>264843.61611051176</v>
      </c>
      <c r="O92" s="89">
        <f ca="1">N92*(F92-G92)/NHHProps_SSW*100</f>
        <v>7.3597109985803169</v>
      </c>
      <c r="P92" s="16">
        <f ca="1">K92*N$95/K$94</f>
        <v>2.7880485700181432</v>
      </c>
      <c r="Q92" s="457" t="s">
        <v>145</v>
      </c>
      <c r="R92" s="391">
        <f ca="1">P92*NHHProps_SSW/((F92-G92)*100)</f>
        <v>100329.60062124487</v>
      </c>
      <c r="S92" s="615">
        <f ca="1">INDEX(INDIRECT("CAM_WTPCore2_"&amp;$B92&amp;"_Levels"),2,MATCH(S$4,WTPCore2_AttLevels,0))</f>
        <v>0.02</v>
      </c>
      <c r="T92" s="615">
        <f ca="1">INDEX(INDIRECT("CAM_WTPCore2_"&amp;$B92&amp;"_Levels"),2,MATCH(T$4,WTPCore2_AttLevels,0))</f>
        <v>1.3333333333333334E-2</v>
      </c>
      <c r="U92" s="512">
        <f ca="1">INDEX(INDIRECT("CAM_WTPCore2_"&amp;$B92&amp;"_LevelValues"),2,MATCH("S1 MEAN",WTPCore2_LevelValues,0))</f>
        <v>1.3694025744847137E-3</v>
      </c>
      <c r="V92" s="512">
        <f ca="1">INDEX(INDIRECT("CAM_WTPCore2_"&amp;$B92&amp;"_LevelValues"),2,MATCH("S2 MEAN",WTPCore2_LevelValues,0))</f>
        <v>1.1073984405910726E-3</v>
      </c>
      <c r="W92" s="643">
        <f ca="1">SUM(U92:V92)</f>
        <v>2.4768010150757864E-3</v>
      </c>
      <c r="X92" s="386">
        <f ca="1">E92*(S92-T92)</f>
        <v>1.4066666666666665</v>
      </c>
      <c r="Y92" s="89">
        <f ca="1">INDEX(INDIRECT("CAM_WTPCore_"&amp;$B92&amp;"_UnitValues"),MATCH("COMBINED-NHH",WTPCore_Group,0),MATCH("MEAN",LMH,0))</f>
        <v>950206.4639999998</v>
      </c>
      <c r="Z92" s="89">
        <f ca="1">Y92*(S92-T92)/NHHProps_CAM*100</f>
        <v>73.727999999999966</v>
      </c>
      <c r="AA92" s="89">
        <f ca="1">INDEX(INDIRECT("CAM_WTPCore2_"&amp;$B92&amp;"_UnitValues"),2,MATCH("MEAN",LMH,0))</f>
        <v>163435.57878935931</v>
      </c>
      <c r="AB92" s="89">
        <f ca="1">AA92*(S92-T92)/NHHProps_CAM*100</f>
        <v>12.681221197188025</v>
      </c>
      <c r="AC92" s="168">
        <f ca="1">X92*AA$95/X$94</f>
        <v>13.521478422498014</v>
      </c>
      <c r="AD92" s="457" t="s">
        <v>145</v>
      </c>
      <c r="AE92" s="391">
        <f ca="1">AC92*NHHProps_CAM/((S92-T92)*100)</f>
        <v>174264.81390915441</v>
      </c>
    </row>
    <row r="93" spans="1:31" x14ac:dyDescent="0.35">
      <c r="A93" s="7" t="s">
        <v>40</v>
      </c>
      <c r="B93" s="7" t="s">
        <v>40</v>
      </c>
      <c r="C93" s="7" t="str">
        <f>B93</f>
        <v>Leakage</v>
      </c>
      <c r="D93" s="377" t="s">
        <v>1168</v>
      </c>
      <c r="E93" s="124">
        <f ca="1">INDEX(INDIRECT("ExtWTP19_"&amp;$B93&amp;"_UnitValues"),8,2)</f>
        <v>686587</v>
      </c>
      <c r="F93" s="442">
        <f ca="1">INDEX(INDIRECT("SSW_WTPCore2_"&amp;$B93&amp;"_Levels"),2,MATCH(F$4,WTPCore2_AttLevels,0))</f>
        <v>70.5</v>
      </c>
      <c r="G93" s="442">
        <f ca="1">INDEX(INDIRECT("SSW_WTPCore2_"&amp;$B93&amp;"_Levels"),2,MATCH(G$4,WTPCore2_AttLevels,0))</f>
        <v>35.25</v>
      </c>
      <c r="H93" s="431">
        <f ca="1">INDEX(INDIRECT("SSW_WTPCore2_"&amp;$B93&amp;"_LevelValues"),2,MATCH("S1 MEAN",WTPCore2_LevelValues,0))</f>
        <v>1.8366495603833657E-2</v>
      </c>
      <c r="I93" s="431">
        <f ca="1">INDEX(INDIRECT("SSW_WTPCore2_"&amp;$B93&amp;"_LevelValues"),2,MATCH("S2 MEAN",WTPCore2_LevelValues,0))</f>
        <v>6.6875105310339848E-3</v>
      </c>
      <c r="J93" s="323">
        <f ca="1">SUM(H93:I93)</f>
        <v>2.5054006134867642E-2</v>
      </c>
      <c r="K93" s="213">
        <f ca="1">E93*(F93-G93)/AllProps_SSW</f>
        <v>42.5028612196514</v>
      </c>
      <c r="L93" s="429">
        <f ca="1">INDEX(INDIRECT("SSW_WTPCore_DCE_"&amp;$B93&amp;"_UnitValues"),MATCH("COMBINED-NHH",WTPCore_Group,0),MATCH("MEAN",LMH,0))</f>
        <v>18818.001702127662</v>
      </c>
      <c r="M93" s="89">
        <f ca="1">L93*(F93-G93)/NHHProps_SSW</f>
        <v>22.12</v>
      </c>
      <c r="N93" s="89">
        <f ca="1">INDEX(INDIRECT("SSW_WTPCore2_"&amp;$B93&amp;"_UnitValues"),2,MATCH("MEAN",LMH,0))</f>
        <v>94293.266018211216</v>
      </c>
      <c r="O93" s="89">
        <f ca="1">N93*(F93-G93)/NHHProps_SSW</f>
        <v>110.83892314065444</v>
      </c>
      <c r="P93" s="16">
        <f ca="1">K93*N$95/K$94</f>
        <v>67.393388499599226</v>
      </c>
      <c r="Q93" s="453" t="s">
        <v>1168</v>
      </c>
      <c r="R93" s="391">
        <f ca="1">P93*NHHProps_SSW/((F93-G93))</f>
        <v>57333.132888680331</v>
      </c>
      <c r="S93" s="620">
        <f ca="1">INDEX(INDIRECT("CAM_WTPCore2_"&amp;$B93&amp;"_Levels"),2,MATCH(S$4,WTPCore2_AttLevels,0))</f>
        <v>13.5</v>
      </c>
      <c r="T93" s="620">
        <f ca="1">INDEX(INDIRECT("CAM_WTPCore2_"&amp;$B93&amp;"_Levels"),2,MATCH(T$4,WTPCore2_AttLevels,0))</f>
        <v>6.75</v>
      </c>
      <c r="U93" s="512">
        <f ca="1">INDEX(INDIRECT("CAM_WTPCore2_"&amp;$B93&amp;"_LevelValues"),2,MATCH("S1 MEAN",WTPCore2_LevelValues,0))</f>
        <v>7.1569068986342493E-2</v>
      </c>
      <c r="V93" s="512">
        <f ca="1">INDEX(INDIRECT("CAM_WTPCore2_"&amp;$B93&amp;"_LevelValues"),2,MATCH("S2 MEAN",WTPCore2_LevelValues,0))</f>
        <v>3.5284810800562588E-2</v>
      </c>
      <c r="W93" s="643">
        <f ca="1">SUM(U93:V93)</f>
        <v>0.10685387978690508</v>
      </c>
      <c r="X93" s="386">
        <f ca="1">E93*(S93-T93)/AllProps_CAM</f>
        <v>32.07817496573778</v>
      </c>
      <c r="Y93" s="89">
        <f ca="1">INDEX(INDIRECT("CAM_WTPCore_"&amp;$B93&amp;"_UnitValues"),MATCH("COMBINED-NHH",WTPCore_Group,0),MATCH("MEAN",LMH,0))</f>
        <v>13034.382222222222</v>
      </c>
      <c r="Z93" s="89">
        <f ca="1">Y93*(S93-T93)/NHHProps_CAM</f>
        <v>10.24</v>
      </c>
      <c r="AA93" s="89">
        <f ca="1">INDEX(INDIRECT("CAM_WTPCore2_"&amp;$B93&amp;"_UnitValues"),2,MATCH("MEAN",LMH,0))</f>
        <v>696387.155534953</v>
      </c>
      <c r="AB93" s="89">
        <f ca="1">AA93*(S93-T93)/NHHProps_CAM</f>
        <v>547.09186450895402</v>
      </c>
      <c r="AC93" s="168">
        <f ca="1">X93*AA$95/X$94</f>
        <v>308.34906443057298</v>
      </c>
      <c r="AD93" s="453" t="s">
        <v>1168</v>
      </c>
      <c r="AE93" s="391">
        <f ca="1">AC93*NHHProps_CAM/((S93-T93))</f>
        <v>392494.09801296046</v>
      </c>
    </row>
    <row r="94" spans="1:31" x14ac:dyDescent="0.35">
      <c r="D94" s="377"/>
      <c r="E94" s="124"/>
      <c r="F94" s="445"/>
      <c r="G94" s="445"/>
      <c r="H94" s="16"/>
      <c r="I94" s="16"/>
      <c r="J94" s="194">
        <f ca="1">SUM(J92:J93)*AvgNHHBill_SSW</f>
        <v>118.19863413923476</v>
      </c>
      <c r="K94" s="331">
        <f ca="1">SUM(K92:K93)</f>
        <v>44.261194552984733</v>
      </c>
      <c r="L94" s="331"/>
      <c r="M94" s="331">
        <f ca="1">SUM(M92:M93)</f>
        <v>22.164239999999999</v>
      </c>
      <c r="N94" s="331"/>
      <c r="O94" s="331">
        <f ca="1">SUM(O92:O93)</f>
        <v>118.19863413923476</v>
      </c>
      <c r="P94" s="42">
        <f ca="1">SUM(P92:P93)</f>
        <v>70.181437069617374</v>
      </c>
      <c r="R94" s="398"/>
      <c r="W94" s="44">
        <f ca="1">SUM(W92:W93)*AvgNHHBill_CAM</f>
        <v>559.77308570614207</v>
      </c>
      <c r="X94" s="462">
        <f ca="1">SUM(X92:X93)</f>
        <v>33.484841632404446</v>
      </c>
      <c r="Y94" s="462"/>
      <c r="Z94" s="331">
        <f ca="1">SUM(Z92:Z93)</f>
        <v>83.967999999999961</v>
      </c>
      <c r="AA94" s="331"/>
      <c r="AB94" s="331">
        <f ca="1">SUM(AB92:AB93)</f>
        <v>559.77308570614207</v>
      </c>
      <c r="AC94" s="461">
        <f ca="1">SUM(AC92:AC93)</f>
        <v>321.87054285307102</v>
      </c>
      <c r="AE94" s="398"/>
    </row>
    <row r="95" spans="1:31" s="50" customFormat="1" x14ac:dyDescent="0.35">
      <c r="D95" s="371"/>
      <c r="E95" s="371"/>
      <c r="F95" s="352"/>
      <c r="G95" s="352"/>
      <c r="H95" s="352"/>
      <c r="I95" s="352"/>
      <c r="J95" s="152"/>
      <c r="M95" s="163" t="s">
        <v>361</v>
      </c>
      <c r="N95" s="546">
        <f ca="1">AVERAGE(M94,O94)</f>
        <v>70.181437069617374</v>
      </c>
      <c r="O95" s="163"/>
      <c r="Q95" s="458"/>
      <c r="R95" s="470"/>
      <c r="S95" s="371"/>
      <c r="T95" s="371"/>
      <c r="U95" s="371"/>
      <c r="V95" s="371"/>
      <c r="W95" s="151"/>
      <c r="X95" s="352"/>
      <c r="Y95" s="352"/>
      <c r="Z95" s="163" t="s">
        <v>361</v>
      </c>
      <c r="AA95" s="546">
        <f ca="1">AVERAGE(Z94,AB94)</f>
        <v>321.87054285307102</v>
      </c>
      <c r="AB95" s="163"/>
      <c r="AE95" s="470"/>
    </row>
    <row r="96" spans="1:31" x14ac:dyDescent="0.35">
      <c r="A96" s="51" t="s">
        <v>105</v>
      </c>
      <c r="J96" s="90"/>
      <c r="O96" s="133"/>
      <c r="R96" s="398"/>
      <c r="W96" s="512"/>
      <c r="AE96" s="398"/>
    </row>
    <row r="97" spans="1:31" x14ac:dyDescent="0.35">
      <c r="A97" s="7" t="s">
        <v>855</v>
      </c>
      <c r="B97" s="7" t="s">
        <v>138</v>
      </c>
      <c r="C97" s="7" t="s">
        <v>1008</v>
      </c>
      <c r="D97" s="377" t="s">
        <v>127</v>
      </c>
      <c r="E97" s="124">
        <f ca="1">INDEX(INDIRECT("ExtWTP19_"&amp;$C97&amp;"_UnitValues"),MATCH(A$96, INDIRECT("ExtWTP19_Comps_"&amp;C97),0),MATCH("NHH",ExtWTP_Group,0))</f>
        <v>10840</v>
      </c>
      <c r="F97" s="383">
        <f ca="1">INDEX(INDIRECT("SSW_WTPCore2_"&amp;$B97&amp;"_Levels"),2,MATCH(F$4,WTPCore2_AttLevels,0))</f>
        <v>1.2500000000000001E-2</v>
      </c>
      <c r="G97" s="383">
        <f ca="1">INDEX(INDIRECT("SSW_WTPCore2_"&amp;$B97&amp;"_Levels"),2,MATCH(G$4,WTPCore2_AttLevels,0))</f>
        <v>8.3333333333333332E-3</v>
      </c>
      <c r="H97" s="431">
        <f ca="1">INDEX(INDIRECT("SSW_WTPCore2_"&amp;$B97&amp;"_LevelValues"),2,MATCH("S1 MEAN",WTPCore2_LevelValues,0))</f>
        <v>2.3562800507588295E-4</v>
      </c>
      <c r="I97" s="431">
        <f ca="1">INDEX(INDIRECT("SSW_WTPCore2_"&amp;$B97&amp;"_LevelValues"),2,MATCH("S2 MEAN",WTPCore2_LevelValues,0))</f>
        <v>4.1117889914467278E-4</v>
      </c>
      <c r="J97" s="323">
        <f ca="1">SUM(H97:I97)</f>
        <v>6.4680690422055573E-4</v>
      </c>
      <c r="K97" s="213">
        <f ca="1">E97*(F97-G97)</f>
        <v>45.166666666666679</v>
      </c>
      <c r="L97" s="429">
        <f ca="1">INDEX(INDIRECT("SSW_WTPCore_DCE_"&amp;$B97&amp;"_UnitValues"),MATCH("COMBINED-NHH",WTPCore_Group,0),MATCH("MEAN",LMH,0))</f>
        <v>260.23872775996313</v>
      </c>
      <c r="M97" s="89">
        <f ca="1">L97*($F97-$G97)*(AllProps_SSW/NHHProps_SSW)</f>
        <v>20.589685534591201</v>
      </c>
      <c r="N97" s="89">
        <f ca="1">INDEX(INDIRECT("SSW_WTPCore2_"&amp;$B97&amp;"_UnitValues"),2,MATCH("MEAN",LMH,0))</f>
        <v>36.166957745748803</v>
      </c>
      <c r="O97" s="89">
        <f ca="1">N97*($F97-$G97)*(AllProps_SSW/NHHProps_SSW)</f>
        <v>2.8614737442717386</v>
      </c>
      <c r="P97" s="16">
        <f ca="1">K97*N$100/K$99</f>
        <v>5.445942299164535E-2</v>
      </c>
      <c r="Q97" s="453" t="s">
        <v>127</v>
      </c>
      <c r="R97" s="391">
        <f ca="1">P97*NHHProps_SSW/((F97-G97)*AllProps_SSW)</f>
        <v>0.68832770321224135</v>
      </c>
      <c r="S97" s="615">
        <f ca="1">INDEX(INDIRECT("CAM_WTPCore2_"&amp;$B97&amp;"_Levels"),2,MATCH(S$4,WTPCore2_AttLevels,0))</f>
        <v>2.5000000000000001E-2</v>
      </c>
      <c r="T97" s="615">
        <f ca="1">INDEX(INDIRECT("CAM_WTPCore2_"&amp;$B97&amp;"_Levels"),2,MATCH(T$4,WTPCore2_AttLevels,0))</f>
        <v>1.6666666666666666E-2</v>
      </c>
      <c r="U97" s="512">
        <f ca="1">INDEX(INDIRECT("CAM_WTPCore2_"&amp;$B97&amp;"_LevelValues"),2,MATCH("S1 MEAN",WTPCore2_LevelValues,0))</f>
        <v>2.654718763279678E-4</v>
      </c>
      <c r="V97" s="512">
        <f ca="1">INDEX(INDIRECT("CAM_WTPCore2_"&amp;$B97&amp;"_LevelValues"),2,MATCH("S2 MEAN",WTPCore2_LevelValues,0))</f>
        <v>1.3401602008677625E-5</v>
      </c>
      <c r="W97" s="643">
        <f ca="1">SUM(U97:V97)</f>
        <v>2.7887347833664542E-4</v>
      </c>
      <c r="X97" s="386">
        <f ca="1">E97*(S97-T97)</f>
        <v>90.333333333333357</v>
      </c>
      <c r="Y97" s="89">
        <f ca="1">INDEX(INDIRECT("CAM_WTPCore_"&amp;$B97&amp;"_UnitValues"),MATCH("COMBINED-NHH",WTPCore_Group,0),MATCH("MEAN",LMH,0))</f>
        <v>76.122762573196539</v>
      </c>
      <c r="Z97" s="89">
        <f ca="1">Y97*($S97-TG97)*(AllProps_CAM/NHHProps_CAM)</f>
        <v>31.999999999999993</v>
      </c>
      <c r="AA97" s="89">
        <f ca="1">INDEX(INDIRECT("CAM_WTPCore2_"&amp;$B97&amp;"_UnitValues"),2,MATCH("MEAN",LMH,0))</f>
        <v>10.189737398103325</v>
      </c>
      <c r="AB97" s="89">
        <f ca="1">AA97*($S97-T97)*(AllProps_CAM/NHHProps_CAM)</f>
        <v>1.4278322090836246</v>
      </c>
      <c r="AC97" s="168">
        <f ca="1">X97*AA$100/X$99</f>
        <v>0.24416343990991773</v>
      </c>
      <c r="AD97" s="453" t="s">
        <v>127</v>
      </c>
      <c r="AE97" s="471">
        <f ca="1">AC97*NHHProps_CAM/((S97-T97)*AllProps_CAM)</f>
        <v>1.7424745842485259</v>
      </c>
    </row>
    <row r="98" spans="1:31" x14ac:dyDescent="0.35">
      <c r="A98" s="7" t="s">
        <v>125</v>
      </c>
      <c r="B98" s="7" t="s">
        <v>126</v>
      </c>
      <c r="C98" s="7" t="str">
        <f>B98</f>
        <v>NotSafe</v>
      </c>
      <c r="D98" s="377" t="s">
        <v>127</v>
      </c>
      <c r="E98" s="124">
        <f ca="1">INDEX(INDIRECT("ExtWTP19_"&amp;$C98&amp;"_UnitValues"),MATCH(A$96, INDIRECT("ExtWTP19_Comps_"&amp;C98),0),MATCH("NHH",ExtWTP_Group,0))</f>
        <v>7981466</v>
      </c>
      <c r="F98" s="383">
        <f ca="1">INDEX(INDIRECT("SSW_WTPCore2_"&amp;$B98&amp;"_Levels"),2,MATCH(F$4,WTPCore2_AttLevels,0))</f>
        <v>1.2500000000000001E-2</v>
      </c>
      <c r="G98" s="383">
        <f ca="1">INDEX(INDIRECT("SSW_WTPCore2_"&amp;$B98&amp;"_Levels"),2,MATCH(G$4,WTPCore2_AttLevels,0))</f>
        <v>8.3333333333333332E-3</v>
      </c>
      <c r="H98" s="431">
        <f ca="1">INDEX(INDIRECT("SSW_WTPCore2_"&amp;$B98&amp;"_LevelValues"),2,MATCH("S1 MEAN",WTPCore2_LevelValues,0))</f>
        <v>1.5617999911371258E-4</v>
      </c>
      <c r="I98" s="431">
        <f ca="1">INDEX(INDIRECT("SSW_WTPCore2_"&amp;$B98&amp;"_LevelValues"),2,MATCH("S2 MEAN",WTPCore2_LevelValues,0))</f>
        <v>6.9518632551394011E-4</v>
      </c>
      <c r="J98" s="323">
        <f ca="1">SUM(H98:I98)</f>
        <v>8.5136632462765266E-4</v>
      </c>
      <c r="K98" s="213">
        <f ca="1">E98*(F98-G98)</f>
        <v>33256.108333333337</v>
      </c>
      <c r="L98" s="429">
        <f ca="1">INDEX(INDIRECT("SSW_WTPCore_DCE_"&amp;$B98&amp;"_UnitValues"),MATCH("COMBINED-NHH",WTPCore_Group,0),MATCH("MEAN",LMH,0))</f>
        <v>670.99390887298591</v>
      </c>
      <c r="M98" s="89">
        <f ca="1">L98*($F98-$G98)*(AllProps_SSW/NHHProps_SSW)</f>
        <v>53.088000000000008</v>
      </c>
      <c r="N98" s="89">
        <f ca="1">INDEX(INDIRECT("SSW_WTPCore2_"&amp;$B98&amp;"_UnitValues"),2,MATCH("MEAN",LMH,0))</f>
        <v>47.605134837061335</v>
      </c>
      <c r="O98" s="89">
        <f ca="1">N98*($F98-$G98)*(AllProps_SSW/NHHProps_SSW)</f>
        <v>3.7664446201527353</v>
      </c>
      <c r="P98" s="16">
        <f ca="1">K98*N$100/K$99</f>
        <v>40.098342526516198</v>
      </c>
      <c r="Q98" s="453" t="s">
        <v>127</v>
      </c>
      <c r="R98" s="391">
        <f ca="1">P98*NHHProps_SSW/((F98-G98)*AllProps_SSW)</f>
        <v>506.81403690466738</v>
      </c>
      <c r="S98" s="615">
        <f ca="1">INDEX(INDIRECT("CAM_WTPCore2_"&amp;$B98&amp;"_Levels"),2,MATCH(S$4,WTPCore2_AttLevels,0))</f>
        <v>1.2500000000000001E-2</v>
      </c>
      <c r="T98" s="615">
        <f ca="1">INDEX(INDIRECT("CAM_WTPCore2_"&amp;$B98&amp;"_Levels"),2,MATCH(T$4,WTPCore2_AttLevels,0))</f>
        <v>8.3333333333333332E-3</v>
      </c>
      <c r="U98" s="512">
        <f ca="1">INDEX(INDIRECT("CAM_WTPCore2_"&amp;$B98&amp;"_LevelValues"),2,MATCH("S1 MEAN",WTPCore2_LevelValues,0))</f>
        <v>1.0438910529886973E-3</v>
      </c>
      <c r="V98" s="512">
        <f ca="1">INDEX(INDIRECT("CAM_WTPCore2_"&amp;$B98&amp;"_LevelValues"),2,MATCH("S2 MEAN",WTPCore2_LevelValues,0))</f>
        <v>6.3529836977335285E-4</v>
      </c>
      <c r="W98" s="643">
        <f ca="1">SUM(U98:V98)</f>
        <v>1.6791894227620502E-3</v>
      </c>
      <c r="X98" s="386">
        <f ca="1">E98*(S98-T98)</f>
        <v>33256.108333333337</v>
      </c>
      <c r="Y98" s="89">
        <f ca="1">INDEX(INDIRECT("CAM_WTPCore_"&amp;$B98&amp;"_UnitValues"),MATCH("COMBINED-NHH",WTPCore_Group,0),MATCH("MEAN",LMH,0))</f>
        <v>657.70066863241811</v>
      </c>
      <c r="Z98" s="89">
        <f ca="1">Y98*($S98-TG98)*(AllProps_CAM/NHHProps_CAM)</f>
        <v>138.23999999999998</v>
      </c>
      <c r="AA98" s="89">
        <f ca="1">INDEX(INDIRECT("CAM_WTPCore2_"&amp;$B98&amp;"_UnitValues"),2,MATCH("MEAN",LMH,0))</f>
        <v>122.71155623456495</v>
      </c>
      <c r="AB98" s="89">
        <f ca="1">AA98*($S98-T98)*(AllProps_CAM/NHHProps_CAM)</f>
        <v>8.597449844541698</v>
      </c>
      <c r="AC98" s="168">
        <f ca="1">X98*AA$100/X$99</f>
        <v>89.888477586902724</v>
      </c>
      <c r="AD98" s="453" t="s">
        <v>127</v>
      </c>
      <c r="AE98" s="391">
        <f ca="1">AC98*NHHProps_CAM/((S98-T98)*AllProps_CAM)</f>
        <v>1282.9798570151054</v>
      </c>
    </row>
    <row r="99" spans="1:31" x14ac:dyDescent="0.35">
      <c r="D99" s="377"/>
      <c r="E99" s="124"/>
      <c r="F99" s="383"/>
      <c r="G99" s="383"/>
      <c r="H99" s="16"/>
      <c r="I99" s="16"/>
      <c r="J99" s="330">
        <f ca="1">SUM(J97:J98)*AvgNHHBill_SSW</f>
        <v>6.6279183644244739</v>
      </c>
      <c r="K99" s="331">
        <f ca="1">SUM(K97:K98)</f>
        <v>33301.275000000001</v>
      </c>
      <c r="L99" s="331"/>
      <c r="M99" s="331">
        <f ca="1">SUM(M97:M98)</f>
        <v>73.677685534591205</v>
      </c>
      <c r="N99" s="331"/>
      <c r="O99" s="223">
        <f ca="1">SUM(O97:O98)</f>
        <v>6.6279183644244739</v>
      </c>
      <c r="P99" s="42">
        <f ca="1">SUM(P97:P98)</f>
        <v>40.152801949507847</v>
      </c>
      <c r="R99" s="398"/>
      <c r="W99" s="44">
        <f ca="1">SUM(W97:W98)*AvgNHHBill_CAM</f>
        <v>10.025282053625322</v>
      </c>
      <c r="X99" s="462">
        <f ca="1">SUM(X97:X98)</f>
        <v>33346.441666666673</v>
      </c>
      <c r="Y99" s="462"/>
      <c r="Z99" s="331">
        <f ca="1">SUM(Z97:Z98)</f>
        <v>170.23999999999998</v>
      </c>
      <c r="AA99" s="331"/>
      <c r="AB99" s="331">
        <f ca="1">SUM(AB97:AB98)</f>
        <v>10.025282053625322</v>
      </c>
      <c r="AC99" s="461">
        <f ca="1">SUM(AC97:AC98)</f>
        <v>90.132641026812635</v>
      </c>
      <c r="AE99" s="398"/>
    </row>
    <row r="100" spans="1:31" s="50" customFormat="1" x14ac:dyDescent="0.35">
      <c r="D100" s="371"/>
      <c r="E100" s="371"/>
      <c r="F100" s="352"/>
      <c r="G100" s="352"/>
      <c r="H100" s="352"/>
      <c r="I100" s="352"/>
      <c r="J100" s="152"/>
      <c r="M100" s="163" t="s">
        <v>361</v>
      </c>
      <c r="N100" s="546">
        <f ca="1">AVERAGE(M99,O99)</f>
        <v>40.15280194950784</v>
      </c>
      <c r="O100" s="163"/>
      <c r="Q100" s="458"/>
      <c r="R100" s="470"/>
      <c r="S100" s="371"/>
      <c r="T100" s="371"/>
      <c r="U100" s="371"/>
      <c r="V100" s="371"/>
      <c r="W100" s="151"/>
      <c r="X100" s="352"/>
      <c r="Y100" s="352"/>
      <c r="Z100" s="163" t="s">
        <v>361</v>
      </c>
      <c r="AA100" s="546">
        <f ca="1">AVERAGE(Z99,AB99)</f>
        <v>90.132641026812649</v>
      </c>
      <c r="AB100" s="163"/>
      <c r="AE100" s="470"/>
    </row>
    <row r="101" spans="1:31" x14ac:dyDescent="0.35">
      <c r="A101" s="51" t="s">
        <v>106</v>
      </c>
      <c r="J101" s="90"/>
      <c r="R101" s="398"/>
      <c r="W101" s="512"/>
      <c r="AE101" s="398"/>
    </row>
    <row r="102" spans="1:31" x14ac:dyDescent="0.35">
      <c r="A102" s="7" t="s">
        <v>876</v>
      </c>
      <c r="B102" s="7" t="s">
        <v>138</v>
      </c>
      <c r="C102" s="7" t="s">
        <v>1007</v>
      </c>
      <c r="D102" s="377" t="s">
        <v>127</v>
      </c>
      <c r="E102" s="124">
        <f ca="1">INDEX(INDIRECT("ExtWTP19_"&amp;$C102&amp;"_UnitValues"),MATCH(A$101, INDIRECT("ExtWTP19_Comps_"&amp;C102),0),MATCH("NHH",ExtWTP_Group,0))</f>
        <v>1663</v>
      </c>
      <c r="F102" s="383">
        <f ca="1">INDEX(INDIRECT("SSW_WTPCore2_"&amp;$B102&amp;"_Levels"),2,MATCH(F$4,WTPCore2_AttLevels,0))</f>
        <v>1.2500000000000001E-2</v>
      </c>
      <c r="G102" s="383">
        <f ca="1">INDEX(INDIRECT("SSW_WTPCore2_"&amp;$B102&amp;"_Levels"),2,MATCH(G$4,WTPCore2_AttLevels,0))</f>
        <v>8.3333333333333332E-3</v>
      </c>
      <c r="H102" s="431">
        <f ca="1">INDEX(INDIRECT("SSW_WTPCore2_"&amp;$B102&amp;"_LevelValues"),2,MATCH("S1 MEAN",WTPCore2_LevelValues,0))</f>
        <v>2.3562800507588295E-4</v>
      </c>
      <c r="I102" s="431">
        <f ca="1">INDEX(INDIRECT("SSW_WTPCore2_"&amp;$B102&amp;"_LevelValues"),2,MATCH("S2 MEAN",WTPCore2_LevelValues,0))</f>
        <v>4.1117889914467278E-4</v>
      </c>
      <c r="J102" s="323">
        <f ca="1">SUM(H102:I102)</f>
        <v>6.4680690422055573E-4</v>
      </c>
      <c r="K102" s="213">
        <f ca="1">E102*(F102-G102)</f>
        <v>6.929166666666668</v>
      </c>
      <c r="L102" s="429">
        <f ca="1">INDEX(INDIRECT("SSW_WTPCore_DCE_"&amp;$B102&amp;"_UnitValues"),MATCH("COMBINED-NHH",WTPCore_Group,0),MATCH("MEAN",LMH,0))</f>
        <v>260.23872775996313</v>
      </c>
      <c r="M102" s="89">
        <f ca="1">L102*($F102-$G102)*(AllProps_SSW/NHHProps_SSW)</f>
        <v>20.589685534591201</v>
      </c>
      <c r="N102" s="89">
        <f ca="1">INDEX(INDIRECT("SSW_WTPCore2_"&amp;$B102&amp;"_UnitValues"),2,MATCH("MEAN",LMH,0))</f>
        <v>36.166957745748803</v>
      </c>
      <c r="O102" s="89">
        <f ca="1">N102*($F102-$G102)*(AllProps_SSW/NHHProps_SSW)</f>
        <v>2.8614737442717386</v>
      </c>
      <c r="P102" s="16">
        <f ca="1">K102*N$105/K$104</f>
        <v>5.2573881423508873</v>
      </c>
      <c r="Q102" s="453" t="s">
        <v>127</v>
      </c>
      <c r="R102" s="391">
        <f ca="1">P102*NHHProps_SSW/((F102-G102)*AllProps_SSW)</f>
        <v>66.449582204989966</v>
      </c>
      <c r="S102" s="615">
        <f ca="1">INDEX(INDIRECT("CAM_WTPCore2_"&amp;$B102&amp;"_Levels"),2,MATCH(S$4,WTPCore2_AttLevels,0))</f>
        <v>2.5000000000000001E-2</v>
      </c>
      <c r="T102" s="615">
        <f ca="1">INDEX(INDIRECT("CAM_WTPCore2_"&amp;$B102&amp;"_Levels"),2,MATCH(T$4,WTPCore2_AttLevels,0))</f>
        <v>1.6666666666666666E-2</v>
      </c>
      <c r="U102" s="512">
        <f ca="1">INDEX(INDIRECT("CAM_WTPCore2_"&amp;$B102&amp;"_LevelValues"),2,MATCH("S1 MEAN",WTPCore2_LevelValues,0))</f>
        <v>2.654718763279678E-4</v>
      </c>
      <c r="V102" s="512">
        <f ca="1">INDEX(INDIRECT("CAM_WTPCore2_"&amp;$B102&amp;"_LevelValues"),2,MATCH("S2 MEAN",WTPCore2_LevelValues,0))</f>
        <v>1.3401602008677625E-5</v>
      </c>
      <c r="W102" s="435">
        <f ca="1">SUM(U102:V102)</f>
        <v>2.7887347833664542E-4</v>
      </c>
      <c r="X102" s="386">
        <f ca="1">E102*(S102-T102)</f>
        <v>13.858333333333336</v>
      </c>
      <c r="Y102" s="89">
        <f ca="1">INDEX(INDIRECT("CAM_WTPCore_"&amp;$B102&amp;"_UnitValues"),MATCH("COMBINED-NHH",WTPCore_Group,0),MATCH("MEAN",LMH,0))</f>
        <v>76.122762573196539</v>
      </c>
      <c r="Z102" s="89">
        <f ca="1">Y102*($S102-TG102)*(AllProps_CAM/NHHProps_CAM)</f>
        <v>31.999999999999993</v>
      </c>
      <c r="AA102" s="89">
        <f ca="1">INDEX(INDIRECT("CAM_WTPCore2_"&amp;$B102&amp;"_UnitValues"),2,MATCH("MEAN",LMH,0))</f>
        <v>10.189737398103325</v>
      </c>
      <c r="AB102" s="89">
        <f ca="1">AA102*($S102-T102)*(AllProps_CAM/NHHProps_CAM)</f>
        <v>1.4278322090836246</v>
      </c>
      <c r="AC102" s="168">
        <f ca="1">X102*AA$105/X$104</f>
        <v>47.366590542881156</v>
      </c>
      <c r="AD102" s="453" t="s">
        <v>127</v>
      </c>
      <c r="AE102" s="471">
        <f ca="1">AC102*NHHProps_CAM/((S102-T102)*AllProps_CAM)</f>
        <v>338.03209929352118</v>
      </c>
    </row>
    <row r="103" spans="1:31" x14ac:dyDescent="0.35">
      <c r="A103" s="7" t="s">
        <v>40</v>
      </c>
      <c r="B103" s="7" t="s">
        <v>40</v>
      </c>
      <c r="C103" s="7" t="str">
        <f>B103</f>
        <v>Leakage</v>
      </c>
      <c r="D103" s="377" t="s">
        <v>1168</v>
      </c>
      <c r="E103" s="124">
        <f ca="1">INDEX(INDIRECT("ExtWTP19_"&amp;$C103&amp;"_UnitValues"),MATCH(A$101, INDIRECT("ExtWTP19_Comps_"&amp;C103),0),MATCH("NHH",ExtWTP_Group,0))</f>
        <v>1553101</v>
      </c>
      <c r="F103" s="442">
        <f ca="1">INDEX(INDIRECT("SSW_WTPCore2_"&amp;$B103&amp;"_Levels"),2,MATCH(F$4,WTPCore2_AttLevels,0))</f>
        <v>70.5</v>
      </c>
      <c r="G103" s="442">
        <f ca="1">INDEX(INDIRECT("SSW_WTPCore2_"&amp;$B103&amp;"_Levels"),2,MATCH(G$4,WTPCore2_AttLevels,0))</f>
        <v>35.25</v>
      </c>
      <c r="H103" s="431">
        <f ca="1">INDEX(INDIRECT("SSW_WTPCore2_"&amp;$B103&amp;"_LevelValues"),2,MATCH("S1 MEAN",WTPCore2_LevelValues,0))</f>
        <v>1.8366495603833657E-2</v>
      </c>
      <c r="I103" s="431">
        <f ca="1">INDEX(INDIRECT("SSW_WTPCore2_"&amp;$B103&amp;"_LevelValues"),2,MATCH("S2 MEAN",WTPCore2_LevelValues,0))</f>
        <v>6.6875105310339848E-3</v>
      </c>
      <c r="J103" s="431">
        <f ca="1">SUM(H103:I103)</f>
        <v>2.5054006134867642E-2</v>
      </c>
      <c r="K103" s="213">
        <f ca="1">E103*(F103-G103)/AllProps_SSW</f>
        <v>96.144022917855736</v>
      </c>
      <c r="L103" s="429">
        <f ca="1">INDEX(INDIRECT("SSW_WTPCore_DCE_"&amp;$B103&amp;"_UnitValues"),MATCH("COMBINED-NHH",WTPCore_Group,0),MATCH("MEAN",LMH,0))</f>
        <v>18818.001702127662</v>
      </c>
      <c r="M103" s="89">
        <f ca="1">L103*(F103-G103)/NHHProps_SSW</f>
        <v>22.12</v>
      </c>
      <c r="N103" s="89">
        <f ca="1">INDEX(INDIRECT("SSW_WTPCore2_"&amp;$B103&amp;"_UnitValues"),2,MATCH("MEAN",LMH,0))</f>
        <v>94293.266018211216</v>
      </c>
      <c r="O103" s="89">
        <f ca="1">N103*(F103-G103)/NHHProps_SSW</f>
        <v>110.83892314065444</v>
      </c>
      <c r="P103" s="16">
        <f ca="1">K103*N$105/K$104</f>
        <v>72.947653067407799</v>
      </c>
      <c r="Q103" s="453" t="s">
        <v>1168</v>
      </c>
      <c r="R103" s="391">
        <f ca="1">P103*NHHProps_SSW/((F103-G103))</f>
        <v>62058.275749941138</v>
      </c>
      <c r="S103" s="620">
        <f ca="1">INDEX(INDIRECT("CAM_WTPCore2_"&amp;$B103&amp;"_Levels"),2,MATCH(S$4,WTPCore2_AttLevels,0))</f>
        <v>13.5</v>
      </c>
      <c r="T103" s="620">
        <f ca="1">INDEX(INDIRECT("CAM_WTPCore2_"&amp;$B103&amp;"_Levels"),2,MATCH(T$4,WTPCore2_AttLevels,0))</f>
        <v>6.75</v>
      </c>
      <c r="U103" s="512">
        <f ca="1">INDEX(INDIRECT("CAM_WTPCore2_"&amp;$B103&amp;"_LevelValues"),2,MATCH("S1 MEAN",WTPCore2_LevelValues,0))</f>
        <v>7.1569068986342493E-2</v>
      </c>
      <c r="V103" s="512">
        <f ca="1">INDEX(INDIRECT("CAM_WTPCore2_"&amp;$B103&amp;"_LevelValues"),2,MATCH("S2 MEAN",WTPCore2_LevelValues,0))</f>
        <v>3.5284810800562588E-2</v>
      </c>
      <c r="W103" s="435">
        <f ca="1">SUM(U103:V103)</f>
        <v>0.10685387978690508</v>
      </c>
      <c r="X103" s="386">
        <f ca="1">E103*(S103-T103)/AllProps_CAM</f>
        <v>72.562756966651435</v>
      </c>
      <c r="Y103" s="89">
        <f ca="1">INDEX(INDIRECT("CAM_WTPCore_"&amp;$B103&amp;"_UnitValues"),MATCH("COMBINED-NHH",WTPCore_Group,0),MATCH("MEAN",LMH,0))</f>
        <v>13034.382222222222</v>
      </c>
      <c r="Z103" s="89">
        <f ca="1">Y103*(S103-T103)/NHHProps_CAM</f>
        <v>10.24</v>
      </c>
      <c r="AA103" s="89">
        <f ca="1">INDEX(INDIRECT("CAM_WTPCore2_"&amp;$B103&amp;"_UnitValues"),2,MATCH("MEAN",LMH,0))</f>
        <v>696387.155534953</v>
      </c>
      <c r="AB103" s="89">
        <f ca="1">AA103*(S103-T103)/NHHProps_CAM</f>
        <v>547.09186450895402</v>
      </c>
      <c r="AC103" s="168">
        <f ca="1">X103*AA$105/X$104</f>
        <v>248.0132578161377</v>
      </c>
      <c r="AD103" s="453" t="s">
        <v>1168</v>
      </c>
      <c r="AE103" s="391">
        <f ca="1">AC103*NHHProps_CAM/((S103-T103))</f>
        <v>315693.32017129706</v>
      </c>
    </row>
    <row r="104" spans="1:31" ht="15" thickBot="1" x14ac:dyDescent="0.4">
      <c r="D104" s="377"/>
      <c r="E104" s="124"/>
      <c r="F104" s="442"/>
      <c r="G104" s="442"/>
      <c r="H104" s="16"/>
      <c r="I104" s="16"/>
      <c r="J104" s="330">
        <f ca="1">SUM(J102:J103)*AvgNHHBill_SSW</f>
        <v>113.70039688492619</v>
      </c>
      <c r="K104" s="331">
        <f ca="1">SUM(K102:K103)</f>
        <v>103.07318958452241</v>
      </c>
      <c r="L104" s="331"/>
      <c r="M104" s="331">
        <f ca="1">SUM(M102:M103)</f>
        <v>42.709685534591202</v>
      </c>
      <c r="N104" s="331"/>
      <c r="O104" s="331">
        <f ca="1">SUM(O102:O103)</f>
        <v>113.70039688492618</v>
      </c>
      <c r="P104" s="42">
        <f ca="1">SUM(P102:P103)</f>
        <v>78.20504120975869</v>
      </c>
      <c r="R104" s="472"/>
      <c r="W104" s="461">
        <f ca="1">SUM(W102:W103)*AvgNHHBill_CAM</f>
        <v>548.51969671803761</v>
      </c>
      <c r="X104" s="462">
        <f ca="1">SUM(X102:X103)</f>
        <v>86.421090299984769</v>
      </c>
      <c r="Y104" s="462"/>
      <c r="Z104" s="331">
        <f ca="1">SUM(Z102:Z103)</f>
        <v>42.239999999999995</v>
      </c>
      <c r="AA104" s="331"/>
      <c r="AB104" s="331">
        <f ca="1">SUM(AB102:AB103)</f>
        <v>548.51969671803761</v>
      </c>
      <c r="AC104" s="461">
        <f ca="1">SUM(AC102:AC103)</f>
        <v>295.37984835901887</v>
      </c>
      <c r="AE104" s="472"/>
    </row>
    <row r="105" spans="1:31" s="50" customFormat="1" x14ac:dyDescent="0.35">
      <c r="D105" s="371"/>
      <c r="E105" s="371"/>
      <c r="F105" s="352"/>
      <c r="G105" s="352"/>
      <c r="H105" s="352"/>
      <c r="I105" s="352"/>
      <c r="J105" s="352"/>
      <c r="M105" s="163" t="s">
        <v>361</v>
      </c>
      <c r="N105" s="546">
        <f ca="1">AVERAGE(M104,O104)</f>
        <v>78.20504120975869</v>
      </c>
      <c r="O105" s="163"/>
      <c r="Q105" s="458"/>
      <c r="R105" s="87"/>
      <c r="S105" s="371"/>
      <c r="T105" s="371"/>
      <c r="U105" s="371"/>
      <c r="V105" s="371"/>
      <c r="W105" s="371"/>
      <c r="X105" s="352"/>
      <c r="Y105" s="352"/>
      <c r="Z105" s="163" t="s">
        <v>361</v>
      </c>
      <c r="AA105" s="546">
        <f ca="1">AVERAGE(Z104,AB104)</f>
        <v>295.37984835901881</v>
      </c>
      <c r="AB105" s="163"/>
      <c r="AE105" s="87"/>
    </row>
    <row r="106" spans="1:31" x14ac:dyDescent="0.35">
      <c r="J106" s="475" t="s">
        <v>551</v>
      </c>
      <c r="W106" s="621" t="s">
        <v>1018</v>
      </c>
    </row>
    <row r="107" spans="1:31" x14ac:dyDescent="0.35"/>
    <row r="108" spans="1:31" x14ac:dyDescent="0.35"/>
    <row r="109" spans="1:31" x14ac:dyDescent="0.35">
      <c r="O109" s="109"/>
      <c r="X109" s="30"/>
    </row>
    <row r="110" spans="1:31" x14ac:dyDescent="0.35">
      <c r="O110" s="109"/>
      <c r="X110" s="30"/>
    </row>
    <row r="111" spans="1:31" x14ac:dyDescent="0.35">
      <c r="O111" s="109"/>
      <c r="X111" s="30"/>
    </row>
    <row r="112" spans="1:31" x14ac:dyDescent="0.35">
      <c r="O112" s="109"/>
      <c r="X112" s="30"/>
    </row>
    <row r="113" spans="24:24" x14ac:dyDescent="0.35">
      <c r="X113" s="30"/>
    </row>
    <row r="114" spans="24:24" x14ac:dyDescent="0.35"/>
    <row r="115" spans="24:24" x14ac:dyDescent="0.35"/>
    <row r="116" spans="24:24" x14ac:dyDescent="0.35"/>
    <row r="117" spans="24:24"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sheetPr>
  <dimension ref="A1:FO3836"/>
  <sheetViews>
    <sheetView zoomScale="115" zoomScaleNormal="115" workbookViewId="0">
      <pane xSplit="3" ySplit="2" topLeftCell="D3" activePane="bottomRight" state="frozen"/>
      <selection pane="topRight" activeCell="D1" sqref="D1"/>
      <selection pane="bottomLeft" activeCell="A3" sqref="A3"/>
      <selection pane="bottomRight" activeCell="F18" sqref="F18"/>
    </sheetView>
  </sheetViews>
  <sheetFormatPr defaultColWidth="0" defaultRowHeight="14.5" zeroHeight="1" x14ac:dyDescent="0.35"/>
  <cols>
    <col min="1" max="1" width="50.81640625" style="7" customWidth="1"/>
    <col min="2" max="2" width="16.1796875" style="7" customWidth="1"/>
    <col min="3" max="3" width="19.1796875" style="7" customWidth="1"/>
    <col min="4" max="8" width="13.453125" style="7" customWidth="1"/>
    <col min="9" max="9" width="18" style="7" customWidth="1"/>
    <col min="10" max="11" width="14.1796875" style="7" customWidth="1"/>
    <col min="12" max="12" width="15.7265625" style="7" customWidth="1"/>
    <col min="13" max="14" width="12" style="7" customWidth="1"/>
    <col min="15" max="15" width="15.453125" style="7" customWidth="1"/>
    <col min="16" max="16" width="12.7265625" style="7" customWidth="1"/>
    <col min="17" max="17" width="12" style="7" customWidth="1"/>
    <col min="18" max="18" width="13.81640625" style="7" customWidth="1"/>
    <col min="19" max="22" width="11.54296875" style="7" customWidth="1"/>
    <col min="23" max="24" width="15.7265625" style="7" customWidth="1"/>
    <col min="25" max="26" width="14.54296875" style="7" customWidth="1"/>
    <col min="27" max="27" width="11" style="7" customWidth="1"/>
    <col min="28" max="56" width="11.54296875" style="7" customWidth="1"/>
    <col min="57" max="57" width="15.54296875" style="7" customWidth="1"/>
    <col min="58" max="58" width="11.81640625" style="7" customWidth="1"/>
    <col min="59" max="60" width="14.1796875" style="7" customWidth="1"/>
    <col min="61" max="61" width="16.1796875" style="7" customWidth="1"/>
    <col min="62" max="62" width="12.81640625" style="7" customWidth="1"/>
    <col min="63" max="72" width="13.7265625" style="7" customWidth="1"/>
    <col min="73" max="73" width="13.7265625" style="684" customWidth="1"/>
    <col min="74" max="74" width="13" style="7" customWidth="1"/>
    <col min="75" max="75" width="13.453125" style="7" customWidth="1"/>
    <col min="76" max="77" width="13.7265625" style="7" customWidth="1"/>
    <col min="78" max="79" width="11.453125" style="7" customWidth="1"/>
    <col min="80" max="80" width="15.7265625" style="7" customWidth="1"/>
    <col min="81" max="82" width="13.81640625" style="7" customWidth="1"/>
    <col min="83" max="83" width="11.81640625" style="7" customWidth="1"/>
    <col min="84" max="84" width="12.453125" style="7" customWidth="1"/>
    <col min="85" max="85" width="16.54296875" style="7" customWidth="1"/>
    <col min="86" max="86" width="11.81640625" style="7" customWidth="1"/>
    <col min="87" max="87" width="11" style="7" customWidth="1"/>
    <col min="88" max="88" width="12" style="7" customWidth="1"/>
    <col min="89" max="91" width="11" style="7" customWidth="1"/>
    <col min="92" max="92" width="13" style="7" customWidth="1"/>
    <col min="93" max="94" width="17.453125" style="7" customWidth="1"/>
    <col min="95" max="96" width="15.26953125" style="7" customWidth="1"/>
    <col min="97" max="97" width="11" style="7" customWidth="1"/>
    <col min="98" max="98" width="15.81640625" style="7" customWidth="1"/>
    <col min="99" max="105" width="11" style="7" customWidth="1"/>
    <col min="106" max="106" width="12.453125" style="7" customWidth="1"/>
    <col min="107" max="107" width="13.453125" style="7" customWidth="1"/>
    <col min="108" max="111" width="11" style="7" customWidth="1"/>
    <col min="112" max="112" width="13.453125" style="7" customWidth="1"/>
    <col min="113" max="113" width="13.81640625" style="7" customWidth="1"/>
    <col min="114" max="114" width="11" style="7" customWidth="1"/>
    <col min="115" max="115" width="14.1796875" style="7" customWidth="1"/>
    <col min="116" max="116" width="11" style="7" customWidth="1"/>
    <col min="117" max="117" width="13.1796875" style="7" customWidth="1"/>
    <col min="118" max="118" width="14.26953125" style="7" customWidth="1"/>
    <col min="119" max="125" width="11" style="7" customWidth="1"/>
    <col min="126" max="144" width="13.7265625" style="7" customWidth="1"/>
    <col min="145" max="145" width="15.81640625" style="7" customWidth="1"/>
    <col min="146" max="146" width="11" style="7" customWidth="1"/>
    <col min="147" max="147" width="13.81640625" style="7" customWidth="1"/>
    <col min="148" max="148" width="13.453125" style="7" customWidth="1"/>
    <col min="149" max="149" width="14.54296875" style="7" customWidth="1"/>
    <col min="150" max="150" width="14.1796875" style="7" customWidth="1"/>
    <col min="151" max="151" width="13.54296875" style="7" customWidth="1"/>
    <col min="152" max="152" width="12.1796875" style="684" customWidth="1"/>
    <col min="153" max="153" width="12.1796875" style="7" customWidth="1"/>
    <col min="154" max="154" width="16.1796875" style="7" customWidth="1"/>
    <col min="155" max="156" width="16.7265625" style="7" customWidth="1"/>
    <col min="157" max="157" width="16.453125" style="7" customWidth="1"/>
    <col min="158" max="159" width="15.7265625" style="7" customWidth="1"/>
    <col min="160" max="164" width="16.453125" style="7" customWidth="1"/>
    <col min="165" max="171" width="9.1796875" style="7" customWidth="1"/>
    <col min="172" max="16384" width="9.1796875" style="7" hidden="1"/>
  </cols>
  <sheetData>
    <row r="1" spans="1:164" s="133" customFormat="1" ht="28.5" x14ac:dyDescent="0.65">
      <c r="A1" s="76" t="s">
        <v>44</v>
      </c>
      <c r="B1" s="77"/>
      <c r="C1" s="77"/>
      <c r="D1" s="826" t="s">
        <v>45</v>
      </c>
      <c r="E1" s="77"/>
      <c r="F1" s="77"/>
      <c r="G1" s="77"/>
      <c r="H1" s="77"/>
      <c r="I1" s="77"/>
      <c r="J1" s="77"/>
      <c r="K1" s="77"/>
      <c r="L1" s="77"/>
      <c r="M1" s="77"/>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69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03"/>
      <c r="EW1" s="228"/>
      <c r="EX1" s="76"/>
      <c r="EY1" s="76"/>
      <c r="EZ1" s="76"/>
      <c r="FA1" s="76"/>
      <c r="FB1" s="76"/>
      <c r="FC1" s="76"/>
      <c r="FD1" s="76"/>
      <c r="FE1" s="76"/>
      <c r="FF1" s="76"/>
      <c r="FG1" s="76"/>
      <c r="FH1" s="76"/>
    </row>
    <row r="2" spans="1:164" customFormat="1" ht="23.5" x14ac:dyDescent="0.55000000000000004">
      <c r="A2" s="85"/>
      <c r="B2" s="85"/>
      <c r="C2" s="85"/>
      <c r="D2" s="690" t="s">
        <v>46</v>
      </c>
      <c r="E2" s="126"/>
      <c r="F2" s="126"/>
      <c r="G2" s="126"/>
      <c r="H2" s="126"/>
      <c r="I2" s="126"/>
      <c r="J2" s="126"/>
      <c r="K2" s="126"/>
      <c r="L2" s="126"/>
      <c r="M2" s="126"/>
      <c r="N2" s="126"/>
      <c r="O2" s="126"/>
      <c r="P2" s="126"/>
      <c r="Q2" s="126"/>
      <c r="R2" s="126"/>
      <c r="S2" s="126"/>
      <c r="T2" s="126"/>
      <c r="U2" s="126"/>
      <c r="V2" s="126"/>
      <c r="W2" s="126"/>
      <c r="X2" s="126"/>
      <c r="Y2" s="126"/>
      <c r="Z2" s="126"/>
      <c r="AA2" s="678"/>
      <c r="AB2" s="126"/>
      <c r="AC2" s="126"/>
      <c r="AD2" s="126"/>
      <c r="AE2" s="126"/>
      <c r="AF2" s="126"/>
      <c r="AG2" s="126"/>
      <c r="AH2" s="126"/>
      <c r="AI2" s="126"/>
      <c r="AJ2" s="690"/>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683"/>
      <c r="BV2" s="691" t="s">
        <v>47</v>
      </c>
      <c r="BW2" s="125"/>
      <c r="BX2" s="125"/>
      <c r="BY2" s="125"/>
      <c r="BZ2" s="125"/>
      <c r="CA2" s="125"/>
      <c r="CB2" s="125"/>
      <c r="CC2" s="125"/>
      <c r="CD2" s="125"/>
      <c r="CE2" s="125"/>
      <c r="CF2" s="125"/>
      <c r="CG2" s="125"/>
      <c r="CH2" s="125"/>
      <c r="CI2" s="125"/>
      <c r="CJ2" s="125"/>
      <c r="CK2" s="125"/>
      <c r="CL2" s="125"/>
      <c r="CM2" s="125"/>
      <c r="CN2" s="125"/>
      <c r="CO2" s="126"/>
      <c r="CP2" s="126"/>
      <c r="CQ2" s="126"/>
      <c r="CR2" s="126"/>
      <c r="CS2" s="678"/>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692"/>
      <c r="EW2" s="707"/>
      <c r="EX2" s="577" t="s">
        <v>48</v>
      </c>
      <c r="EY2" s="576"/>
      <c r="EZ2" s="576"/>
      <c r="FA2" s="576"/>
      <c r="FB2" s="576"/>
      <c r="FC2" s="576"/>
      <c r="FD2" s="576"/>
      <c r="FE2" s="576"/>
      <c r="FF2" s="576"/>
      <c r="FG2" s="576"/>
      <c r="FH2" s="576"/>
    </row>
    <row r="3" spans="1:164" customFormat="1" ht="20" thickBot="1" x14ac:dyDescent="0.5">
      <c r="A3" s="85" t="s">
        <v>49</v>
      </c>
      <c r="B3" s="85"/>
      <c r="C3" s="85"/>
      <c r="D3" s="585" t="s">
        <v>50</v>
      </c>
      <c r="E3" s="85"/>
      <c r="F3" s="85"/>
      <c r="G3" s="85"/>
      <c r="H3" s="85"/>
      <c r="I3" s="868" t="b">
        <v>1</v>
      </c>
      <c r="J3" s="85"/>
      <c r="K3" s="85"/>
      <c r="L3" s="85"/>
      <c r="M3" s="948"/>
      <c r="N3" s="948" t="s">
        <v>51</v>
      </c>
      <c r="O3" s="948"/>
      <c r="P3" s="948" t="s">
        <v>1229</v>
      </c>
      <c r="Q3" s="948"/>
      <c r="R3" s="948" t="s">
        <v>1230</v>
      </c>
      <c r="S3" s="948"/>
      <c r="T3" s="948" t="s">
        <v>1231</v>
      </c>
      <c r="U3" s="948"/>
      <c r="V3" s="948" t="s">
        <v>1232</v>
      </c>
      <c r="W3" s="948"/>
      <c r="X3" s="948" t="s">
        <v>1233</v>
      </c>
      <c r="Y3" s="948"/>
      <c r="Z3" s="948" t="s">
        <v>1234</v>
      </c>
      <c r="AA3" s="948"/>
      <c r="AB3" s="948" t="s">
        <v>1235</v>
      </c>
      <c r="AC3" s="948"/>
      <c r="AD3" s="948" t="s">
        <v>1236</v>
      </c>
      <c r="AE3" s="948"/>
      <c r="AF3" s="948" t="s">
        <v>1237</v>
      </c>
      <c r="AG3" s="948"/>
      <c r="AH3" s="948" t="s">
        <v>1238</v>
      </c>
      <c r="AI3" s="948"/>
      <c r="AJ3" s="948" t="s">
        <v>1230</v>
      </c>
      <c r="AK3" s="948"/>
      <c r="AL3" s="948" t="s">
        <v>1239</v>
      </c>
      <c r="AM3" s="948"/>
      <c r="AN3" s="948" t="s">
        <v>1240</v>
      </c>
      <c r="AO3" s="948"/>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697"/>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697"/>
      <c r="EW3" s="401"/>
      <c r="EX3" s="85"/>
      <c r="EY3" s="85"/>
      <c r="EZ3" s="85"/>
      <c r="FA3" s="85"/>
      <c r="FB3" s="85"/>
      <c r="FC3" s="85"/>
      <c r="FD3" s="85"/>
      <c r="FE3" s="85"/>
      <c r="FF3" s="85"/>
      <c r="FG3" s="85"/>
      <c r="FH3" s="85"/>
    </row>
    <row r="4" spans="1:164" x14ac:dyDescent="0.35">
      <c r="A4" s="660" t="s">
        <v>52</v>
      </c>
      <c r="B4" s="864" t="s">
        <v>33</v>
      </c>
      <c r="C4" s="253">
        <f t="shared" ref="C4:C15" ca="1" si="0">VLOOKUP(B4,RAGWeights,2,0)</f>
        <v>1</v>
      </c>
      <c r="D4" s="235"/>
      <c r="E4" s="235"/>
      <c r="F4" s="235"/>
      <c r="G4" s="235"/>
      <c r="H4" s="235"/>
      <c r="M4" s="949"/>
      <c r="N4" s="864" t="s">
        <v>33</v>
      </c>
      <c r="O4" s="253">
        <v>1</v>
      </c>
      <c r="P4" s="864" t="s">
        <v>33</v>
      </c>
      <c r="Q4" s="253">
        <v>1</v>
      </c>
      <c r="R4" s="864" t="s">
        <v>33</v>
      </c>
      <c r="S4" s="253">
        <v>1</v>
      </c>
      <c r="T4" s="864" t="s">
        <v>33</v>
      </c>
      <c r="U4" s="253">
        <v>1</v>
      </c>
      <c r="V4" s="864" t="s">
        <v>33</v>
      </c>
      <c r="W4" s="253">
        <v>1</v>
      </c>
      <c r="X4" s="864" t="s">
        <v>33</v>
      </c>
      <c r="Y4" s="253">
        <v>1</v>
      </c>
      <c r="Z4" s="864" t="s">
        <v>37</v>
      </c>
      <c r="AA4" s="253">
        <v>0</v>
      </c>
      <c r="AB4" s="864" t="s">
        <v>37</v>
      </c>
      <c r="AC4" s="253">
        <v>0</v>
      </c>
      <c r="AD4" s="864" t="s">
        <v>37</v>
      </c>
      <c r="AE4" s="253">
        <v>0</v>
      </c>
      <c r="AF4" s="864" t="s">
        <v>37</v>
      </c>
      <c r="AG4" s="253">
        <v>0</v>
      </c>
      <c r="AH4" s="864" t="s">
        <v>53</v>
      </c>
      <c r="AI4" s="253">
        <v>0.5</v>
      </c>
      <c r="AJ4" s="864" t="s">
        <v>33</v>
      </c>
      <c r="AK4" s="253">
        <v>1</v>
      </c>
      <c r="AL4" s="864" t="s">
        <v>33</v>
      </c>
      <c r="AM4" s="253">
        <v>1</v>
      </c>
      <c r="AN4" s="864" t="s">
        <v>33</v>
      </c>
      <c r="AO4" s="253">
        <v>1</v>
      </c>
    </row>
    <row r="5" spans="1:164" x14ac:dyDescent="0.35">
      <c r="A5" s="661" t="s">
        <v>54</v>
      </c>
      <c r="B5" s="861" t="s">
        <v>35</v>
      </c>
      <c r="C5" s="254">
        <f t="shared" ca="1" si="0"/>
        <v>0.25</v>
      </c>
      <c r="D5" s="235"/>
      <c r="E5" s="235"/>
      <c r="F5" s="235"/>
      <c r="G5" s="235"/>
      <c r="H5" s="235"/>
      <c r="M5" s="950"/>
      <c r="N5" s="861" t="s">
        <v>55</v>
      </c>
      <c r="O5" s="254">
        <v>0.5</v>
      </c>
      <c r="P5" s="861" t="s">
        <v>55</v>
      </c>
      <c r="Q5" s="254">
        <v>0.5</v>
      </c>
      <c r="R5" s="861" t="s">
        <v>35</v>
      </c>
      <c r="S5" s="254">
        <v>0.25</v>
      </c>
      <c r="T5" s="861" t="s">
        <v>35</v>
      </c>
      <c r="U5" s="254">
        <v>0.25</v>
      </c>
      <c r="V5" s="861" t="s">
        <v>35</v>
      </c>
      <c r="W5" s="254">
        <v>0.25</v>
      </c>
      <c r="X5" s="861" t="s">
        <v>35</v>
      </c>
      <c r="Y5" s="254">
        <v>0.25</v>
      </c>
      <c r="Z5" s="861" t="s">
        <v>37</v>
      </c>
      <c r="AA5" s="254">
        <v>0</v>
      </c>
      <c r="AB5" s="861" t="s">
        <v>37</v>
      </c>
      <c r="AC5" s="254">
        <v>0</v>
      </c>
      <c r="AD5" s="861" t="s">
        <v>37</v>
      </c>
      <c r="AE5" s="254">
        <v>0</v>
      </c>
      <c r="AF5" s="861" t="s">
        <v>37</v>
      </c>
      <c r="AG5" s="254">
        <v>0</v>
      </c>
      <c r="AH5" s="861" t="s">
        <v>35</v>
      </c>
      <c r="AI5" s="254">
        <v>0.25</v>
      </c>
      <c r="AJ5" s="861" t="s">
        <v>35</v>
      </c>
      <c r="AK5" s="254">
        <v>0.25</v>
      </c>
      <c r="AL5" s="861" t="s">
        <v>35</v>
      </c>
      <c r="AM5" s="254">
        <v>0.5</v>
      </c>
      <c r="AN5" s="861" t="s">
        <v>35</v>
      </c>
      <c r="AO5" s="254">
        <v>0</v>
      </c>
    </row>
    <row r="6" spans="1:164" x14ac:dyDescent="0.35">
      <c r="A6" s="661" t="s">
        <v>56</v>
      </c>
      <c r="B6" s="861" t="s">
        <v>33</v>
      </c>
      <c r="C6" s="254">
        <f ca="1">VLOOKUP(B6,RAGWeights,2,0)</f>
        <v>1</v>
      </c>
      <c r="D6" s="580" t="s">
        <v>57</v>
      </c>
      <c r="E6" s="580"/>
      <c r="F6" s="580"/>
      <c r="G6" s="580"/>
      <c r="H6" s="580"/>
      <c r="I6" s="580"/>
      <c r="J6" s="580"/>
      <c r="K6" s="580"/>
      <c r="L6" s="580"/>
      <c r="M6" s="950"/>
      <c r="N6" s="861" t="s">
        <v>33</v>
      </c>
      <c r="O6" s="254">
        <v>1</v>
      </c>
      <c r="P6" s="861" t="s">
        <v>33</v>
      </c>
      <c r="Q6" s="254">
        <v>1</v>
      </c>
      <c r="R6" s="861" t="s">
        <v>33</v>
      </c>
      <c r="S6" s="254">
        <v>1</v>
      </c>
      <c r="T6" s="861" t="s">
        <v>33</v>
      </c>
      <c r="U6" s="254">
        <v>1</v>
      </c>
      <c r="V6" s="861" t="s">
        <v>33</v>
      </c>
      <c r="W6" s="254">
        <v>1</v>
      </c>
      <c r="X6" s="861" t="s">
        <v>33</v>
      </c>
      <c r="Y6" s="254">
        <v>1</v>
      </c>
      <c r="Z6" s="861" t="s">
        <v>37</v>
      </c>
      <c r="AA6" s="254">
        <v>0</v>
      </c>
      <c r="AB6" s="861" t="s">
        <v>37</v>
      </c>
      <c r="AC6" s="254">
        <v>0</v>
      </c>
      <c r="AD6" s="861" t="s">
        <v>37</v>
      </c>
      <c r="AE6" s="254">
        <v>0</v>
      </c>
      <c r="AF6" s="861" t="s">
        <v>37</v>
      </c>
      <c r="AG6" s="254">
        <v>0</v>
      </c>
      <c r="AH6" s="861" t="s">
        <v>55</v>
      </c>
      <c r="AI6" s="254">
        <v>0.5</v>
      </c>
      <c r="AJ6" s="861" t="s">
        <v>33</v>
      </c>
      <c r="AK6" s="254">
        <v>1</v>
      </c>
      <c r="AL6" s="861" t="s">
        <v>33</v>
      </c>
      <c r="AM6" s="254">
        <v>1</v>
      </c>
      <c r="AN6" s="861" t="s">
        <v>33</v>
      </c>
      <c r="AO6" s="254">
        <v>1</v>
      </c>
    </row>
    <row r="7" spans="1:164" x14ac:dyDescent="0.35">
      <c r="A7" s="661" t="s">
        <v>58</v>
      </c>
      <c r="B7" s="861" t="s">
        <v>37</v>
      </c>
      <c r="C7" s="254">
        <f ca="1">VLOOKUP(B7,RAGWeights,2,0)</f>
        <v>0</v>
      </c>
      <c r="D7" s="482" t="s">
        <v>59</v>
      </c>
      <c r="E7" s="482"/>
      <c r="F7" s="482"/>
      <c r="G7" s="482"/>
      <c r="H7" s="580"/>
      <c r="I7" s="580"/>
      <c r="J7" s="580"/>
      <c r="K7" s="580"/>
      <c r="L7" s="580"/>
      <c r="M7" s="950"/>
      <c r="N7" s="861" t="s">
        <v>37</v>
      </c>
      <c r="O7" s="254">
        <v>0</v>
      </c>
      <c r="P7" s="861" t="s">
        <v>37</v>
      </c>
      <c r="Q7" s="254">
        <v>0</v>
      </c>
      <c r="R7" s="861" t="s">
        <v>37</v>
      </c>
      <c r="S7" s="254">
        <v>0</v>
      </c>
      <c r="T7" s="861" t="s">
        <v>37</v>
      </c>
      <c r="U7" s="254">
        <v>0</v>
      </c>
      <c r="V7" s="861" t="s">
        <v>37</v>
      </c>
      <c r="W7" s="254">
        <v>0</v>
      </c>
      <c r="X7" s="861" t="s">
        <v>37</v>
      </c>
      <c r="Y7" s="254">
        <v>0</v>
      </c>
      <c r="Z7" s="861" t="s">
        <v>37</v>
      </c>
      <c r="AA7" s="254">
        <v>0</v>
      </c>
      <c r="AB7" s="861" t="s">
        <v>37</v>
      </c>
      <c r="AC7" s="254">
        <v>0</v>
      </c>
      <c r="AD7" s="861" t="s">
        <v>37</v>
      </c>
      <c r="AE7" s="254">
        <v>0</v>
      </c>
      <c r="AF7" s="861" t="s">
        <v>37</v>
      </c>
      <c r="AG7" s="254">
        <v>0</v>
      </c>
      <c r="AH7" s="861" t="s">
        <v>37</v>
      </c>
      <c r="AI7" s="254">
        <v>0</v>
      </c>
      <c r="AJ7" s="861" t="s">
        <v>37</v>
      </c>
      <c r="AK7" s="254">
        <v>0</v>
      </c>
      <c r="AL7" s="861" t="s">
        <v>37</v>
      </c>
      <c r="AM7" s="254">
        <v>0</v>
      </c>
      <c r="AN7" s="861" t="s">
        <v>37</v>
      </c>
      <c r="AO7" s="254">
        <v>0</v>
      </c>
    </row>
    <row r="8" spans="1:164" x14ac:dyDescent="0.35">
      <c r="A8" s="661" t="s">
        <v>60</v>
      </c>
      <c r="B8" s="861" t="s">
        <v>37</v>
      </c>
      <c r="C8" s="254">
        <f ca="1">VLOOKUP(B8,RAGWeights,2,0)</f>
        <v>0</v>
      </c>
      <c r="D8" s="482" t="s">
        <v>61</v>
      </c>
      <c r="E8" s="482"/>
      <c r="F8" s="482"/>
      <c r="G8" s="482"/>
      <c r="H8" s="580"/>
      <c r="I8" s="580"/>
      <c r="J8" s="580"/>
      <c r="K8" s="580"/>
      <c r="L8" s="580"/>
      <c r="M8" s="950"/>
      <c r="N8" s="861" t="s">
        <v>37</v>
      </c>
      <c r="O8" s="254">
        <v>0</v>
      </c>
      <c r="P8" s="861" t="s">
        <v>37</v>
      </c>
      <c r="Q8" s="254">
        <v>0</v>
      </c>
      <c r="R8" s="861" t="s">
        <v>37</v>
      </c>
      <c r="S8" s="254">
        <v>0</v>
      </c>
      <c r="T8" s="861" t="s">
        <v>37</v>
      </c>
      <c r="U8" s="254">
        <v>0</v>
      </c>
      <c r="V8" s="861" t="s">
        <v>37</v>
      </c>
      <c r="W8" s="254">
        <v>0</v>
      </c>
      <c r="X8" s="861" t="s">
        <v>37</v>
      </c>
      <c r="Y8" s="254">
        <v>0</v>
      </c>
      <c r="Z8" s="861" t="s">
        <v>37</v>
      </c>
      <c r="AA8" s="254">
        <v>0</v>
      </c>
      <c r="AB8" s="861" t="s">
        <v>37</v>
      </c>
      <c r="AC8" s="254">
        <v>0</v>
      </c>
      <c r="AD8" s="861" t="s">
        <v>37</v>
      </c>
      <c r="AE8" s="254">
        <v>0</v>
      </c>
      <c r="AF8" s="861" t="s">
        <v>37</v>
      </c>
      <c r="AG8" s="254">
        <v>0</v>
      </c>
      <c r="AH8" s="861" t="s">
        <v>37</v>
      </c>
      <c r="AI8" s="254">
        <v>0</v>
      </c>
      <c r="AJ8" s="861" t="s">
        <v>37</v>
      </c>
      <c r="AK8" s="254">
        <v>0</v>
      </c>
      <c r="AL8" s="861" t="s">
        <v>37</v>
      </c>
      <c r="AM8" s="254">
        <v>0</v>
      </c>
      <c r="AN8" s="861" t="s">
        <v>37</v>
      </c>
      <c r="AO8" s="254">
        <v>0</v>
      </c>
    </row>
    <row r="9" spans="1:164" x14ac:dyDescent="0.35">
      <c r="A9" s="708" t="s">
        <v>62</v>
      </c>
      <c r="B9" s="861" t="s">
        <v>37</v>
      </c>
      <c r="C9" s="254">
        <f ca="1">VLOOKUP(B9,RAGWeights,2,0)</f>
        <v>0</v>
      </c>
      <c r="D9" s="482" t="s">
        <v>61</v>
      </c>
      <c r="E9" s="482"/>
      <c r="F9" s="482"/>
      <c r="G9" s="482"/>
      <c r="H9" s="580"/>
      <c r="I9" s="580"/>
      <c r="J9" s="580"/>
      <c r="K9" s="580"/>
      <c r="L9" s="580"/>
      <c r="M9" s="950"/>
      <c r="N9" s="861" t="s">
        <v>37</v>
      </c>
      <c r="O9" s="254">
        <v>0</v>
      </c>
      <c r="P9" s="861" t="s">
        <v>37</v>
      </c>
      <c r="Q9" s="254">
        <v>0</v>
      </c>
      <c r="R9" s="861" t="s">
        <v>37</v>
      </c>
      <c r="S9" s="254">
        <v>0</v>
      </c>
      <c r="T9" s="861" t="s">
        <v>37</v>
      </c>
      <c r="U9" s="254">
        <v>0</v>
      </c>
      <c r="V9" s="861" t="s">
        <v>37</v>
      </c>
      <c r="W9" s="254">
        <v>0</v>
      </c>
      <c r="X9" s="861" t="s">
        <v>37</v>
      </c>
      <c r="Y9" s="254">
        <v>0</v>
      </c>
      <c r="Z9" s="861" t="s">
        <v>37</v>
      </c>
      <c r="AA9" s="254">
        <v>0</v>
      </c>
      <c r="AB9" s="861" t="s">
        <v>37</v>
      </c>
      <c r="AC9" s="254">
        <v>0</v>
      </c>
      <c r="AD9" s="861" t="s">
        <v>37</v>
      </c>
      <c r="AE9" s="254">
        <v>0</v>
      </c>
      <c r="AF9" s="861" t="s">
        <v>37</v>
      </c>
      <c r="AG9" s="254">
        <v>0</v>
      </c>
      <c r="AH9" s="861" t="s">
        <v>37</v>
      </c>
      <c r="AI9" s="254">
        <v>0</v>
      </c>
      <c r="AJ9" s="861" t="s">
        <v>37</v>
      </c>
      <c r="AK9" s="254">
        <v>0</v>
      </c>
      <c r="AL9" s="861" t="s">
        <v>37</v>
      </c>
      <c r="AM9" s="254">
        <v>0</v>
      </c>
      <c r="AN9" s="861" t="s">
        <v>37</v>
      </c>
      <c r="AO9" s="254">
        <v>0</v>
      </c>
    </row>
    <row r="10" spans="1:164" x14ac:dyDescent="0.35">
      <c r="A10" s="825" t="s">
        <v>63</v>
      </c>
      <c r="B10" s="861" t="s">
        <v>35</v>
      </c>
      <c r="C10" s="254">
        <f ca="1">VLOOKUP(B10,RAGWeights,2,0)</f>
        <v>0.25</v>
      </c>
      <c r="D10" s="482" t="s">
        <v>64</v>
      </c>
      <c r="E10" s="235"/>
      <c r="F10" s="235"/>
      <c r="G10" s="235"/>
      <c r="H10" s="235"/>
      <c r="M10" s="949"/>
      <c r="N10" s="861" t="s">
        <v>35</v>
      </c>
      <c r="O10" s="254">
        <v>0.25</v>
      </c>
      <c r="P10" s="861" t="s">
        <v>35</v>
      </c>
      <c r="Q10" s="254">
        <v>0.25</v>
      </c>
      <c r="R10" s="861" t="s">
        <v>35</v>
      </c>
      <c r="S10" s="254">
        <v>0.25</v>
      </c>
      <c r="T10" s="861" t="s">
        <v>35</v>
      </c>
      <c r="U10" s="254">
        <v>0.25</v>
      </c>
      <c r="V10" s="861" t="s">
        <v>35</v>
      </c>
      <c r="W10" s="254">
        <v>0.25</v>
      </c>
      <c r="X10" s="861" t="s">
        <v>35</v>
      </c>
      <c r="Y10" s="254">
        <v>0.25</v>
      </c>
      <c r="Z10" s="861" t="s">
        <v>37</v>
      </c>
      <c r="AA10" s="254">
        <v>0</v>
      </c>
      <c r="AB10" s="861" t="s">
        <v>37</v>
      </c>
      <c r="AC10" s="254">
        <v>0</v>
      </c>
      <c r="AD10" s="861" t="s">
        <v>37</v>
      </c>
      <c r="AE10" s="254">
        <v>0</v>
      </c>
      <c r="AF10" s="861" t="s">
        <v>37</v>
      </c>
      <c r="AG10" s="254">
        <v>0</v>
      </c>
      <c r="AH10" s="861" t="s">
        <v>35</v>
      </c>
      <c r="AI10" s="254">
        <v>0.25</v>
      </c>
      <c r="AJ10" s="861" t="s">
        <v>35</v>
      </c>
      <c r="AK10" s="254">
        <v>0.25</v>
      </c>
      <c r="AL10" s="861" t="s">
        <v>35</v>
      </c>
      <c r="AM10" s="254">
        <v>0.5</v>
      </c>
      <c r="AN10" s="861" t="s">
        <v>35</v>
      </c>
      <c r="AO10" s="254">
        <v>0</v>
      </c>
    </row>
    <row r="11" spans="1:164" x14ac:dyDescent="0.35">
      <c r="A11" s="825" t="s">
        <v>65</v>
      </c>
      <c r="B11" s="861" t="s">
        <v>35</v>
      </c>
      <c r="C11" s="254">
        <f t="shared" ca="1" si="0"/>
        <v>0.25</v>
      </c>
      <c r="D11" s="482" t="s">
        <v>64</v>
      </c>
      <c r="E11" s="235"/>
      <c r="F11" s="235"/>
      <c r="G11" s="235"/>
      <c r="H11" s="235"/>
      <c r="M11" s="949"/>
      <c r="N11" s="861" t="s">
        <v>35</v>
      </c>
      <c r="O11" s="254">
        <v>0.25</v>
      </c>
      <c r="P11" s="861" t="s">
        <v>35</v>
      </c>
      <c r="Q11" s="254">
        <v>0.25</v>
      </c>
      <c r="R11" s="861" t="s">
        <v>35</v>
      </c>
      <c r="S11" s="254">
        <v>0.25</v>
      </c>
      <c r="T11" s="861" t="s">
        <v>35</v>
      </c>
      <c r="U11" s="254">
        <v>0.25</v>
      </c>
      <c r="V11" s="861" t="s">
        <v>35</v>
      </c>
      <c r="W11" s="254">
        <v>0.25</v>
      </c>
      <c r="X11" s="861" t="s">
        <v>35</v>
      </c>
      <c r="Y11" s="254">
        <v>0.25</v>
      </c>
      <c r="Z11" s="861" t="s">
        <v>37</v>
      </c>
      <c r="AA11" s="254">
        <v>0</v>
      </c>
      <c r="AB11" s="861" t="s">
        <v>37</v>
      </c>
      <c r="AC11" s="254">
        <v>0</v>
      </c>
      <c r="AD11" s="861" t="s">
        <v>37</v>
      </c>
      <c r="AE11" s="254">
        <v>0</v>
      </c>
      <c r="AF11" s="861" t="s">
        <v>37</v>
      </c>
      <c r="AG11" s="254">
        <v>0</v>
      </c>
      <c r="AH11" s="861" t="s">
        <v>37</v>
      </c>
      <c r="AI11" s="254">
        <v>0</v>
      </c>
      <c r="AJ11" s="861" t="s">
        <v>35</v>
      </c>
      <c r="AK11" s="254">
        <v>0.25</v>
      </c>
      <c r="AL11" s="861" t="s">
        <v>35</v>
      </c>
      <c r="AM11" s="254">
        <v>0.5</v>
      </c>
      <c r="AN11" s="861" t="s">
        <v>35</v>
      </c>
      <c r="AO11" s="254">
        <v>0</v>
      </c>
    </row>
    <row r="12" spans="1:164" x14ac:dyDescent="0.35">
      <c r="A12" s="825" t="s">
        <v>66</v>
      </c>
      <c r="B12" s="861" t="s">
        <v>35</v>
      </c>
      <c r="C12" s="254">
        <f t="shared" ca="1" si="0"/>
        <v>0.25</v>
      </c>
      <c r="D12" s="482" t="s">
        <v>64</v>
      </c>
      <c r="E12" s="235"/>
      <c r="F12" s="235"/>
      <c r="G12" s="235"/>
      <c r="H12" s="235"/>
      <c r="M12" s="949"/>
      <c r="N12" s="861" t="s">
        <v>35</v>
      </c>
      <c r="O12" s="254">
        <v>0.25</v>
      </c>
      <c r="P12" s="861" t="s">
        <v>35</v>
      </c>
      <c r="Q12" s="254">
        <v>0.25</v>
      </c>
      <c r="R12" s="861" t="s">
        <v>35</v>
      </c>
      <c r="S12" s="254">
        <v>0.25</v>
      </c>
      <c r="T12" s="861" t="s">
        <v>35</v>
      </c>
      <c r="U12" s="254">
        <v>0.25</v>
      </c>
      <c r="V12" s="861" t="s">
        <v>35</v>
      </c>
      <c r="W12" s="254">
        <v>0.25</v>
      </c>
      <c r="X12" s="861" t="s">
        <v>35</v>
      </c>
      <c r="Y12" s="254">
        <v>0.25</v>
      </c>
      <c r="Z12" s="861" t="s">
        <v>37</v>
      </c>
      <c r="AA12" s="254">
        <v>0</v>
      </c>
      <c r="AB12" s="861" t="s">
        <v>37</v>
      </c>
      <c r="AC12" s="254">
        <v>0</v>
      </c>
      <c r="AD12" s="861" t="s">
        <v>37</v>
      </c>
      <c r="AE12" s="254">
        <v>0</v>
      </c>
      <c r="AF12" s="861" t="s">
        <v>37</v>
      </c>
      <c r="AG12" s="254">
        <v>0</v>
      </c>
      <c r="AH12" s="861" t="s">
        <v>37</v>
      </c>
      <c r="AI12" s="254">
        <v>0</v>
      </c>
      <c r="AJ12" s="861" t="s">
        <v>35</v>
      </c>
      <c r="AK12" s="254">
        <v>0.25</v>
      </c>
      <c r="AL12" s="861" t="s">
        <v>35</v>
      </c>
      <c r="AM12" s="254">
        <v>0.5</v>
      </c>
      <c r="AN12" s="861" t="s">
        <v>35</v>
      </c>
      <c r="AO12" s="254">
        <v>0</v>
      </c>
    </row>
    <row r="13" spans="1:164" x14ac:dyDescent="0.35">
      <c r="A13" s="234" t="s">
        <v>67</v>
      </c>
      <c r="B13" s="861" t="s">
        <v>37</v>
      </c>
      <c r="C13" s="254">
        <f t="shared" ca="1" si="0"/>
        <v>0</v>
      </c>
      <c r="D13" s="235"/>
      <c r="E13" s="235"/>
      <c r="F13" s="235"/>
      <c r="G13" s="235"/>
      <c r="H13" s="235"/>
      <c r="M13" s="949"/>
      <c r="N13" s="861" t="s">
        <v>35</v>
      </c>
      <c r="O13" s="254">
        <v>0.25</v>
      </c>
      <c r="P13" s="861" t="s">
        <v>35</v>
      </c>
      <c r="Q13" s="254">
        <v>0.25</v>
      </c>
      <c r="R13" s="861" t="s">
        <v>37</v>
      </c>
      <c r="S13" s="254">
        <v>0</v>
      </c>
      <c r="T13" s="861" t="s">
        <v>37</v>
      </c>
      <c r="U13" s="254">
        <v>0</v>
      </c>
      <c r="V13" s="861" t="s">
        <v>37</v>
      </c>
      <c r="W13" s="254">
        <v>0</v>
      </c>
      <c r="X13" s="861" t="s">
        <v>37</v>
      </c>
      <c r="Y13" s="254">
        <v>0</v>
      </c>
      <c r="Z13" s="861" t="s">
        <v>37</v>
      </c>
      <c r="AA13" s="254">
        <v>0</v>
      </c>
      <c r="AB13" s="861" t="s">
        <v>37</v>
      </c>
      <c r="AC13" s="254">
        <v>0</v>
      </c>
      <c r="AD13" s="861" t="s">
        <v>37</v>
      </c>
      <c r="AE13" s="254">
        <v>0</v>
      </c>
      <c r="AF13" s="861" t="s">
        <v>37</v>
      </c>
      <c r="AG13" s="254">
        <v>0</v>
      </c>
      <c r="AH13" s="861" t="s">
        <v>37</v>
      </c>
      <c r="AI13" s="254">
        <v>0</v>
      </c>
      <c r="AJ13" s="861" t="s">
        <v>37</v>
      </c>
      <c r="AK13" s="254">
        <v>0</v>
      </c>
      <c r="AL13" s="861" t="s">
        <v>37</v>
      </c>
      <c r="AM13" s="254">
        <v>0</v>
      </c>
      <c r="AN13" s="861" t="s">
        <v>37</v>
      </c>
      <c r="AO13" s="254">
        <v>0</v>
      </c>
    </row>
    <row r="14" spans="1:164" x14ac:dyDescent="0.35">
      <c r="A14" s="234" t="s">
        <v>68</v>
      </c>
      <c r="B14" s="861" t="s">
        <v>35</v>
      </c>
      <c r="C14" s="254">
        <f t="shared" ca="1" si="0"/>
        <v>0.25</v>
      </c>
      <c r="D14" s="235"/>
      <c r="E14" s="235"/>
      <c r="F14" s="235"/>
      <c r="G14" s="235"/>
      <c r="H14" s="235"/>
      <c r="M14" s="949"/>
      <c r="N14" s="861" t="s">
        <v>35</v>
      </c>
      <c r="O14" s="254">
        <v>0.25</v>
      </c>
      <c r="P14" s="861" t="s">
        <v>35</v>
      </c>
      <c r="Q14" s="254">
        <v>0.25</v>
      </c>
      <c r="R14" s="861" t="s">
        <v>35</v>
      </c>
      <c r="S14" s="254">
        <v>0.25</v>
      </c>
      <c r="T14" s="861" t="s">
        <v>35</v>
      </c>
      <c r="U14" s="254">
        <v>0.25</v>
      </c>
      <c r="V14" s="861" t="s">
        <v>35</v>
      </c>
      <c r="W14" s="254">
        <v>0.25</v>
      </c>
      <c r="X14" s="861" t="s">
        <v>35</v>
      </c>
      <c r="Y14" s="254">
        <v>0.25</v>
      </c>
      <c r="Z14" s="861" t="s">
        <v>37</v>
      </c>
      <c r="AA14" s="254">
        <v>0</v>
      </c>
      <c r="AB14" s="861" t="s">
        <v>37</v>
      </c>
      <c r="AC14" s="254">
        <v>0</v>
      </c>
      <c r="AD14" s="861" t="s">
        <v>37</v>
      </c>
      <c r="AE14" s="254">
        <v>0</v>
      </c>
      <c r="AF14" s="861" t="s">
        <v>37</v>
      </c>
      <c r="AG14" s="254">
        <v>0</v>
      </c>
      <c r="AH14" s="861" t="s">
        <v>69</v>
      </c>
      <c r="AI14" s="254">
        <v>0.1</v>
      </c>
      <c r="AJ14" s="861" t="s">
        <v>35</v>
      </c>
      <c r="AK14" s="254">
        <v>0.25</v>
      </c>
      <c r="AL14" s="861" t="s">
        <v>35</v>
      </c>
      <c r="AM14" s="254">
        <v>0.5</v>
      </c>
      <c r="AN14" s="861" t="s">
        <v>35</v>
      </c>
      <c r="AO14" s="254">
        <v>0</v>
      </c>
    </row>
    <row r="15" spans="1:164" x14ac:dyDescent="0.35">
      <c r="A15" s="234" t="s">
        <v>70</v>
      </c>
      <c r="B15" s="861" t="s">
        <v>35</v>
      </c>
      <c r="C15" s="254">
        <f t="shared" ca="1" si="0"/>
        <v>0.25</v>
      </c>
      <c r="D15" s="235"/>
      <c r="E15" s="235"/>
      <c r="F15" s="235"/>
      <c r="G15" s="235"/>
      <c r="H15" s="235"/>
      <c r="M15" s="949"/>
      <c r="N15" s="861" t="s">
        <v>35</v>
      </c>
      <c r="O15" s="254">
        <v>0.25</v>
      </c>
      <c r="P15" s="861" t="s">
        <v>35</v>
      </c>
      <c r="Q15" s="254">
        <v>0.25</v>
      </c>
      <c r="R15" s="861" t="s">
        <v>35</v>
      </c>
      <c r="S15" s="254">
        <v>0.25</v>
      </c>
      <c r="T15" s="861" t="s">
        <v>35</v>
      </c>
      <c r="U15" s="254">
        <v>0.25</v>
      </c>
      <c r="V15" s="861" t="s">
        <v>35</v>
      </c>
      <c r="W15" s="254">
        <v>0.25</v>
      </c>
      <c r="X15" s="861" t="s">
        <v>35</v>
      </c>
      <c r="Y15" s="254">
        <v>0.25</v>
      </c>
      <c r="Z15" s="861" t="s">
        <v>37</v>
      </c>
      <c r="AA15" s="254">
        <v>0</v>
      </c>
      <c r="AB15" s="861" t="s">
        <v>37</v>
      </c>
      <c r="AC15" s="254">
        <v>0</v>
      </c>
      <c r="AD15" s="861" t="s">
        <v>37</v>
      </c>
      <c r="AE15" s="254">
        <v>0</v>
      </c>
      <c r="AF15" s="861" t="s">
        <v>37</v>
      </c>
      <c r="AG15" s="254">
        <v>0</v>
      </c>
      <c r="AH15" s="861" t="s">
        <v>69</v>
      </c>
      <c r="AI15" s="254">
        <v>0.1</v>
      </c>
      <c r="AJ15" s="861" t="s">
        <v>35</v>
      </c>
      <c r="AK15" s="254">
        <v>0.25</v>
      </c>
      <c r="AL15" s="861" t="s">
        <v>35</v>
      </c>
      <c r="AM15" s="254">
        <v>0.5</v>
      </c>
      <c r="AN15" s="861" t="s">
        <v>35</v>
      </c>
      <c r="AO15" s="254">
        <v>0</v>
      </c>
    </row>
    <row r="16" spans="1:164" x14ac:dyDescent="0.35">
      <c r="A16" s="662" t="s">
        <v>71</v>
      </c>
      <c r="B16" s="861" t="s">
        <v>37</v>
      </c>
      <c r="C16" s="254">
        <f t="shared" ref="C16:C24" ca="1" si="1">VLOOKUP(B16,RAGWeights,2,0)</f>
        <v>0</v>
      </c>
      <c r="D16" s="235"/>
      <c r="E16" s="235"/>
      <c r="F16" s="235"/>
      <c r="G16" s="235"/>
      <c r="H16" s="235"/>
      <c r="M16" s="949"/>
      <c r="N16" s="861" t="s">
        <v>69</v>
      </c>
      <c r="O16" s="254">
        <v>0.1</v>
      </c>
      <c r="P16" s="861" t="s">
        <v>69</v>
      </c>
      <c r="Q16" s="254">
        <v>0.1</v>
      </c>
      <c r="R16" s="861" t="s">
        <v>37</v>
      </c>
      <c r="S16" s="254">
        <v>0</v>
      </c>
      <c r="T16" s="861" t="s">
        <v>37</v>
      </c>
      <c r="U16" s="254">
        <v>0</v>
      </c>
      <c r="V16" s="861" t="s">
        <v>37</v>
      </c>
      <c r="W16" s="254">
        <v>0</v>
      </c>
      <c r="X16" s="861" t="s">
        <v>37</v>
      </c>
      <c r="Y16" s="254">
        <v>0</v>
      </c>
      <c r="Z16" s="861" t="s">
        <v>37</v>
      </c>
      <c r="AA16" s="254">
        <v>0</v>
      </c>
      <c r="AB16" s="861" t="s">
        <v>37</v>
      </c>
      <c r="AC16" s="254">
        <v>0</v>
      </c>
      <c r="AD16" s="861" t="s">
        <v>37</v>
      </c>
      <c r="AE16" s="254">
        <v>0</v>
      </c>
      <c r="AF16" s="861" t="s">
        <v>37</v>
      </c>
      <c r="AG16" s="254">
        <v>0</v>
      </c>
      <c r="AH16" s="861" t="s">
        <v>37</v>
      </c>
      <c r="AI16" s="254">
        <v>0</v>
      </c>
      <c r="AJ16" s="861" t="s">
        <v>37</v>
      </c>
      <c r="AK16" s="254">
        <v>0</v>
      </c>
      <c r="AL16" s="861" t="s">
        <v>37</v>
      </c>
      <c r="AM16" s="254">
        <v>0</v>
      </c>
      <c r="AN16" s="861" t="s">
        <v>37</v>
      </c>
      <c r="AO16" s="254">
        <v>0</v>
      </c>
    </row>
    <row r="17" spans="1:164" x14ac:dyDescent="0.35">
      <c r="A17" s="234" t="s">
        <v>72</v>
      </c>
      <c r="B17" s="861" t="s">
        <v>35</v>
      </c>
      <c r="C17" s="254">
        <f t="shared" ca="1" si="1"/>
        <v>0.25</v>
      </c>
      <c r="D17" s="235"/>
      <c r="E17" s="235"/>
      <c r="F17" s="235"/>
      <c r="G17" s="235"/>
      <c r="H17" s="235"/>
      <c r="M17" s="949"/>
      <c r="N17" s="861" t="s">
        <v>35</v>
      </c>
      <c r="O17" s="254">
        <v>0.25</v>
      </c>
      <c r="P17" s="861" t="s">
        <v>35</v>
      </c>
      <c r="Q17" s="254">
        <v>0.25</v>
      </c>
      <c r="R17" s="861" t="s">
        <v>35</v>
      </c>
      <c r="S17" s="254">
        <v>0.25</v>
      </c>
      <c r="T17" s="861" t="s">
        <v>35</v>
      </c>
      <c r="U17" s="254">
        <v>0.25</v>
      </c>
      <c r="V17" s="861" t="s">
        <v>35</v>
      </c>
      <c r="W17" s="254">
        <v>0.25</v>
      </c>
      <c r="X17" s="861" t="s">
        <v>35</v>
      </c>
      <c r="Y17" s="254">
        <v>0.25</v>
      </c>
      <c r="Z17" s="861" t="s">
        <v>37</v>
      </c>
      <c r="AA17" s="254">
        <v>0</v>
      </c>
      <c r="AB17" s="861" t="s">
        <v>37</v>
      </c>
      <c r="AC17" s="254">
        <v>0</v>
      </c>
      <c r="AD17" s="861" t="s">
        <v>37</v>
      </c>
      <c r="AE17" s="254">
        <v>0</v>
      </c>
      <c r="AF17" s="861" t="s">
        <v>37</v>
      </c>
      <c r="AG17" s="254">
        <v>0</v>
      </c>
      <c r="AH17" s="861" t="s">
        <v>37</v>
      </c>
      <c r="AI17" s="254">
        <v>0</v>
      </c>
      <c r="AJ17" s="861" t="s">
        <v>35</v>
      </c>
      <c r="AK17" s="254">
        <v>0.25</v>
      </c>
      <c r="AL17" s="861" t="s">
        <v>35</v>
      </c>
      <c r="AM17" s="254">
        <v>0.5</v>
      </c>
      <c r="AN17" s="861" t="s">
        <v>35</v>
      </c>
      <c r="AO17" s="254">
        <v>0</v>
      </c>
    </row>
    <row r="18" spans="1:164" x14ac:dyDescent="0.35">
      <c r="A18" s="234" t="s">
        <v>73</v>
      </c>
      <c r="B18" s="861" t="s">
        <v>35</v>
      </c>
      <c r="C18" s="254">
        <f t="shared" ca="1" si="1"/>
        <v>0.25</v>
      </c>
      <c r="D18" s="235"/>
      <c r="E18" s="235"/>
      <c r="F18" s="235"/>
      <c r="G18" s="235"/>
      <c r="H18" s="235"/>
      <c r="M18" s="949"/>
      <c r="N18" s="861" t="s">
        <v>55</v>
      </c>
      <c r="O18" s="254">
        <v>0.5</v>
      </c>
      <c r="P18" s="861" t="s">
        <v>55</v>
      </c>
      <c r="Q18" s="254">
        <v>0.5</v>
      </c>
      <c r="R18" s="861" t="s">
        <v>35</v>
      </c>
      <c r="S18" s="254">
        <v>0.25</v>
      </c>
      <c r="T18" s="861" t="s">
        <v>35</v>
      </c>
      <c r="U18" s="254">
        <v>0.25</v>
      </c>
      <c r="V18" s="861" t="s">
        <v>35</v>
      </c>
      <c r="W18" s="254">
        <v>0.25</v>
      </c>
      <c r="X18" s="861" t="s">
        <v>35</v>
      </c>
      <c r="Y18" s="254">
        <v>0.25</v>
      </c>
      <c r="Z18" s="861" t="s">
        <v>37</v>
      </c>
      <c r="AA18" s="254">
        <v>0</v>
      </c>
      <c r="AB18" s="861" t="s">
        <v>37</v>
      </c>
      <c r="AC18" s="254">
        <v>0</v>
      </c>
      <c r="AD18" s="861" t="s">
        <v>37</v>
      </c>
      <c r="AE18" s="254">
        <v>0</v>
      </c>
      <c r="AF18" s="861" t="s">
        <v>37</v>
      </c>
      <c r="AG18" s="254">
        <v>0</v>
      </c>
      <c r="AH18" s="861" t="s">
        <v>69</v>
      </c>
      <c r="AI18" s="254">
        <v>0.1</v>
      </c>
      <c r="AJ18" s="861" t="s">
        <v>35</v>
      </c>
      <c r="AK18" s="254">
        <v>0.25</v>
      </c>
      <c r="AL18" s="861" t="s">
        <v>35</v>
      </c>
      <c r="AM18" s="254">
        <v>0.5</v>
      </c>
      <c r="AN18" s="861" t="s">
        <v>35</v>
      </c>
      <c r="AO18" s="254">
        <v>0</v>
      </c>
    </row>
    <row r="19" spans="1:164" x14ac:dyDescent="0.35">
      <c r="A19" s="825" t="s">
        <v>74</v>
      </c>
      <c r="B19" s="861" t="s">
        <v>35</v>
      </c>
      <c r="C19" s="254">
        <f ca="1">VLOOKUP(B19,RAGWeights,2,0)</f>
        <v>0.25</v>
      </c>
      <c r="D19" s="235"/>
      <c r="E19" s="235"/>
      <c r="F19" s="235"/>
      <c r="G19" s="235"/>
      <c r="H19" s="235"/>
      <c r="M19" s="949"/>
      <c r="N19" s="861" t="s">
        <v>37</v>
      </c>
      <c r="O19" s="254">
        <v>0</v>
      </c>
      <c r="P19" s="861" t="s">
        <v>35</v>
      </c>
      <c r="Q19" s="254">
        <v>0</v>
      </c>
      <c r="R19" s="861" t="s">
        <v>35</v>
      </c>
      <c r="S19" s="254">
        <v>0.25</v>
      </c>
      <c r="T19" s="861" t="s">
        <v>35</v>
      </c>
      <c r="U19" s="254">
        <v>0.25</v>
      </c>
      <c r="V19" s="861" t="s">
        <v>35</v>
      </c>
      <c r="W19" s="254">
        <v>0.25</v>
      </c>
      <c r="X19" s="861" t="s">
        <v>35</v>
      </c>
      <c r="Y19" s="254">
        <v>0.25</v>
      </c>
      <c r="Z19" s="861" t="s">
        <v>37</v>
      </c>
      <c r="AA19" s="254">
        <v>0</v>
      </c>
      <c r="AB19" s="861" t="s">
        <v>37</v>
      </c>
      <c r="AC19" s="254">
        <v>0</v>
      </c>
      <c r="AD19" s="861" t="s">
        <v>37</v>
      </c>
      <c r="AE19" s="254">
        <v>0</v>
      </c>
      <c r="AF19" s="861" t="s">
        <v>37</v>
      </c>
      <c r="AG19" s="254">
        <v>0</v>
      </c>
      <c r="AH19" s="861" t="s">
        <v>69</v>
      </c>
      <c r="AI19" s="254">
        <v>0.1</v>
      </c>
      <c r="AJ19" s="861" t="s">
        <v>35</v>
      </c>
      <c r="AK19" s="254">
        <v>0.25</v>
      </c>
      <c r="AL19" s="861" t="s">
        <v>35</v>
      </c>
      <c r="AM19" s="254">
        <v>0.5</v>
      </c>
      <c r="AN19" s="861" t="s">
        <v>35</v>
      </c>
      <c r="AO19" s="254">
        <v>0</v>
      </c>
    </row>
    <row r="20" spans="1:164" x14ac:dyDescent="0.35">
      <c r="A20" s="825" t="s">
        <v>75</v>
      </c>
      <c r="B20" s="861" t="s">
        <v>55</v>
      </c>
      <c r="C20" s="254">
        <f t="shared" ca="1" si="1"/>
        <v>0.5</v>
      </c>
      <c r="D20" s="235"/>
      <c r="E20" s="235"/>
      <c r="F20" s="235"/>
      <c r="G20" s="235"/>
      <c r="H20" s="235"/>
      <c r="M20" s="949"/>
      <c r="N20" s="861" t="s">
        <v>37</v>
      </c>
      <c r="O20" s="254">
        <v>0</v>
      </c>
      <c r="P20" s="861" t="s">
        <v>55</v>
      </c>
      <c r="Q20" s="254">
        <v>0</v>
      </c>
      <c r="R20" s="861" t="s">
        <v>55</v>
      </c>
      <c r="S20" s="254">
        <v>0.5</v>
      </c>
      <c r="T20" s="861" t="s">
        <v>55</v>
      </c>
      <c r="U20" s="254">
        <v>0.5</v>
      </c>
      <c r="V20" s="861" t="s">
        <v>55</v>
      </c>
      <c r="W20" s="254">
        <v>0.5</v>
      </c>
      <c r="X20" s="861" t="s">
        <v>55</v>
      </c>
      <c r="Y20" s="254">
        <v>0.5</v>
      </c>
      <c r="Z20" s="861" t="s">
        <v>37</v>
      </c>
      <c r="AA20" s="254">
        <v>0</v>
      </c>
      <c r="AB20" s="861" t="s">
        <v>37</v>
      </c>
      <c r="AC20" s="254">
        <v>0</v>
      </c>
      <c r="AD20" s="861" t="s">
        <v>37</v>
      </c>
      <c r="AE20" s="254">
        <v>0</v>
      </c>
      <c r="AF20" s="861" t="s">
        <v>37</v>
      </c>
      <c r="AG20" s="254">
        <v>0</v>
      </c>
      <c r="AH20" s="861" t="s">
        <v>69</v>
      </c>
      <c r="AI20" s="254">
        <v>0.1</v>
      </c>
      <c r="AJ20" s="861" t="s">
        <v>55</v>
      </c>
      <c r="AK20" s="254">
        <v>0.5</v>
      </c>
      <c r="AL20" s="861" t="s">
        <v>55</v>
      </c>
      <c r="AM20" s="254">
        <v>0.75</v>
      </c>
      <c r="AN20" s="861" t="s">
        <v>55</v>
      </c>
      <c r="AO20" s="254">
        <v>0.5</v>
      </c>
    </row>
    <row r="21" spans="1:164" x14ac:dyDescent="0.35">
      <c r="A21" s="825" t="s">
        <v>76</v>
      </c>
      <c r="B21" s="861" t="s">
        <v>33</v>
      </c>
      <c r="C21" s="254">
        <f t="shared" ca="1" si="1"/>
        <v>1</v>
      </c>
      <c r="D21" s="580" t="s">
        <v>77</v>
      </c>
      <c r="E21" s="235"/>
      <c r="F21" s="235"/>
      <c r="G21" s="235"/>
      <c r="H21" s="235"/>
      <c r="M21" s="949"/>
      <c r="N21" s="861" t="s">
        <v>37</v>
      </c>
      <c r="O21" s="254">
        <v>0</v>
      </c>
      <c r="P21" s="861" t="s">
        <v>37</v>
      </c>
      <c r="Q21" s="254">
        <v>0</v>
      </c>
      <c r="R21" s="861" t="s">
        <v>33</v>
      </c>
      <c r="S21" s="254">
        <v>1</v>
      </c>
      <c r="T21" s="861" t="s">
        <v>35</v>
      </c>
      <c r="U21" s="254">
        <v>0.25</v>
      </c>
      <c r="V21" s="861" t="s">
        <v>37</v>
      </c>
      <c r="W21" s="254">
        <v>0</v>
      </c>
      <c r="X21" s="861" t="s">
        <v>33</v>
      </c>
      <c r="Y21" s="254">
        <v>1</v>
      </c>
      <c r="Z21" s="861" t="s">
        <v>33</v>
      </c>
      <c r="AA21" s="254">
        <v>1</v>
      </c>
      <c r="AB21" s="861" t="s">
        <v>37</v>
      </c>
      <c r="AC21" s="254">
        <v>0</v>
      </c>
      <c r="AD21" s="861" t="s">
        <v>33</v>
      </c>
      <c r="AE21" s="254">
        <v>1</v>
      </c>
      <c r="AF21" s="861" t="s">
        <v>37</v>
      </c>
      <c r="AG21" s="254">
        <v>0</v>
      </c>
      <c r="AH21" s="861" t="s">
        <v>35</v>
      </c>
      <c r="AI21" s="254">
        <v>0.25</v>
      </c>
      <c r="AJ21" s="861" t="s">
        <v>33</v>
      </c>
      <c r="AK21" s="254">
        <v>1</v>
      </c>
      <c r="AL21" s="861" t="s">
        <v>33</v>
      </c>
      <c r="AM21" s="254">
        <v>1</v>
      </c>
      <c r="AN21" s="861" t="s">
        <v>33</v>
      </c>
      <c r="AO21" s="254">
        <v>1</v>
      </c>
    </row>
    <row r="22" spans="1:164" x14ac:dyDescent="0.35">
      <c r="A22" s="825" t="s">
        <v>78</v>
      </c>
      <c r="B22" s="861" t="s">
        <v>35</v>
      </c>
      <c r="C22" s="254">
        <f t="shared" ca="1" si="1"/>
        <v>0.25</v>
      </c>
      <c r="D22" s="580" t="s">
        <v>77</v>
      </c>
      <c r="E22" s="235"/>
      <c r="F22" s="235"/>
      <c r="G22" s="235"/>
      <c r="H22" s="235"/>
      <c r="M22" s="949"/>
      <c r="N22" s="861" t="s">
        <v>37</v>
      </c>
      <c r="O22" s="254">
        <v>0</v>
      </c>
      <c r="P22" s="861" t="s">
        <v>37</v>
      </c>
      <c r="Q22" s="254">
        <v>0</v>
      </c>
      <c r="R22" s="861" t="s">
        <v>35</v>
      </c>
      <c r="S22" s="254">
        <v>0.25</v>
      </c>
      <c r="T22" s="861" t="s">
        <v>69</v>
      </c>
      <c r="U22" s="254">
        <v>0.1</v>
      </c>
      <c r="V22" s="861" t="s">
        <v>37</v>
      </c>
      <c r="W22" s="254">
        <v>0</v>
      </c>
      <c r="X22" s="861" t="s">
        <v>35</v>
      </c>
      <c r="Y22" s="254">
        <v>0.25</v>
      </c>
      <c r="Z22" s="861" t="s">
        <v>35</v>
      </c>
      <c r="AA22" s="254">
        <v>0.25</v>
      </c>
      <c r="AB22" s="861" t="s">
        <v>37</v>
      </c>
      <c r="AC22" s="254">
        <v>0</v>
      </c>
      <c r="AD22" s="861" t="s">
        <v>37</v>
      </c>
      <c r="AE22" s="254">
        <v>0</v>
      </c>
      <c r="AF22" s="861" t="s">
        <v>37</v>
      </c>
      <c r="AG22" s="254">
        <v>0</v>
      </c>
      <c r="AH22" s="861" t="s">
        <v>69</v>
      </c>
      <c r="AI22" s="254">
        <v>0.1</v>
      </c>
      <c r="AJ22" s="861" t="s">
        <v>35</v>
      </c>
      <c r="AK22" s="254">
        <v>0.25</v>
      </c>
      <c r="AL22" s="861" t="s">
        <v>35</v>
      </c>
      <c r="AM22" s="254">
        <v>0.5</v>
      </c>
      <c r="AN22" s="861" t="s">
        <v>35</v>
      </c>
      <c r="AO22" s="254">
        <v>0</v>
      </c>
    </row>
    <row r="23" spans="1:164" x14ac:dyDescent="0.35">
      <c r="A23" s="860" t="s">
        <v>79</v>
      </c>
      <c r="B23" s="861" t="s">
        <v>33</v>
      </c>
      <c r="C23" s="254">
        <f t="shared" ca="1" si="1"/>
        <v>1</v>
      </c>
      <c r="D23" s="580" t="s">
        <v>77</v>
      </c>
      <c r="E23" s="235"/>
      <c r="F23" s="235"/>
      <c r="G23" s="235"/>
      <c r="H23" s="235"/>
      <c r="I23" s="235"/>
      <c r="J23" s="235"/>
      <c r="K23" s="235"/>
      <c r="L23" s="235"/>
      <c r="M23" s="951"/>
      <c r="N23" s="861" t="s">
        <v>37</v>
      </c>
      <c r="O23" s="254">
        <v>0</v>
      </c>
      <c r="P23" s="861" t="s">
        <v>37</v>
      </c>
      <c r="Q23" s="254">
        <v>0</v>
      </c>
      <c r="R23" s="861" t="s">
        <v>33</v>
      </c>
      <c r="S23" s="254">
        <v>1</v>
      </c>
      <c r="T23" s="861" t="s">
        <v>35</v>
      </c>
      <c r="U23" s="254">
        <v>0.25</v>
      </c>
      <c r="V23" s="861" t="s">
        <v>33</v>
      </c>
      <c r="W23" s="254">
        <v>1</v>
      </c>
      <c r="X23" s="861" t="s">
        <v>37</v>
      </c>
      <c r="Y23" s="254">
        <v>0</v>
      </c>
      <c r="Z23" s="861" t="s">
        <v>37</v>
      </c>
      <c r="AA23" s="254">
        <v>0</v>
      </c>
      <c r="AB23" s="861" t="s">
        <v>33</v>
      </c>
      <c r="AC23" s="254">
        <v>1</v>
      </c>
      <c r="AD23" s="861" t="s">
        <v>37</v>
      </c>
      <c r="AE23" s="254">
        <v>0</v>
      </c>
      <c r="AF23" s="861" t="s">
        <v>33</v>
      </c>
      <c r="AG23" s="254">
        <v>1</v>
      </c>
      <c r="AH23" s="861" t="s">
        <v>35</v>
      </c>
      <c r="AI23" s="254">
        <v>0.25</v>
      </c>
      <c r="AJ23" s="861" t="s">
        <v>33</v>
      </c>
      <c r="AK23" s="254">
        <v>1</v>
      </c>
      <c r="AL23" s="861" t="s">
        <v>33</v>
      </c>
      <c r="AM23" s="254">
        <v>1</v>
      </c>
      <c r="AN23" s="861" t="s">
        <v>33</v>
      </c>
      <c r="AO23" s="254">
        <v>1</v>
      </c>
    </row>
    <row r="24" spans="1:164" ht="15" thickBot="1" x14ac:dyDescent="0.4">
      <c r="A24" s="862" t="s">
        <v>80</v>
      </c>
      <c r="B24" s="863" t="s">
        <v>35</v>
      </c>
      <c r="C24" s="255">
        <f t="shared" ca="1" si="1"/>
        <v>0.25</v>
      </c>
      <c r="D24" s="580" t="s">
        <v>77</v>
      </c>
      <c r="E24" s="235"/>
      <c r="F24" s="235"/>
      <c r="G24" s="235"/>
      <c r="H24" s="235"/>
      <c r="I24" s="235"/>
      <c r="J24" s="235"/>
      <c r="K24" s="235"/>
      <c r="L24" s="235"/>
      <c r="M24" s="951"/>
      <c r="N24" s="863" t="s">
        <v>37</v>
      </c>
      <c r="O24" s="255">
        <v>0</v>
      </c>
      <c r="P24" s="863" t="s">
        <v>37</v>
      </c>
      <c r="Q24" s="255">
        <v>0</v>
      </c>
      <c r="R24" s="863" t="s">
        <v>35</v>
      </c>
      <c r="S24" s="255">
        <v>0.25</v>
      </c>
      <c r="T24" s="863" t="s">
        <v>69</v>
      </c>
      <c r="U24" s="255">
        <v>0.1</v>
      </c>
      <c r="V24" s="863" t="s">
        <v>35</v>
      </c>
      <c r="W24" s="255">
        <v>0.25</v>
      </c>
      <c r="X24" s="863" t="s">
        <v>37</v>
      </c>
      <c r="Y24" s="255">
        <v>0</v>
      </c>
      <c r="Z24" s="863" t="s">
        <v>37</v>
      </c>
      <c r="AA24" s="255">
        <v>0</v>
      </c>
      <c r="AB24" s="863" t="s">
        <v>35</v>
      </c>
      <c r="AC24" s="255">
        <v>0.25</v>
      </c>
      <c r="AD24" s="863" t="s">
        <v>37</v>
      </c>
      <c r="AE24" s="255">
        <v>0</v>
      </c>
      <c r="AF24" s="863" t="s">
        <v>37</v>
      </c>
      <c r="AG24" s="255">
        <v>0</v>
      </c>
      <c r="AH24" s="863" t="s">
        <v>69</v>
      </c>
      <c r="AI24" s="255">
        <v>0.1</v>
      </c>
      <c r="AJ24" s="863" t="s">
        <v>35</v>
      </c>
      <c r="AK24" s="255">
        <v>0.25</v>
      </c>
      <c r="AL24" s="863" t="s">
        <v>35</v>
      </c>
      <c r="AM24" s="255">
        <v>0.5</v>
      </c>
      <c r="AN24" s="863" t="s">
        <v>35</v>
      </c>
      <c r="AO24" s="255">
        <v>0</v>
      </c>
    </row>
    <row r="25" spans="1:164" x14ac:dyDescent="0.35">
      <c r="D25" s="235"/>
      <c r="E25" s="235"/>
      <c r="F25" s="235"/>
      <c r="G25" s="235"/>
      <c r="H25" s="235"/>
      <c r="I25" s="235"/>
      <c r="J25" s="235"/>
      <c r="K25" s="235"/>
      <c r="L25" s="235"/>
      <c r="N25" s="235"/>
    </row>
    <row r="26" spans="1:164" ht="19.5" x14ac:dyDescent="0.45">
      <c r="A26" s="85" t="s">
        <v>81</v>
      </c>
      <c r="B26" s="137"/>
      <c r="C26" s="98"/>
      <c r="D26" s="98"/>
      <c r="E26" s="98"/>
      <c r="F26" s="98"/>
      <c r="G26" s="98"/>
      <c r="H26" s="98"/>
      <c r="I26" s="98"/>
      <c r="J26" s="98"/>
      <c r="K26" s="98"/>
      <c r="L26" s="98"/>
      <c r="M26" s="827"/>
      <c r="N26" s="827"/>
      <c r="O26" s="827"/>
      <c r="P26" s="98"/>
      <c r="Q26" s="98"/>
      <c r="R26" s="98"/>
      <c r="S26" s="98"/>
      <c r="T26" s="98"/>
      <c r="U26" s="827"/>
      <c r="V26" s="827"/>
      <c r="W26" s="827"/>
      <c r="X26" s="827"/>
      <c r="Y26" s="827"/>
      <c r="Z26" s="827"/>
      <c r="AA26" s="98"/>
      <c r="AB26" s="679"/>
      <c r="AC26" s="679"/>
      <c r="AD26" s="679"/>
      <c r="AE26" s="679"/>
      <c r="AF26" s="679"/>
      <c r="AG26" s="679"/>
      <c r="AH26" s="679"/>
      <c r="AI26" s="679"/>
      <c r="AJ26" s="679"/>
      <c r="AK26" s="679"/>
      <c r="AL26" s="679"/>
      <c r="AM26" s="679"/>
      <c r="AN26" s="679"/>
      <c r="AO26" s="679"/>
      <c r="AP26" s="679"/>
      <c r="AQ26" s="679"/>
      <c r="AR26" s="679"/>
      <c r="AS26" s="679"/>
      <c r="AT26" s="679"/>
      <c r="AU26" s="679"/>
      <c r="AV26" s="679"/>
      <c r="AW26" s="679"/>
      <c r="AX26" s="679"/>
      <c r="AY26" s="679"/>
      <c r="AZ26" s="679"/>
      <c r="BA26" s="679"/>
      <c r="BB26" s="679"/>
      <c r="BC26" s="679"/>
      <c r="BD26" s="679"/>
      <c r="BE26" s="196"/>
      <c r="BF26" s="196"/>
      <c r="BG26" s="196"/>
      <c r="BH26" s="196"/>
      <c r="BI26" s="196"/>
      <c r="BJ26" s="196"/>
      <c r="BK26" s="196"/>
      <c r="BL26" s="196"/>
      <c r="BM26" s="196"/>
      <c r="BN26" s="196"/>
      <c r="BO26" s="196"/>
      <c r="BP26" s="196"/>
      <c r="BQ26" s="196"/>
      <c r="BR26" s="196"/>
      <c r="BS26" s="196"/>
      <c r="BT26" s="196"/>
      <c r="BU26" s="685"/>
      <c r="BV26" s="98"/>
      <c r="BW26" s="98"/>
      <c r="BX26" s="98"/>
      <c r="BY26" s="98"/>
      <c r="BZ26" s="98"/>
      <c r="CA26" s="98"/>
      <c r="CB26" s="98"/>
      <c r="CC26" s="98"/>
      <c r="CD26" s="98"/>
      <c r="CE26" s="827"/>
      <c r="CF26" s="827"/>
      <c r="CG26" s="827"/>
      <c r="CH26" s="98"/>
      <c r="CI26" s="98"/>
      <c r="CJ26" s="98"/>
      <c r="CK26" s="98"/>
      <c r="CL26" s="98"/>
      <c r="CM26" s="827"/>
      <c r="CN26" s="827"/>
      <c r="CO26" s="827"/>
      <c r="CP26" s="827"/>
      <c r="CQ26" s="827"/>
      <c r="CR26" s="827"/>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50"/>
      <c r="EP26" s="196"/>
      <c r="EQ26" s="196"/>
      <c r="ER26" s="196"/>
      <c r="ES26" s="196"/>
      <c r="ET26" s="196"/>
      <c r="EU26" s="196"/>
      <c r="EX26" s="196"/>
      <c r="EY26" s="50"/>
      <c r="EZ26" s="50"/>
      <c r="FA26" s="50"/>
      <c r="FB26" s="50"/>
      <c r="FC26" s="50"/>
      <c r="FD26" s="50"/>
      <c r="FE26" s="50"/>
      <c r="FF26" s="50"/>
      <c r="FG26" s="50"/>
      <c r="FH26" s="50"/>
    </row>
    <row r="27" spans="1:164" ht="20" thickBot="1" x14ac:dyDescent="0.5">
      <c r="A27" s="85"/>
      <c r="B27" s="137"/>
      <c r="C27" s="137"/>
      <c r="D27" s="137"/>
      <c r="E27" s="137"/>
      <c r="F27" s="137"/>
      <c r="G27" s="137"/>
      <c r="H27" s="137"/>
      <c r="I27" s="137"/>
      <c r="J27" s="137"/>
      <c r="K27" s="137"/>
      <c r="L27" s="137"/>
      <c r="M27" s="828"/>
      <c r="N27" s="828"/>
      <c r="O27" s="828"/>
      <c r="P27" s="241"/>
      <c r="Q27" s="137"/>
      <c r="R27" s="137"/>
      <c r="S27" s="137"/>
      <c r="T27" s="137"/>
      <c r="U27" s="828"/>
      <c r="V27" s="828"/>
      <c r="W27" s="828"/>
      <c r="X27" s="828"/>
      <c r="Y27" s="828"/>
      <c r="Z27" s="828"/>
      <c r="AA27" s="98"/>
      <c r="AB27" s="680" t="s">
        <v>82</v>
      </c>
      <c r="AC27" s="680"/>
      <c r="AD27" s="680"/>
      <c r="AE27" s="680"/>
      <c r="AF27" s="680"/>
      <c r="AG27" s="680"/>
      <c r="AH27" s="680"/>
      <c r="AI27" s="680"/>
      <c r="AJ27" s="680"/>
      <c r="AK27" s="680"/>
      <c r="AL27" s="680"/>
      <c r="AM27" s="680"/>
      <c r="AN27" s="680"/>
      <c r="AO27" s="680"/>
      <c r="AP27" s="681"/>
      <c r="AQ27" s="682" t="s">
        <v>83</v>
      </c>
      <c r="AR27" s="682"/>
      <c r="AS27" s="682"/>
      <c r="AT27" s="682"/>
      <c r="AU27" s="682"/>
      <c r="AV27" s="682"/>
      <c r="AW27" s="682"/>
      <c r="AX27" s="682"/>
      <c r="AY27" s="682"/>
      <c r="AZ27" s="682"/>
      <c r="BA27" s="682"/>
      <c r="BB27" s="682"/>
      <c r="BC27" s="682"/>
      <c r="BD27" s="682"/>
      <c r="BE27" s="137"/>
      <c r="BF27" s="137"/>
      <c r="BG27" s="137"/>
      <c r="BH27" s="137"/>
      <c r="BI27" s="137"/>
      <c r="BJ27" s="137"/>
      <c r="BK27" s="137"/>
      <c r="BL27" s="137"/>
      <c r="BM27" s="137"/>
      <c r="BN27" s="137"/>
      <c r="BO27" s="137"/>
      <c r="BP27" s="137"/>
      <c r="BQ27" s="137"/>
      <c r="BR27" s="137"/>
      <c r="BS27" s="137"/>
      <c r="BT27" s="137"/>
      <c r="BU27" s="686"/>
      <c r="BV27" s="137"/>
      <c r="BW27" s="137"/>
      <c r="BX27" s="137"/>
      <c r="BY27" s="137"/>
      <c r="BZ27" s="137"/>
      <c r="CA27" s="137"/>
      <c r="CB27" s="137"/>
      <c r="CC27" s="137"/>
      <c r="CD27" s="137"/>
      <c r="CE27" s="828"/>
      <c r="CF27" s="828"/>
      <c r="CG27" s="828"/>
      <c r="CH27" s="241"/>
      <c r="CI27" s="137"/>
      <c r="CJ27" s="137"/>
      <c r="CK27" s="137"/>
      <c r="CL27" s="137"/>
      <c r="CM27" s="828"/>
      <c r="CN27" s="828"/>
      <c r="CO27" s="828"/>
      <c r="CP27" s="828"/>
      <c r="CQ27" s="828"/>
      <c r="CR27" s="828"/>
      <c r="CS27" s="98"/>
      <c r="CT27" s="679" t="s">
        <v>84</v>
      </c>
      <c r="CU27" s="679"/>
      <c r="CV27" s="679"/>
      <c r="CW27" s="679"/>
      <c r="CX27" s="679"/>
      <c r="CY27" s="679"/>
      <c r="CZ27" s="679"/>
      <c r="DA27" s="679"/>
      <c r="DB27" s="679"/>
      <c r="DC27" s="679"/>
      <c r="DD27" s="679"/>
      <c r="DE27" s="679"/>
      <c r="DF27" s="679"/>
      <c r="DG27" s="679"/>
      <c r="DH27" s="679"/>
      <c r="DI27" s="679" t="s">
        <v>83</v>
      </c>
      <c r="DJ27" s="679"/>
      <c r="DK27" s="679"/>
      <c r="DL27" s="679"/>
      <c r="DM27" s="679"/>
      <c r="DN27" s="679"/>
      <c r="DO27" s="679"/>
      <c r="DP27" s="679"/>
      <c r="DQ27" s="679"/>
      <c r="DR27" s="679"/>
      <c r="DS27" s="679"/>
      <c r="DT27" s="679"/>
      <c r="DU27" s="679"/>
      <c r="DV27" s="679"/>
      <c r="DW27" s="679"/>
      <c r="DX27" s="679"/>
      <c r="DY27" s="679"/>
      <c r="DZ27" s="679"/>
      <c r="EA27" s="679"/>
      <c r="EB27" s="679"/>
      <c r="EC27" s="679"/>
      <c r="ED27" s="679"/>
      <c r="EE27" s="679"/>
      <c r="EF27" s="679"/>
      <c r="EG27" s="679"/>
      <c r="EH27" s="679"/>
      <c r="EI27" s="679"/>
      <c r="EJ27" s="679"/>
      <c r="EK27" s="679"/>
      <c r="EL27" s="679"/>
      <c r="EM27" s="679"/>
      <c r="EN27" s="679"/>
      <c r="EO27" s="50"/>
      <c r="EP27" s="137"/>
      <c r="EQ27" s="137"/>
      <c r="ER27" s="137"/>
      <c r="ES27" s="137"/>
      <c r="ET27" s="137"/>
      <c r="EU27" s="137"/>
      <c r="EX27" s="137"/>
      <c r="EY27" s="50"/>
      <c r="EZ27" s="50"/>
      <c r="FA27" s="50"/>
      <c r="FB27" s="50"/>
      <c r="FC27" s="50"/>
      <c r="FD27" s="50"/>
      <c r="FE27" s="50"/>
      <c r="FF27" s="50"/>
      <c r="FG27" s="50"/>
      <c r="FH27" s="50"/>
    </row>
    <row r="28" spans="1:164" s="53" customFormat="1" ht="42.75" customHeight="1" x14ac:dyDescent="0.35">
      <c r="A28" s="54"/>
      <c r="B28" s="54"/>
      <c r="C28" s="249"/>
      <c r="D28" s="249" t="s">
        <v>52</v>
      </c>
      <c r="E28" s="584" t="s">
        <v>85</v>
      </c>
      <c r="F28" s="584" t="s">
        <v>86</v>
      </c>
      <c r="G28" s="584" t="s">
        <v>62</v>
      </c>
      <c r="H28" s="249" t="s">
        <v>54</v>
      </c>
      <c r="I28" s="249" t="s">
        <v>56</v>
      </c>
      <c r="J28" s="584" t="s">
        <v>87</v>
      </c>
      <c r="K28" s="584" t="s">
        <v>88</v>
      </c>
      <c r="L28" s="581" t="s">
        <v>60</v>
      </c>
      <c r="M28" s="829" t="s">
        <v>63</v>
      </c>
      <c r="N28" s="829" t="s">
        <v>65</v>
      </c>
      <c r="O28" s="829" t="s">
        <v>66</v>
      </c>
      <c r="P28" s="249" t="s">
        <v>67</v>
      </c>
      <c r="Q28" s="249" t="s">
        <v>68</v>
      </c>
      <c r="R28" s="249" t="s">
        <v>70</v>
      </c>
      <c r="S28" s="249" t="s">
        <v>71</v>
      </c>
      <c r="T28" s="249" t="s">
        <v>72</v>
      </c>
      <c r="U28" s="829" t="s">
        <v>74</v>
      </c>
      <c r="V28" s="829" t="s">
        <v>75</v>
      </c>
      <c r="W28" s="829" t="s">
        <v>76</v>
      </c>
      <c r="X28" s="829" t="s">
        <v>78</v>
      </c>
      <c r="Y28" s="829" t="s">
        <v>79</v>
      </c>
      <c r="Z28" s="829" t="s">
        <v>80</v>
      </c>
      <c r="AA28" s="249" t="s">
        <v>73</v>
      </c>
      <c r="AB28" s="676" t="s">
        <v>89</v>
      </c>
      <c r="AC28" s="676" t="s">
        <v>90</v>
      </c>
      <c r="AD28" s="676" t="s">
        <v>91</v>
      </c>
      <c r="AE28" s="676" t="s">
        <v>92</v>
      </c>
      <c r="AF28" s="676" t="s">
        <v>93</v>
      </c>
      <c r="AG28" s="677" t="s">
        <v>94</v>
      </c>
      <c r="AH28" s="676" t="s">
        <v>95</v>
      </c>
      <c r="AI28" s="676" t="s">
        <v>96</v>
      </c>
      <c r="AJ28" s="676" t="s">
        <v>97</v>
      </c>
      <c r="AK28" s="676" t="s">
        <v>98</v>
      </c>
      <c r="AL28" s="676" t="s">
        <v>99</v>
      </c>
      <c r="AM28" s="676" t="s">
        <v>100</v>
      </c>
      <c r="AN28" s="676" t="s">
        <v>101</v>
      </c>
      <c r="AO28" s="676" t="s">
        <v>102</v>
      </c>
      <c r="AP28" s="676" t="s">
        <v>103</v>
      </c>
      <c r="AQ28" s="676" t="s">
        <v>89</v>
      </c>
      <c r="AR28" s="676" t="s">
        <v>90</v>
      </c>
      <c r="AS28" s="755" t="s">
        <v>91</v>
      </c>
      <c r="AT28" s="755" t="s">
        <v>92</v>
      </c>
      <c r="AU28" s="676" t="s">
        <v>93</v>
      </c>
      <c r="AV28" s="676" t="s">
        <v>94</v>
      </c>
      <c r="AW28" s="676" t="s">
        <v>95</v>
      </c>
      <c r="AX28" s="676" t="s">
        <v>97</v>
      </c>
      <c r="AY28" s="676" t="s">
        <v>98</v>
      </c>
      <c r="AZ28" s="676" t="s">
        <v>100</v>
      </c>
      <c r="BA28" s="676" t="s">
        <v>101</v>
      </c>
      <c r="BB28" s="676" t="s">
        <v>104</v>
      </c>
      <c r="BC28" s="676" t="s">
        <v>105</v>
      </c>
      <c r="BD28" s="676" t="s">
        <v>106</v>
      </c>
      <c r="BE28" s="582" t="s">
        <v>107</v>
      </c>
      <c r="BF28" s="88" t="s">
        <v>108</v>
      </c>
      <c r="BG28" s="88" t="s">
        <v>109</v>
      </c>
      <c r="BH28" s="88" t="s">
        <v>110</v>
      </c>
      <c r="BI28" s="88" t="s">
        <v>111</v>
      </c>
      <c r="BJ28" s="88" t="s">
        <v>112</v>
      </c>
      <c r="BK28" s="88" t="s">
        <v>113</v>
      </c>
      <c r="BL28" s="88"/>
      <c r="BM28" s="88"/>
      <c r="BN28" s="88"/>
      <c r="BO28" s="88"/>
      <c r="BP28" s="88"/>
      <c r="BQ28" s="88"/>
      <c r="BR28" s="88"/>
      <c r="BS28" s="88"/>
      <c r="BT28" s="88"/>
      <c r="BU28" s="687"/>
      <c r="BV28" s="249" t="s">
        <v>52</v>
      </c>
      <c r="BW28" s="581" t="s">
        <v>85</v>
      </c>
      <c r="BX28" s="584" t="s">
        <v>86</v>
      </c>
      <c r="BY28" s="584" t="s">
        <v>62</v>
      </c>
      <c r="BZ28" s="581" t="s">
        <v>54</v>
      </c>
      <c r="CA28" s="249" t="s">
        <v>56</v>
      </c>
      <c r="CB28" s="581" t="s">
        <v>87</v>
      </c>
      <c r="CC28" s="581" t="s">
        <v>88</v>
      </c>
      <c r="CD28" s="581" t="s">
        <v>60</v>
      </c>
      <c r="CE28" s="829" t="s">
        <v>63</v>
      </c>
      <c r="CF28" s="829" t="s">
        <v>65</v>
      </c>
      <c r="CG28" s="829" t="s">
        <v>66</v>
      </c>
      <c r="CH28" s="249" t="s">
        <v>67</v>
      </c>
      <c r="CI28" s="249" t="s">
        <v>68</v>
      </c>
      <c r="CJ28" s="249" t="s">
        <v>70</v>
      </c>
      <c r="CK28" s="249" t="s">
        <v>71</v>
      </c>
      <c r="CL28" s="249" t="s">
        <v>72</v>
      </c>
      <c r="CM28" s="829" t="s">
        <v>74</v>
      </c>
      <c r="CN28" s="829" t="s">
        <v>75</v>
      </c>
      <c r="CO28" s="829" t="s">
        <v>76</v>
      </c>
      <c r="CP28" s="829" t="s">
        <v>78</v>
      </c>
      <c r="CQ28" s="829" t="s">
        <v>79</v>
      </c>
      <c r="CR28" s="829" t="s">
        <v>80</v>
      </c>
      <c r="CS28" s="249" t="s">
        <v>73</v>
      </c>
      <c r="CT28" s="676" t="s">
        <v>89</v>
      </c>
      <c r="CU28" s="676" t="s">
        <v>90</v>
      </c>
      <c r="CV28" s="676" t="s">
        <v>91</v>
      </c>
      <c r="CW28" s="676" t="s">
        <v>92</v>
      </c>
      <c r="CX28" s="676" t="s">
        <v>93</v>
      </c>
      <c r="CY28" s="677" t="s">
        <v>94</v>
      </c>
      <c r="CZ28" s="676" t="s">
        <v>95</v>
      </c>
      <c r="DA28" s="676" t="s">
        <v>96</v>
      </c>
      <c r="DB28" s="676" t="s">
        <v>97</v>
      </c>
      <c r="DC28" s="676" t="s">
        <v>98</v>
      </c>
      <c r="DD28" s="676" t="s">
        <v>99</v>
      </c>
      <c r="DE28" s="676" t="s">
        <v>100</v>
      </c>
      <c r="DF28" s="676" t="s">
        <v>101</v>
      </c>
      <c r="DG28" s="676" t="s">
        <v>102</v>
      </c>
      <c r="DH28" s="676" t="s">
        <v>103</v>
      </c>
      <c r="DI28" s="676" t="s">
        <v>89</v>
      </c>
      <c r="DJ28" s="676" t="s">
        <v>90</v>
      </c>
      <c r="DK28" s="676" t="s">
        <v>91</v>
      </c>
      <c r="DL28" s="676" t="s">
        <v>92</v>
      </c>
      <c r="DM28" s="676" t="s">
        <v>93</v>
      </c>
      <c r="DN28" s="676" t="s">
        <v>94</v>
      </c>
      <c r="DO28" s="676" t="s">
        <v>95</v>
      </c>
      <c r="DP28" s="676" t="s">
        <v>97</v>
      </c>
      <c r="DQ28" s="676" t="s">
        <v>98</v>
      </c>
      <c r="DR28" s="676" t="s">
        <v>100</v>
      </c>
      <c r="DS28" s="676" t="s">
        <v>101</v>
      </c>
      <c r="DT28" s="676" t="s">
        <v>104</v>
      </c>
      <c r="DU28" s="676" t="s">
        <v>105</v>
      </c>
      <c r="DV28" s="676" t="s">
        <v>106</v>
      </c>
      <c r="DW28" s="676"/>
      <c r="DX28" s="676"/>
      <c r="DY28" s="676"/>
      <c r="DZ28" s="676"/>
      <c r="EA28" s="676"/>
      <c r="EB28" s="676"/>
      <c r="EC28" s="676"/>
      <c r="ED28" s="676"/>
      <c r="EE28" s="676"/>
      <c r="EF28" s="676"/>
      <c r="EG28" s="676"/>
      <c r="EH28" s="676"/>
      <c r="EI28" s="676"/>
      <c r="EJ28" s="676"/>
      <c r="EK28" s="676"/>
      <c r="EL28" s="676"/>
      <c r="EM28" s="676"/>
      <c r="EN28" s="676"/>
      <c r="EO28" s="583" t="s">
        <v>107</v>
      </c>
      <c r="EP28" s="88" t="s">
        <v>108</v>
      </c>
      <c r="EQ28" s="88" t="s">
        <v>109</v>
      </c>
      <c r="ER28" s="88" t="s">
        <v>110</v>
      </c>
      <c r="ES28" s="88" t="s">
        <v>111</v>
      </c>
      <c r="ET28" s="88" t="s">
        <v>112</v>
      </c>
      <c r="EU28" s="88" t="s">
        <v>113</v>
      </c>
      <c r="EV28" s="693"/>
      <c r="EX28" s="583" t="s">
        <v>114</v>
      </c>
      <c r="EY28" s="591" t="s">
        <v>115</v>
      </c>
      <c r="EZ28" s="647" t="s">
        <v>116</v>
      </c>
      <c r="FA28" s="647" t="s">
        <v>117</v>
      </c>
      <c r="FB28" s="647" t="s">
        <v>118</v>
      </c>
      <c r="FC28" s="648" t="s">
        <v>119</v>
      </c>
      <c r="FD28" s="594" t="s">
        <v>120</v>
      </c>
      <c r="FE28" s="54"/>
      <c r="FF28" s="54"/>
      <c r="FG28" s="54"/>
      <c r="FH28" s="54"/>
    </row>
    <row r="29" spans="1:164" x14ac:dyDescent="0.35">
      <c r="A29" s="54"/>
      <c r="B29" s="54"/>
      <c r="C29" s="205" t="s">
        <v>121</v>
      </c>
      <c r="D29" s="247">
        <f ca="1">VLOOKUP(D$28,$A$4:$C$24,3,0)</f>
        <v>1</v>
      </c>
      <c r="E29" s="247">
        <v>0</v>
      </c>
      <c r="F29" s="247">
        <v>0</v>
      </c>
      <c r="G29" s="247">
        <f>0</f>
        <v>0</v>
      </c>
      <c r="H29" s="247">
        <f ca="1">VLOOKUP(H$28,$A$4:$C$24,3,0)</f>
        <v>0.25</v>
      </c>
      <c r="I29" s="247">
        <f ca="1">VLOOKUP(I$28,$A$4:$C$24,3,0)</f>
        <v>1</v>
      </c>
      <c r="J29" s="247">
        <v>0</v>
      </c>
      <c r="K29" s="247">
        <v>0</v>
      </c>
      <c r="L29" s="247">
        <f t="shared" ref="L29:R29" ca="1" si="2">VLOOKUP(L$28,$A$4:$C$24,3,0)</f>
        <v>0</v>
      </c>
      <c r="M29" s="830">
        <f t="shared" ca="1" si="2"/>
        <v>0.25</v>
      </c>
      <c r="N29" s="830">
        <f t="shared" ca="1" si="2"/>
        <v>0.25</v>
      </c>
      <c r="O29" s="830">
        <f t="shared" ca="1" si="2"/>
        <v>0.25</v>
      </c>
      <c r="P29" s="247">
        <f t="shared" ca="1" si="2"/>
        <v>0</v>
      </c>
      <c r="Q29" s="247">
        <f t="shared" ca="1" si="2"/>
        <v>0.25</v>
      </c>
      <c r="R29" s="247">
        <f t="shared" ca="1" si="2"/>
        <v>0.25</v>
      </c>
      <c r="S29" s="247">
        <f ca="1">VLOOKUP($S$28,$A$4:$C$24,3,0)</f>
        <v>0</v>
      </c>
      <c r="T29" s="247">
        <f ca="1">VLOOKUP($T$28,$A$4:$C$24,3,0)</f>
        <v>0.25</v>
      </c>
      <c r="U29" s="830">
        <f ca="1">VLOOKUP($U$28,$A$4:$C$24,3,0)</f>
        <v>0.25</v>
      </c>
      <c r="V29" s="830">
        <f ca="1">VLOOKUP($V$28,$A$4:$C$24,3,0)</f>
        <v>0.5</v>
      </c>
      <c r="W29" s="830">
        <f ca="1">VLOOKUP(W$28,$A$4:$C$24,3,0)</f>
        <v>1</v>
      </c>
      <c r="X29" s="830">
        <f t="shared" ref="X29:Z29" ca="1" si="3">VLOOKUP(X$28,$A$4:$C$24,3,0)</f>
        <v>0.25</v>
      </c>
      <c r="Y29" s="830">
        <f t="shared" ca="1" si="3"/>
        <v>1</v>
      </c>
      <c r="Z29" s="830">
        <f t="shared" ca="1" si="3"/>
        <v>0.25</v>
      </c>
      <c r="AA29" s="247">
        <f ca="1">VLOOKUP($AA$28,$A$4:$C$24,3,0)</f>
        <v>0.25</v>
      </c>
      <c r="AB29" s="248">
        <v>0</v>
      </c>
      <c r="AC29" s="248">
        <v>0</v>
      </c>
      <c r="AD29" s="248">
        <v>0</v>
      </c>
      <c r="AE29" s="248">
        <v>0</v>
      </c>
      <c r="AF29" s="248">
        <v>0</v>
      </c>
      <c r="AG29" s="248">
        <v>0</v>
      </c>
      <c r="AH29" s="248">
        <v>0</v>
      </c>
      <c r="AI29" s="248">
        <v>0</v>
      </c>
      <c r="AJ29" s="248">
        <v>0</v>
      </c>
      <c r="AK29" s="248">
        <v>0</v>
      </c>
      <c r="AL29" s="248">
        <v>0</v>
      </c>
      <c r="AM29" s="248">
        <v>0</v>
      </c>
      <c r="AN29" s="248">
        <v>0</v>
      </c>
      <c r="AO29" s="248">
        <v>0</v>
      </c>
      <c r="AP29" s="248">
        <v>0</v>
      </c>
      <c r="AQ29" s="248">
        <v>0</v>
      </c>
      <c r="AR29" s="248">
        <v>0</v>
      </c>
      <c r="AS29" s="756">
        <v>0</v>
      </c>
      <c r="AT29" s="756">
        <v>0</v>
      </c>
      <c r="AU29" s="248">
        <v>0</v>
      </c>
      <c r="AV29" s="248">
        <v>0</v>
      </c>
      <c r="AW29" s="248">
        <v>0</v>
      </c>
      <c r="AX29" s="248">
        <v>0</v>
      </c>
      <c r="AY29" s="248">
        <v>0</v>
      </c>
      <c r="AZ29" s="248">
        <v>0</v>
      </c>
      <c r="BA29" s="248">
        <v>0</v>
      </c>
      <c r="BB29" s="248">
        <v>0</v>
      </c>
      <c r="BC29" s="248">
        <v>0</v>
      </c>
      <c r="BD29" s="248">
        <v>0</v>
      </c>
      <c r="BE29" s="425"/>
      <c r="BV29" s="247">
        <f ca="1">VLOOKUP(BV$28,$A$4:$C$24,3,0)</f>
        <v>1</v>
      </c>
      <c r="BW29" s="247">
        <v>0</v>
      </c>
      <c r="BX29" s="247">
        <v>0</v>
      </c>
      <c r="BY29" s="247">
        <v>0</v>
      </c>
      <c r="BZ29" s="247">
        <f ca="1">VLOOKUP(BZ$28,$A$4:$C$24,3,0)</f>
        <v>0.25</v>
      </c>
      <c r="CA29" s="247">
        <f ca="1">VLOOKUP(CA$28,$A$4:$C$24,3,0)</f>
        <v>1</v>
      </c>
      <c r="CB29" s="247">
        <v>0</v>
      </c>
      <c r="CC29" s="247">
        <v>0</v>
      </c>
      <c r="CD29" s="247">
        <f ca="1">VLOOKUP(CD$28,$A$4:$C$24,3,0)</f>
        <v>0</v>
      </c>
      <c r="CE29" s="830">
        <f ca="1">VLOOKUP(CE$28,$A$4:$C$24,3,0)</f>
        <v>0.25</v>
      </c>
      <c r="CF29" s="830">
        <f ca="1">VLOOKUP(CF$28,$A$4:$C$24,3,0)</f>
        <v>0.25</v>
      </c>
      <c r="CG29" s="830">
        <f ca="1">VLOOKUP(CG$28,$A$4:$C$24,3,0)</f>
        <v>0.25</v>
      </c>
      <c r="CH29" s="247"/>
      <c r="CI29" s="247">
        <f ca="1">VLOOKUP(CI28,$A$4:$C$24,3,0)</f>
        <v>0.25</v>
      </c>
      <c r="CJ29" s="247">
        <f ca="1">VLOOKUP(CJ28,$A$4:$C$24,3,0)</f>
        <v>0.25</v>
      </c>
      <c r="CK29" s="247">
        <f ca="1">VLOOKUP($S$28,$A$4:$C$24,3,0)</f>
        <v>0</v>
      </c>
      <c r="CL29" s="247">
        <f ca="1">VLOOKUP($T$28,$A$4:$C$24,3,0)</f>
        <v>0.25</v>
      </c>
      <c r="CM29" s="830">
        <f ca="1">VLOOKUP(CM28,$A$4:$C$24,3,0)</f>
        <v>0.25</v>
      </c>
      <c r="CN29" s="830">
        <f ca="1">VLOOKUP(CN28,$A$4:$C$24,3,0)</f>
        <v>0.5</v>
      </c>
      <c r="CO29" s="830">
        <f ca="1">VLOOKUP(CO$28,$A$4:$C$24,3,0)</f>
        <v>1</v>
      </c>
      <c r="CP29" s="830">
        <f ca="1">VLOOKUP(CP$28,$A$4:$C$24,3,0)</f>
        <v>0.25</v>
      </c>
      <c r="CQ29" s="830">
        <f ca="1">VLOOKUP(CQ$28,$A$4:$C$24,3,0)</f>
        <v>1</v>
      </c>
      <c r="CR29" s="830">
        <f ca="1">VLOOKUP(CR$28,$A$4:$C$24,3,0)</f>
        <v>0.25</v>
      </c>
      <c r="CS29" s="247">
        <f ca="1">VLOOKUP(CS28,$A$4:$C$24,3,0)</f>
        <v>0.25</v>
      </c>
      <c r="CT29" s="247">
        <v>0</v>
      </c>
      <c r="CU29" s="247">
        <v>0</v>
      </c>
      <c r="CV29" s="247">
        <v>0</v>
      </c>
      <c r="CW29" s="247">
        <v>0</v>
      </c>
      <c r="CX29" s="247">
        <v>0</v>
      </c>
      <c r="CY29" s="247">
        <v>0</v>
      </c>
      <c r="CZ29" s="247">
        <v>0</v>
      </c>
      <c r="DA29" s="247">
        <v>0</v>
      </c>
      <c r="DB29" s="247">
        <v>0</v>
      </c>
      <c r="DC29" s="247">
        <v>0</v>
      </c>
      <c r="DD29" s="247">
        <v>0</v>
      </c>
      <c r="DE29" s="247">
        <v>0</v>
      </c>
      <c r="DF29" s="247">
        <v>0</v>
      </c>
      <c r="DG29" s="247">
        <v>0</v>
      </c>
      <c r="DH29" s="247">
        <v>0</v>
      </c>
      <c r="DI29" s="247">
        <v>0</v>
      </c>
      <c r="DJ29" s="247">
        <v>0</v>
      </c>
      <c r="DK29" s="247">
        <v>0</v>
      </c>
      <c r="DL29" s="247">
        <v>0</v>
      </c>
      <c r="DM29" s="247">
        <v>0</v>
      </c>
      <c r="DN29" s="247">
        <v>0</v>
      </c>
      <c r="DO29" s="247">
        <v>0</v>
      </c>
      <c r="DP29" s="247">
        <v>0</v>
      </c>
      <c r="DQ29" s="247">
        <v>0</v>
      </c>
      <c r="DR29" s="247">
        <v>0</v>
      </c>
      <c r="DS29" s="247">
        <v>0</v>
      </c>
      <c r="DT29" s="247">
        <v>0</v>
      </c>
      <c r="DU29" s="247">
        <v>0</v>
      </c>
      <c r="DV29" s="247">
        <v>0</v>
      </c>
      <c r="DW29" s="247"/>
      <c r="DX29" s="247"/>
      <c r="DY29" s="247"/>
      <c r="DZ29" s="247"/>
      <c r="EA29" s="247"/>
      <c r="EB29" s="247"/>
      <c r="EC29" s="247"/>
      <c r="ED29" s="247"/>
      <c r="EE29" s="247"/>
      <c r="EF29" s="247"/>
      <c r="EG29" s="247"/>
      <c r="EH29" s="247"/>
      <c r="EI29" s="247"/>
      <c r="EJ29" s="247"/>
      <c r="EK29" s="247"/>
      <c r="EL29" s="247"/>
      <c r="EM29" s="247"/>
      <c r="EN29" s="247"/>
      <c r="EO29" s="398"/>
      <c r="EX29" s="398"/>
      <c r="EY29" s="587"/>
      <c r="FD29" s="588"/>
    </row>
    <row r="30" spans="1:164" x14ac:dyDescent="0.35">
      <c r="A30" s="54" t="s">
        <v>122</v>
      </c>
      <c r="B30" s="54" t="s">
        <v>123</v>
      </c>
      <c r="C30" s="54" t="s">
        <v>124</v>
      </c>
      <c r="M30" s="831"/>
      <c r="N30" s="831"/>
      <c r="O30" s="831"/>
      <c r="U30" s="831"/>
      <c r="V30" s="831"/>
      <c r="W30" s="831"/>
      <c r="X30" s="831"/>
      <c r="Y30" s="843" t="str">
        <f t="shared" ref="Y30" si="4">IFERROR(INDEX(SSW_HH_ODI,MATCH($A30,ODI_Options,0)),"")</f>
        <v/>
      </c>
      <c r="Z30" s="843"/>
      <c r="AS30" s="754"/>
      <c r="AT30" s="754"/>
      <c r="BE30" s="399"/>
      <c r="CE30" s="831"/>
      <c r="CF30" s="831"/>
      <c r="CG30" s="831"/>
      <c r="CM30" s="831"/>
      <c r="CN30" s="831"/>
      <c r="CO30" s="831"/>
      <c r="CP30" s="831"/>
      <c r="CQ30" s="843" t="str">
        <f t="shared" ref="CQ30" si="5">IFERROR(INDEX(CAM_HH_ODI,MATCH($A30,ODI_Options,0)),"")</f>
        <v/>
      </c>
      <c r="CR30" s="843"/>
      <c r="EO30" s="399"/>
      <c r="EX30" s="399"/>
      <c r="EY30" s="587"/>
      <c r="FD30" s="588"/>
    </row>
    <row r="31" spans="1:164" x14ac:dyDescent="0.35">
      <c r="A31" s="200" t="s">
        <v>125</v>
      </c>
      <c r="B31" s="7" t="s">
        <v>126</v>
      </c>
      <c r="C31" s="7" t="s">
        <v>127</v>
      </c>
      <c r="D31" s="244">
        <f ca="1">INDEX(INDIRECT("SSW_WTPCore_DCE_"&amp;$B31&amp;"_UnitValues"),MATCH("COMBINED-HH",WTPCore_Group,0),MATCH("MEAN",LMH,0))</f>
        <v>759.38481661325</v>
      </c>
      <c r="E31" s="244">
        <f t="shared" ref="E31:E46" ca="1" si="6">INDEX(INDIRECT("SSW_WTPCore_DCE_"&amp;$B31&amp;"_UnitValues"),MATCH("COMBINED-HH",WTPCore_Group,0),MATCH("LOW",LMH,0))</f>
        <v>663.89331272775166</v>
      </c>
      <c r="F31" s="244">
        <f t="shared" ref="F31:F46" ca="1" si="7">INDEX(INDIRECT("SSW_WTPCore_DCE_"&amp;$B31&amp;"_UnitValues"),MATCH("COMBINED-HH",WTPCore_Group,0),MATCH("HIGH",LMH,0))</f>
        <v>854.87632049874856</v>
      </c>
      <c r="G31" s="244">
        <f t="shared" ref="G31:G45" ca="1" si="8">INDEX(INDIRECT("SSW_WTPCore_DCE_"&amp;$B31&amp;"_UnitValues"),1,MATCH("MEAN",LMH,0))</f>
        <v>1978.0382947710405</v>
      </c>
      <c r="H31" s="245">
        <f t="shared" ref="H31:H46" ca="1" si="9">INDEX(SSW_WTPMaxdiff_WTP_Unitvalues,MATCH($B31,WTPMaxdiff_WTP_options,0))</f>
        <v>3395.5484072258</v>
      </c>
      <c r="I31" s="244">
        <f ca="1">INDEX(INDIRECT("SSW_WTPCore2_"&amp;$B31&amp;"_UnitValues"),1,MATCH("MEAN",LMH,0))</f>
        <v>253.20631561301954</v>
      </c>
      <c r="J31" s="244">
        <f t="shared" ref="J31:J39" ca="1" si="10">INDEX(INDIRECT("SSW_WTPCore2_"&amp;$B31&amp;"_UnitValues"),1,MATCH("LOW",LMH,0))</f>
        <v>227.0373828706098</v>
      </c>
      <c r="K31" s="244">
        <f t="shared" ref="K31:K39" ca="1" si="11">INDEX(INDIRECT("SSW_WTPCore2_"&amp;$B31&amp;"_UnitValues"),1,MATCH("HIGH",LMH,0))</f>
        <v>279.37524835542928</v>
      </c>
      <c r="L31" s="244">
        <f ca="1">INDEX(INDIRECT("SSW_WTPCore2_LowBill_"&amp;$B31&amp;"_UnitValues"),1,MATCH("MEAN",LMH,0))</f>
        <v>245.57858235732843</v>
      </c>
      <c r="M31" s="852">
        <f ca="1">IFERROR(INDEX('Customer priorities (2022)'!SSW_Priorities_output_WTP,MATCH($A31,'Customer priorities (2022)'!Priorities_WTP_options,0)),"x")</f>
        <v>970.39720535276513</v>
      </c>
      <c r="N31" s="852">
        <f ca="1">IFERROR(INDEX('Contacts (2022)'!SSW_Contacts_output_WTP,MATCH($A31,'Contacts (2022)'!Contacts_WTP_options,0)),"x")</f>
        <v>11.956118656835109</v>
      </c>
      <c r="O31" s="852" t="str">
        <f>IFERROR(INDEX('Satisfaction (2022)'!SSW_Satisfaction_output_WTP,MATCH($A31,'Satisfaction (2022)'!Satisfaction_WTP_options,0)),"x")</f>
        <v>x</v>
      </c>
      <c r="P31" s="367" t="str">
        <f t="shared" ref="P31:P46" si="12">IFERROR(INDEX(SSW_PR14_WTPCore_UnitValues,MATCH($B31,SSW_PR14_WTPCore_Options,0)),"x")</f>
        <v>x</v>
      </c>
      <c r="Q31" s="853" t="s">
        <v>128</v>
      </c>
      <c r="R31" s="853" t="s">
        <v>128</v>
      </c>
      <c r="S31" s="853" t="s">
        <v>128</v>
      </c>
      <c r="T31" s="244">
        <f ca="1">AVERAGE($AQ31:$BD31)</f>
        <v>475.2555828363661</v>
      </c>
      <c r="U31" s="852" t="s">
        <v>128</v>
      </c>
      <c r="V31" s="852" t="s">
        <v>128</v>
      </c>
      <c r="W31" s="852">
        <f ca="1">IFERROR(INDEX(SSW_HH_PR24,MATCH($A31,PR24_HHOptions,0)),"x")</f>
        <v>398654.61149669968</v>
      </c>
      <c r="X31" s="852" t="str">
        <f t="shared" ref="X31:X46" si="13">IFERROR(INDEX(SSW_HH_PR24_WWYW,MATCH($A31,PR24_HHOptions_WWYW,0)),"x")</f>
        <v>x</v>
      </c>
      <c r="Y31" s="852">
        <f t="shared" ref="Y31:Y46" ca="1" si="14">IFERROR(INDEX(SSW_HH_ODI,MATCH($A31,ODI_Options,0)),"x")</f>
        <v>210.8970947265625</v>
      </c>
      <c r="Z31" s="852">
        <f t="shared" ref="Z31:Z46" si="15">IFERROR(INDEX(SSW_HH_ODI_National,MATCH($A31,ODI_National_Options,0)),"x")</f>
        <v>183.51989155505379</v>
      </c>
      <c r="AA31" s="853" t="s">
        <v>128</v>
      </c>
      <c r="AB31" s="244" t="str">
        <f t="shared" ref="AB31:AP31" ca="1" si="16">IFERROR(INDEX(INDIRECT("PR14_Comp"&amp;AB$28&amp;"_UnitValues"),MATCH($B31,INDIRECT("PR14_Comp"&amp;AB$28&amp;"_WTPCore_Options"),0)),"")</f>
        <v/>
      </c>
      <c r="AC31" s="244" t="str">
        <f t="shared" ca="1" si="16"/>
        <v/>
      </c>
      <c r="AD31" s="244" t="str">
        <f t="shared" ca="1" si="16"/>
        <v/>
      </c>
      <c r="AE31" s="244" t="str">
        <f t="shared" ca="1" si="16"/>
        <v/>
      </c>
      <c r="AF31" s="244" t="str">
        <f t="shared" ca="1" si="16"/>
        <v/>
      </c>
      <c r="AG31" s="244" t="str">
        <f t="shared" ca="1" si="16"/>
        <v/>
      </c>
      <c r="AH31" s="244" t="str">
        <f t="shared" ca="1" si="16"/>
        <v/>
      </c>
      <c r="AI31" s="244" t="str">
        <f t="shared" ca="1" si="16"/>
        <v/>
      </c>
      <c r="AJ31" s="244" t="str">
        <f t="shared" ca="1" si="16"/>
        <v/>
      </c>
      <c r="AK31" s="244" t="str">
        <f t="shared" ca="1" si="16"/>
        <v/>
      </c>
      <c r="AL31" s="244" t="str">
        <f t="shared" ca="1" si="16"/>
        <v/>
      </c>
      <c r="AM31" s="244" t="str">
        <f t="shared" ca="1" si="16"/>
        <v/>
      </c>
      <c r="AN31" s="244" t="str">
        <f t="shared" ca="1" si="16"/>
        <v/>
      </c>
      <c r="AO31" s="244" t="str">
        <f t="shared" ca="1" si="16"/>
        <v/>
      </c>
      <c r="AP31" s="244" t="str">
        <f t="shared" ca="1" si="16"/>
        <v/>
      </c>
      <c r="AQ31" s="244" t="str">
        <f t="shared" ref="AQ31:BD43" ca="1" si="17">IFERROR(INDEX(INDIRECT("PR19_Comp"&amp;AQ$28&amp;"_UnitValues"),MATCH($B31,INDIRECT("PR19_Comp"&amp;AQ$28&amp;"_WTPCore_Options"),0)),"")</f>
        <v/>
      </c>
      <c r="AR31" s="244" t="str">
        <f t="shared" ca="1" si="17"/>
        <v/>
      </c>
      <c r="AS31" s="757">
        <f t="shared" ca="1" si="17"/>
        <v>466.45453960171346</v>
      </c>
      <c r="AT31" s="757">
        <f t="shared" ca="1" si="17"/>
        <v>258.00077301510612</v>
      </c>
      <c r="AU31" s="244" t="str">
        <f t="shared" ca="1" si="17"/>
        <v/>
      </c>
      <c r="AV31" s="244" t="str">
        <f t="shared" ca="1" si="17"/>
        <v/>
      </c>
      <c r="AW31" s="244" t="str">
        <f t="shared" ca="1" si="17"/>
        <v/>
      </c>
      <c r="AX31" s="244" t="str">
        <f t="shared" ca="1" si="17"/>
        <v/>
      </c>
      <c r="AY31" s="244" t="str">
        <f t="shared" ca="1" si="17"/>
        <v/>
      </c>
      <c r="AZ31" s="244" t="str">
        <f t="shared" ca="1" si="17"/>
        <v/>
      </c>
      <c r="BA31" s="244" t="str">
        <f t="shared" ca="1" si="17"/>
        <v/>
      </c>
      <c r="BB31" s="244" t="str">
        <f t="shared" ca="1" si="17"/>
        <v/>
      </c>
      <c r="BC31" s="244">
        <f t="shared" ca="1" si="17"/>
        <v>701.31143589227872</v>
      </c>
      <c r="BD31" s="244" t="str">
        <f t="shared" ca="1" si="17"/>
        <v/>
      </c>
      <c r="BE31" s="479">
        <f ca="1">SUMPRODUCT($D$29:$AA$29,D31:AA31)/SUMIF($D31:$AA31,"&lt;&gt;x",$D$29:$AA$29)</f>
        <v>76407.098861916034</v>
      </c>
      <c r="BF31" s="400">
        <f t="shared" ref="BF31:BF46" ca="1" si="18">_xlfn.MINIFS($D31:$AA31,$D$29:$AA$29,"&gt;0")</f>
        <v>11.956118656835109</v>
      </c>
      <c r="BG31" s="400">
        <f t="shared" ref="BG31:BG46" ca="1" si="19">_xlfn.MAXIFS($D31:$AA31,$D$29:$AA$29,"&gt;0")</f>
        <v>398654.61149669968</v>
      </c>
      <c r="BH31" s="10">
        <f ca="1">0.8*BF31+0.2*BE31</f>
        <v>15290.984667308676</v>
      </c>
      <c r="BI31" s="400">
        <f ca="1">0.8*BG31+0.2*BE31</f>
        <v>334205.10896974301</v>
      </c>
      <c r="BJ31" s="400">
        <f ca="1">BE31-BH31</f>
        <v>61116.114194607362</v>
      </c>
      <c r="BK31" s="400">
        <f t="shared" ref="BK31:BK46" ca="1" si="20">BI31-BE31</f>
        <v>257798.01010782697</v>
      </c>
      <c r="BL31" s="400"/>
      <c r="BM31" s="400"/>
      <c r="BN31" s="400"/>
      <c r="BO31" s="400"/>
      <c r="BP31" s="400"/>
      <c r="BQ31" s="400"/>
      <c r="BR31" s="400"/>
      <c r="BS31" s="400"/>
      <c r="BT31" s="400"/>
      <c r="BU31" s="688"/>
      <c r="BV31" s="244">
        <f ca="1">INDEX(INDIRECT("CAM_WTPCore_"&amp;$B31&amp;"_UnitValues"),MATCH("COMBINED-HH",WTPCore_Group,0),MATCH("MEAN",LMH,0))</f>
        <v>501.11390007890685</v>
      </c>
      <c r="BW31" s="244">
        <f t="shared" ref="BW31:BW46" ca="1" si="21">INDEX(INDIRECT("CAM_WTPCore_"&amp;$B31&amp;"_UnitValues"),MATCH("COMBINED-HH",WTPCore_Group,0),MATCH("LOW",LMH,0))</f>
        <v>419.85218655259763</v>
      </c>
      <c r="BX31" s="244">
        <f t="shared" ref="BX31:BX46" ca="1" si="22">INDEX(INDIRECT("CAM_WTPCore_"&amp;$B31&amp;"_UnitValues"),MATCH("COMBINED-HH",WTPCore_Group,0),MATCH("HIGH",LMH,0))</f>
        <v>582.37561360521602</v>
      </c>
      <c r="BY31" s="244">
        <f t="shared" ref="BY31:BY45" ca="1" si="23">INDEX(INDIRECT("CAM_WTPCore_"&amp;$B31&amp;"_UnitValues"),1,MATCH("MEAN",LMH,0))</f>
        <v>1609.4333817849576</v>
      </c>
      <c r="BZ31" s="245">
        <f t="shared" ref="BZ31:BZ46" ca="1" si="24">INDEX(CAM_WTPMaxdiff_WTP_Unitvalues,MATCH($B31,WTPMaxdiff_WTP_options,0))</f>
        <v>3533.626736654584</v>
      </c>
      <c r="CA31" s="244">
        <f ca="1">INDEX(INDIRECT("CAM_WTPCore2_"&amp;$B31&amp;"_UnitValues"),1,MATCH("MEAN",LMH,0))</f>
        <v>555.0592049203259</v>
      </c>
      <c r="CB31" s="244">
        <f t="shared" ref="CB31:CB39" ca="1" si="25">INDEX(INDIRECT("CAM_WTPCore2_"&amp;$B31&amp;"_UnitValues"),1,MATCH("LOW",LMH,0))</f>
        <v>481.86498407981492</v>
      </c>
      <c r="CC31" s="244">
        <f t="shared" ref="CC31:CC39" ca="1" si="26">INDEX(INDIRECT("CAM_WTPCore2_"&amp;$B31&amp;"_UnitValues"),1,MATCH("HIGH",LMH,0))</f>
        <v>628.25342576083688</v>
      </c>
      <c r="CD31" s="244">
        <f t="shared" ref="CD31:CD39" ca="1" si="27">INDEX(INDIRECT("CAM_WTPCore2_LowBill_"&amp;$B31&amp;"_UnitValues"),1,MATCH("MEAN",LMH,0))</f>
        <v>395.93761105859028</v>
      </c>
      <c r="CE31" s="852">
        <f ca="1">IFERROR(INDEX('Customer priorities (2022)'!CAM_Priorities_output_WTP,MATCH($A31,'Customer priorities (2022)'!Priorities_WTP_options,0)),"x")</f>
        <v>949.96614947078956</v>
      </c>
      <c r="CF31" s="852">
        <f ca="1">IFERROR(INDEX('Contacts (2022)'!CAM_Contacts_output_WTP,MATCH($A31,'Contacts (2022)'!Contacts_WTP_options,0)),"x")</f>
        <v>16.256667964087679</v>
      </c>
      <c r="CG31" s="852" t="str">
        <f>IFERROR(INDEX('Satisfaction (2022)'!CAM_Satisfaction_output_WTP,MATCH($A31,'Satisfaction (2022)'!Satisfaction_WTP_options,0)),"x")</f>
        <v>x</v>
      </c>
      <c r="CH31" s="853" t="s">
        <v>128</v>
      </c>
      <c r="CI31" s="853" t="s">
        <v>128</v>
      </c>
      <c r="CJ31" s="853" t="s">
        <v>128</v>
      </c>
      <c r="CK31" s="853" t="s">
        <v>128</v>
      </c>
      <c r="CL31" s="244">
        <f ca="1">AVERAGE($DI31:$DV31)</f>
        <v>435.962346573557</v>
      </c>
      <c r="CM31" s="852" t="s">
        <v>128</v>
      </c>
      <c r="CN31" s="852" t="s">
        <v>128</v>
      </c>
      <c r="CO31" s="854">
        <f t="shared" ref="CO31:CO46" ca="1" si="28">IFERROR(INDEX(CAM_HH_PR24,MATCH($A31,PR24_HHOptions,0)),"x")</f>
        <v>131231.05652924543</v>
      </c>
      <c r="CP31" s="852" t="str">
        <f t="shared" ref="CP31:CP46" si="29">IFERROR(INDEX(CAM_HH_PR24_WWYW,MATCH($A31,PR24_HHOptions_WWYW,0)),"x")</f>
        <v>x</v>
      </c>
      <c r="CQ31" s="854">
        <f t="shared" ref="CQ31:CQ46" ca="1" si="30">IFERROR(INDEX(CAM_HH_ODI,MATCH($A31,ODI_Options,0)),"x")</f>
        <v>210.8970947265625</v>
      </c>
      <c r="CR31" s="854">
        <f t="shared" ref="CR31:CR46" si="31">IFERROR(INDEX(CAM_HH_ODI_National,MATCH($A31,ODI_National_Options,0)),"x")</f>
        <v>183.51989155505379</v>
      </c>
      <c r="CS31" s="853" t="s">
        <v>128</v>
      </c>
      <c r="CT31" s="244" t="str">
        <f t="shared" ref="CT31:DH31" ca="1" si="32">IFERROR(INDEX(INDIRECT("PR14_Comp"&amp;CT$28&amp;"_UnitValues_CAM"),MATCH($B31,INDIRECT("PR14_Comp"&amp;CT$28&amp;"_WTPCore_Options"),0)),"")</f>
        <v/>
      </c>
      <c r="CU31" s="244" t="str">
        <f t="shared" ca="1" si="32"/>
        <v/>
      </c>
      <c r="CV31" s="244" t="str">
        <f t="shared" ca="1" si="32"/>
        <v/>
      </c>
      <c r="CW31" s="244" t="str">
        <f t="shared" ca="1" si="32"/>
        <v/>
      </c>
      <c r="CX31" s="244" t="str">
        <f t="shared" ca="1" si="32"/>
        <v/>
      </c>
      <c r="CY31" s="244" t="str">
        <f t="shared" ca="1" si="32"/>
        <v/>
      </c>
      <c r="CZ31" s="244" t="str">
        <f t="shared" ca="1" si="32"/>
        <v/>
      </c>
      <c r="DA31" s="244" t="str">
        <f t="shared" ca="1" si="32"/>
        <v/>
      </c>
      <c r="DB31" s="244" t="str">
        <f t="shared" ca="1" si="32"/>
        <v/>
      </c>
      <c r="DC31" s="244" t="str">
        <f t="shared" ca="1" si="32"/>
        <v/>
      </c>
      <c r="DD31" s="244" t="str">
        <f t="shared" ca="1" si="32"/>
        <v/>
      </c>
      <c r="DE31" s="244" t="str">
        <f t="shared" ca="1" si="32"/>
        <v/>
      </c>
      <c r="DF31" s="244" t="str">
        <f t="shared" ca="1" si="32"/>
        <v/>
      </c>
      <c r="DG31" s="244" t="str">
        <f t="shared" ca="1" si="32"/>
        <v/>
      </c>
      <c r="DH31" s="244" t="str">
        <f t="shared" ca="1" si="32"/>
        <v/>
      </c>
      <c r="DI31" s="244" t="str">
        <f t="shared" ref="DI31:DV40" ca="1" si="33">IFERROR(INDEX(INDIRECT("PR19_Comp"&amp;DI$28&amp;"_UnitValues_CAM"),MATCH($B31,INDIRECT("PR19_Comp"&amp;DI$28&amp;"_WTPCore_Options"),0)),"")</f>
        <v/>
      </c>
      <c r="DJ31" s="244" t="str">
        <f t="shared" ca="1" si="33"/>
        <v/>
      </c>
      <c r="DK31" s="244">
        <f t="shared" ca="1" si="33"/>
        <v>200.14697129858561</v>
      </c>
      <c r="DL31" s="244">
        <f t="shared" ca="1" si="33"/>
        <v>513.51620217008292</v>
      </c>
      <c r="DM31" s="244" t="str">
        <f t="shared" ca="1" si="33"/>
        <v/>
      </c>
      <c r="DN31" s="244" t="str">
        <f t="shared" ca="1" si="33"/>
        <v/>
      </c>
      <c r="DO31" s="244" t="str">
        <f t="shared" ca="1" si="33"/>
        <v/>
      </c>
      <c r="DP31" s="244" t="str">
        <f t="shared" ca="1" si="33"/>
        <v/>
      </c>
      <c r="DQ31" s="244" t="str">
        <f t="shared" ca="1" si="33"/>
        <v/>
      </c>
      <c r="DR31" s="244" t="str">
        <f t="shared" ca="1" si="33"/>
        <v/>
      </c>
      <c r="DS31" s="244" t="str">
        <f t="shared" ca="1" si="33"/>
        <v/>
      </c>
      <c r="DT31" s="244" t="str">
        <f t="shared" ca="1" si="33"/>
        <v/>
      </c>
      <c r="DU31" s="244">
        <f t="shared" ca="1" si="33"/>
        <v>594.22386625200238</v>
      </c>
      <c r="DV31" s="244" t="str">
        <f t="shared" ca="1" si="33"/>
        <v/>
      </c>
      <c r="DW31" s="244"/>
      <c r="DX31" s="244"/>
      <c r="DY31" s="244"/>
      <c r="DZ31" s="244"/>
      <c r="EA31" s="244"/>
      <c r="EB31" s="244"/>
      <c r="EC31" s="244"/>
      <c r="ED31" s="244"/>
      <c r="EE31" s="244"/>
      <c r="EF31" s="244"/>
      <c r="EG31" s="244"/>
      <c r="EH31" s="244"/>
      <c r="EI31" s="244"/>
      <c r="EJ31" s="244"/>
      <c r="EK31" s="244"/>
      <c r="EL31" s="244"/>
      <c r="EM31" s="244"/>
      <c r="EN31" s="244"/>
      <c r="EO31" s="856">
        <f ca="1">SUMPRODUCT($BV$29:$CS$29,BV31:CS31)/SUMIF($BV31:$CS31,"&lt;&gt;x",$BV$29:$CS$29)</f>
        <v>25481.516128957282</v>
      </c>
      <c r="EP31" s="400">
        <f ca="1">_xlfn.MINIFS($BV31:$CS31,$BV$29:$CS$29,"&gt;0")</f>
        <v>16.256667964087679</v>
      </c>
      <c r="EQ31" s="400">
        <f ca="1">_xlfn.MAXIFS($BV31:$CS31,$BV$29:$CS$29,"&gt;0")</f>
        <v>131231.05652924543</v>
      </c>
      <c r="ER31" s="10">
        <f ca="1">0.8*EP31+0.2*EO31</f>
        <v>5109.3085601627263</v>
      </c>
      <c r="ES31" s="400">
        <f ca="1">0.8*EQ31+0.2*EO31</f>
        <v>110081.14844918781</v>
      </c>
      <c r="ET31" s="10">
        <f ca="1">EO31-ER31</f>
        <v>20372.207568794554</v>
      </c>
      <c r="EU31" s="400">
        <f ca="1">ES31-EO31</f>
        <v>84599.632320230521</v>
      </c>
      <c r="EX31" s="479">
        <f t="shared" ref="EX31:EX46" ca="1" si="34">(BE31*HHProps_SSW+EO31*HHProps_CAM)/HHProps_All</f>
        <v>66160.28212357474</v>
      </c>
      <c r="EY31" s="592">
        <f t="shared" ref="EY31:EY46" ca="1" si="35">(BF31*HHProps_SSW+EP31*HHProps_CAM)/HHProps_All</f>
        <v>12.821438958748862</v>
      </c>
      <c r="EZ31" s="244">
        <f t="shared" ref="EZ31:EZ46" ca="1" si="36">(BG31*HHProps_SSW+EQ31*HHProps_CAM)/HHProps_All</f>
        <v>344845.896658101</v>
      </c>
      <c r="FA31" s="244">
        <f t="shared" ref="FA31:FA46" ca="1" si="37">(BH31*HHProps_SSW+ER31*HHProps_CAM)/HHProps_All</f>
        <v>13242.31357588195</v>
      </c>
      <c r="FB31" s="244">
        <f t="shared" ref="FB31:FB46" ca="1" si="38">(BI31*HHProps_SSW+ES31*HHProps_CAM)/HHProps_All</f>
        <v>289108.77375119581</v>
      </c>
      <c r="FC31" s="260">
        <f t="shared" ref="FC31:FC46" ca="1" si="39">(BJ31*HHProps_SSW+ET31*HHProps_CAM)/HHProps_All</f>
        <v>52917.968547692799</v>
      </c>
      <c r="FD31" s="589">
        <f t="shared" ref="FD31:FD46" ca="1" si="40">(BK31*HHProps_SSW+EU31*HHProps_CAM)/HHProps_All</f>
        <v>222948.49162762106</v>
      </c>
      <c r="FE31" s="260"/>
      <c r="FF31" s="260"/>
      <c r="FG31" s="260"/>
      <c r="FH31" s="260"/>
    </row>
    <row r="32" spans="1:164" x14ac:dyDescent="0.35">
      <c r="A32" s="200" t="s">
        <v>129</v>
      </c>
      <c r="B32" s="7" t="s">
        <v>130</v>
      </c>
      <c r="C32" s="7" t="s">
        <v>127</v>
      </c>
      <c r="D32" s="244">
        <f ca="1">INDEX(INDIRECT("SSW_WTPCore_DCE_"&amp;$B32&amp;"_UnitValues"),MATCH("COMBINED-HH",WTPCore_Group,0),MATCH("MEAN",LMH,0))</f>
        <v>28.111247840776404</v>
      </c>
      <c r="E32" s="244">
        <f t="shared" ca="1" si="6"/>
        <v>24.483990054869771</v>
      </c>
      <c r="F32" s="244">
        <f t="shared" ca="1" si="7"/>
        <v>31.738505626683036</v>
      </c>
      <c r="G32" s="244">
        <f t="shared" ca="1" si="8"/>
        <v>55.419176362119686</v>
      </c>
      <c r="H32" s="245">
        <f t="shared" ca="1" si="9"/>
        <v>53.655492126082407</v>
      </c>
      <c r="I32" s="244">
        <f t="shared" ref="I32:I39" ca="1" si="41">INDEX(INDIRECT("SSW_WTPCore2_"&amp;$B32&amp;"_UnitValues"),1,MATCH("MEAN",LMH,0))</f>
        <v>141.20106972505607</v>
      </c>
      <c r="J32" s="244">
        <f t="shared" ca="1" si="10"/>
        <v>126.61170623685102</v>
      </c>
      <c r="K32" s="244">
        <f t="shared" ca="1" si="11"/>
        <v>155.79043321326114</v>
      </c>
      <c r="L32" s="244">
        <f t="shared" ref="L32:L39" ca="1" si="42">INDEX(INDIRECT("SSW_WTPCore2_LowBill_"&amp;$B32&amp;"_UnitValues"),1,MATCH("MEAN",LMH,0))</f>
        <v>103.72266941127261</v>
      </c>
      <c r="M32" s="852" t="str">
        <f>IFERROR(INDEX('Customer priorities (2022)'!SSW_Priorities_output_WTP,MATCH($A32,'Customer priorities (2022)'!Priorities_WTP_options,0)),"x")</f>
        <v>x</v>
      </c>
      <c r="N32" s="852">
        <f ca="1">IFERROR(INDEX('Contacts (2022)'!SSW_Contacts_output_WTP,MATCH($A32,'Contacts (2022)'!Contacts_WTP_options,0)),"x")</f>
        <v>37.941360035908254</v>
      </c>
      <c r="O32" s="852">
        <f ca="1">IFERROR(INDEX('Satisfaction (2022)'!SSW_Satisfaction_output_WTP,MATCH($A32,'Satisfaction (2022)'!Satisfaction_WTP_options,0)),"x")</f>
        <v>81.87829322499968</v>
      </c>
      <c r="P32" s="367">
        <f t="shared" ca="1" si="12"/>
        <v>169.0520366398446</v>
      </c>
      <c r="Q32" s="367" t="str">
        <f t="shared" ref="Q32:Q46" si="43">IFERROR(INDEX(SSW_WRMP_Online_UnitValues,MATCH($A32,WRMP_Online_WTPAtts,0)),"x")</f>
        <v>x</v>
      </c>
      <c r="R32" s="367" t="str">
        <f t="shared" ref="R32:R46" si="44">IFERROR(INDEX(SSW_WRMP_Workshop_UnitValues,MATCH($A32,WRMP_Workshop_WTPAtts,0)),"x")</f>
        <v>x</v>
      </c>
      <c r="S32" s="244">
        <f ca="1">AVERAGE( $AB32:$AP32)</f>
        <v>114.02932950968739</v>
      </c>
      <c r="T32" s="244">
        <f ca="1">AVERAGE($AQ32:$BD32)</f>
        <v>78.685182782710712</v>
      </c>
      <c r="U32" s="852" t="s">
        <v>128</v>
      </c>
      <c r="V32" s="852" t="s">
        <v>128</v>
      </c>
      <c r="W32" s="852" t="str">
        <f t="shared" ref="W32:W46" si="45">IFERROR(INDEX(SSW_HH_PR24,MATCH($A32,PR24_HHOptions,0)),"x")</f>
        <v>x</v>
      </c>
      <c r="X32" s="852">
        <f t="shared" si="13"/>
        <v>0</v>
      </c>
      <c r="Y32" s="852">
        <f t="shared" ca="1" si="14"/>
        <v>134.23005676269531</v>
      </c>
      <c r="Z32" s="852">
        <f t="shared" si="15"/>
        <v>78.467750085454</v>
      </c>
      <c r="AA32" s="853" t="s">
        <v>128</v>
      </c>
      <c r="AB32" s="244" t="str">
        <f t="shared" ref="AB32:AF46" ca="1" si="46">IFERROR(INDEX(INDIRECT("PR14_Comp"&amp;AB$28&amp;"_UnitValues"),MATCH($B32,INDIRECT("PR14_Comp"&amp;AB$28&amp;"_WTPCore_Options"),0)),"")</f>
        <v/>
      </c>
      <c r="AC32" s="244" t="str">
        <f t="shared" ca="1" si="46"/>
        <v/>
      </c>
      <c r="AD32" s="244">
        <f t="shared" ca="1" si="46"/>
        <v>79.213019734305021</v>
      </c>
      <c r="AE32" s="244">
        <f t="shared" ca="1" si="46"/>
        <v>112.89575481995958</v>
      </c>
      <c r="AF32" s="244">
        <f t="shared" ca="1" si="46"/>
        <v>71.854470210263173</v>
      </c>
      <c r="AG32" s="244"/>
      <c r="AH32" s="244">
        <f t="shared" ref="AH32:AP46" ca="1" si="47">IFERROR(INDEX(INDIRECT("PR14_Comp"&amp;AH$28&amp;"_UnitValues"),MATCH($B32,INDIRECT("PR14_Comp"&amp;AH$28&amp;"_WTPCore_Options"),0)),"")</f>
        <v>130.85627634249403</v>
      </c>
      <c r="AI32" s="244" t="str">
        <f t="shared" ca="1" si="47"/>
        <v/>
      </c>
      <c r="AJ32" s="244" t="str">
        <f t="shared" ca="1" si="47"/>
        <v/>
      </c>
      <c r="AK32" s="244">
        <f t="shared" ca="1" si="47"/>
        <v>161.11464886422979</v>
      </c>
      <c r="AL32" s="244" t="str">
        <f t="shared" ca="1" si="47"/>
        <v/>
      </c>
      <c r="AM32" s="244">
        <f t="shared" ca="1" si="47"/>
        <v>125.38371301330433</v>
      </c>
      <c r="AN32" s="244">
        <f t="shared" ca="1" si="47"/>
        <v>52.17483591370069</v>
      </c>
      <c r="AO32" s="244" t="str">
        <f t="shared" ca="1" si="47"/>
        <v/>
      </c>
      <c r="AP32" s="244">
        <f t="shared" ca="1" si="47"/>
        <v>178.74191717924251</v>
      </c>
      <c r="AQ32" s="244">
        <f t="shared" ca="1" si="17"/>
        <v>71.103972459846034</v>
      </c>
      <c r="AR32" s="244" t="str">
        <f t="shared" ca="1" si="17"/>
        <v/>
      </c>
      <c r="AS32" s="757">
        <f t="shared" ca="1" si="17"/>
        <v>63.839581149869538</v>
      </c>
      <c r="AT32" s="757">
        <f t="shared" ca="1" si="17"/>
        <v>138.27883658118213</v>
      </c>
      <c r="AU32" s="244" t="str">
        <f t="shared" ca="1" si="17"/>
        <v/>
      </c>
      <c r="AV32" s="244" t="str">
        <f t="shared" ca="1" si="17"/>
        <v/>
      </c>
      <c r="AW32" s="244" t="str">
        <f t="shared" ca="1" si="17"/>
        <v/>
      </c>
      <c r="AX32" s="244" t="str">
        <f t="shared" ca="1" si="17"/>
        <v/>
      </c>
      <c r="AY32" s="244" t="str">
        <f t="shared" ca="1" si="17"/>
        <v/>
      </c>
      <c r="AZ32" s="244">
        <f t="shared" ca="1" si="17"/>
        <v>50.61994803896981</v>
      </c>
      <c r="BA32" s="244">
        <f t="shared" ca="1" si="17"/>
        <v>69.583575683685979</v>
      </c>
      <c r="BB32" s="244" t="str">
        <f t="shared" ca="1" si="17"/>
        <v/>
      </c>
      <c r="BC32" s="244" t="str">
        <f t="shared" ca="1" si="17"/>
        <v/>
      </c>
      <c r="BD32" s="244" t="str">
        <f t="shared" ca="1" si="17"/>
        <v/>
      </c>
      <c r="BE32" s="479">
        <f t="shared" ref="BE32:BE46" ca="1" si="48">SUMPRODUCT($D$29:$AA$29,D32:AA32)/SUMIF($D32:$AA32,"&lt;&gt;x",$D$29:$AA$29)</f>
        <v>85.822087531625911</v>
      </c>
      <c r="BF32" s="400">
        <f t="shared" ca="1" si="18"/>
        <v>0</v>
      </c>
      <c r="BG32" s="400">
        <f t="shared" ca="1" si="19"/>
        <v>141.20106972505607</v>
      </c>
      <c r="BH32" s="10">
        <f t="shared" ref="BH32:BH46" ca="1" si="49">0.8*BF32+0.2*BE32</f>
        <v>17.164417506325183</v>
      </c>
      <c r="BI32" s="400">
        <f t="shared" ref="BI32:BI46" ca="1" si="50">0.8*BG32+0.2*BE32</f>
        <v>130.12527328637006</v>
      </c>
      <c r="BJ32" s="400">
        <f ca="1">BE32-BH32</f>
        <v>68.657670025300732</v>
      </c>
      <c r="BK32" s="400">
        <f t="shared" ca="1" si="20"/>
        <v>44.303185754744149</v>
      </c>
      <c r="BL32" s="400"/>
      <c r="BM32" s="400"/>
      <c r="BN32" s="400"/>
      <c r="BO32" s="400"/>
      <c r="BP32" s="400"/>
      <c r="BQ32" s="400"/>
      <c r="BR32" s="400"/>
      <c r="BS32" s="400"/>
      <c r="BT32" s="400"/>
      <c r="BU32" s="688"/>
      <c r="BV32" s="244">
        <f ca="1">INDEX(INDIRECT("CAM_WTPCore_"&amp;$B32&amp;"_UnitValues"),MATCH("COMBINED-HH",WTPCore_Group,0),MATCH("MEAN",LMH,0))</f>
        <v>308.90334405201918</v>
      </c>
      <c r="BW32" s="244">
        <f t="shared" ca="1" si="21"/>
        <v>258.73955313758876</v>
      </c>
      <c r="BX32" s="244">
        <f t="shared" ca="1" si="22"/>
        <v>359.94720147372044</v>
      </c>
      <c r="BY32" s="244">
        <f t="shared" ca="1" si="23"/>
        <v>459.42494808754515</v>
      </c>
      <c r="BZ32" s="245">
        <f t="shared" ca="1" si="24"/>
        <v>283.19382704811835</v>
      </c>
      <c r="CA32" s="244">
        <f t="shared" ref="CA32:CA39" ca="1" si="51">INDEX(INDIRECT("CAM_WTPCore2_"&amp;$B32&amp;"_UnitValues"),1,MATCH("MEAN",LMH,0))</f>
        <v>613.1439022942551</v>
      </c>
      <c r="CB32" s="244">
        <f t="shared" ca="1" si="25"/>
        <v>532.31865371317224</v>
      </c>
      <c r="CC32" s="244">
        <f t="shared" ca="1" si="26"/>
        <v>693.96915087533785</v>
      </c>
      <c r="CD32" s="244">
        <f t="shared" ca="1" si="27"/>
        <v>651.26740939939975</v>
      </c>
      <c r="CE32" s="852" t="str">
        <f>IFERROR(INDEX('Customer priorities (2022)'!CAM_Priorities_output_WTP,MATCH($A32,'Customer priorities (2022)'!Priorities_WTP_options,0)),"x")</f>
        <v>x</v>
      </c>
      <c r="CF32" s="852">
        <f ca="1">IFERROR(INDEX('Contacts (2022)'!CAM_Contacts_output_WTP,MATCH($A32,'Contacts (2022)'!Contacts_WTP_options,0)),"x")</f>
        <v>96.430656080344079</v>
      </c>
      <c r="CG32" s="852">
        <f ca="1">IFERROR(INDEX('Satisfaction (2022)'!CAM_Satisfaction_output_WTP,MATCH($A32,'Satisfaction (2022)'!Satisfaction_WTP_options,0)),"x")</f>
        <v>203.19585187948766</v>
      </c>
      <c r="CH32" s="853" t="s">
        <v>128</v>
      </c>
      <c r="CI32" s="367" t="str">
        <f t="shared" ref="CI32:CI46" si="52">IFERROR(INDEX(CAM_WRMP_Online_UnitValues,MATCH($A32,WRMP_Online_WTPAtts,0)),"x")</f>
        <v>x</v>
      </c>
      <c r="CJ32" s="367" t="str">
        <f t="shared" ref="CJ32:CJ46" si="53">IFERROR(INDEX(CAM_WRMP_Workshop_UnitValues,MATCH($A32,WRMP_Workshop_WTPAtts,0)),"x")</f>
        <v>x</v>
      </c>
      <c r="CK32" s="244">
        <f ca="1">AVERAGE($CT32:$DH32)</f>
        <v>362.61871622796258</v>
      </c>
      <c r="CL32" s="244">
        <f ca="1">AVERAGE($DI32:$DV32)</f>
        <v>137.07713597641791</v>
      </c>
      <c r="CM32" s="852" t="s">
        <v>128</v>
      </c>
      <c r="CN32" s="852" t="s">
        <v>128</v>
      </c>
      <c r="CO32" s="854" t="str">
        <f t="shared" si="28"/>
        <v>x</v>
      </c>
      <c r="CP32" s="852">
        <f t="shared" si="29"/>
        <v>0</v>
      </c>
      <c r="CQ32" s="854">
        <f t="shared" ca="1" si="30"/>
        <v>134.23005676269531</v>
      </c>
      <c r="CR32" s="854">
        <f t="shared" si="31"/>
        <v>78.467750085454</v>
      </c>
      <c r="CS32" s="853" t="s">
        <v>128</v>
      </c>
      <c r="CT32" s="244" t="str">
        <f t="shared" ref="CT32:CX46" ca="1" si="54">IFERROR(INDEX(INDIRECT("PR14_Comp"&amp;CT$28&amp;"_UnitValues_CAM"),MATCH($B32,INDIRECT("PR14_Comp"&amp;CT$28&amp;"_WTPCore_Options"),0)),"")</f>
        <v/>
      </c>
      <c r="CU32" s="244" t="str">
        <f t="shared" ca="1" si="54"/>
        <v/>
      </c>
      <c r="CV32" s="244">
        <f t="shared" ca="1" si="54"/>
        <v>163.6575875489809</v>
      </c>
      <c r="CW32" s="244">
        <f t="shared" ca="1" si="54"/>
        <v>311.33222912024399</v>
      </c>
      <c r="CX32" s="244">
        <f t="shared" ca="1" si="54"/>
        <v>128.67248284503117</v>
      </c>
      <c r="CY32" s="244"/>
      <c r="CZ32" s="244">
        <f t="shared" ref="CZ32:DH46" ca="1" si="55">IFERROR(INDEX(INDIRECT("PR14_Comp"&amp;CZ$28&amp;"_UnitValues_CAM"),MATCH($B32,INDIRECT("PR14_Comp"&amp;CZ$28&amp;"_WTPCore_Options"),0)),"")</f>
        <v>537.79022059194619</v>
      </c>
      <c r="DA32" s="244" t="str">
        <f t="shared" ca="1" si="55"/>
        <v/>
      </c>
      <c r="DB32" s="244" t="str">
        <f t="shared" ca="1" si="55"/>
        <v/>
      </c>
      <c r="DC32" s="244">
        <f t="shared" ca="1" si="55"/>
        <v>793.81186404490938</v>
      </c>
      <c r="DD32" s="244" t="str">
        <f t="shared" ca="1" si="55"/>
        <v/>
      </c>
      <c r="DE32" s="244">
        <f t="shared" ca="1" si="55"/>
        <v>387.90382853788253</v>
      </c>
      <c r="DF32" s="244">
        <f t="shared" ca="1" si="55"/>
        <v>136.09628242293982</v>
      </c>
      <c r="DG32" s="244" t="str">
        <f t="shared" ca="1" si="55"/>
        <v/>
      </c>
      <c r="DH32" s="244">
        <f t="shared" ca="1" si="55"/>
        <v>441.6852347117665</v>
      </c>
      <c r="DI32" s="244">
        <f t="shared" ca="1" si="33"/>
        <v>183.10716697779444</v>
      </c>
      <c r="DJ32" s="244" t="str">
        <f t="shared" ca="1" si="33"/>
        <v/>
      </c>
      <c r="DK32" s="244">
        <f t="shared" ca="1" si="33"/>
        <v>107.96340195777505</v>
      </c>
      <c r="DL32" s="244">
        <f t="shared" ca="1" si="33"/>
        <v>275.22562111668009</v>
      </c>
      <c r="DM32" s="244" t="str">
        <f t="shared" ca="1" si="33"/>
        <v/>
      </c>
      <c r="DN32" s="244" t="str">
        <f t="shared" ca="1" si="33"/>
        <v/>
      </c>
      <c r="DO32" s="244" t="str">
        <f t="shared" ca="1" si="33"/>
        <v/>
      </c>
      <c r="DP32" s="244" t="str">
        <f t="shared" ca="1" si="33"/>
        <v/>
      </c>
      <c r="DQ32" s="244" t="str">
        <f t="shared" ca="1" si="33"/>
        <v/>
      </c>
      <c r="DR32" s="244">
        <f t="shared" ca="1" si="33"/>
        <v>59.972983414786952</v>
      </c>
      <c r="DS32" s="244">
        <f t="shared" ca="1" si="33"/>
        <v>59.116506415052974</v>
      </c>
      <c r="DT32" s="244" t="str">
        <f t="shared" ca="1" si="33"/>
        <v/>
      </c>
      <c r="DU32" s="244" t="str">
        <f t="shared" ca="1" si="33"/>
        <v/>
      </c>
      <c r="DV32" s="244" t="str">
        <f t="shared" ca="1" si="33"/>
        <v/>
      </c>
      <c r="DW32" s="244"/>
      <c r="DX32" s="244"/>
      <c r="DY32" s="244"/>
      <c r="DZ32" s="244"/>
      <c r="EA32" s="244"/>
      <c r="EB32" s="244"/>
      <c r="EC32" s="244"/>
      <c r="ED32" s="244"/>
      <c r="EE32" s="244"/>
      <c r="EF32" s="244"/>
      <c r="EG32" s="244"/>
      <c r="EH32" s="244"/>
      <c r="EI32" s="244"/>
      <c r="EJ32" s="244"/>
      <c r="EK32" s="244"/>
      <c r="EL32" s="244"/>
      <c r="EM32" s="244"/>
      <c r="EN32" s="244"/>
      <c r="EO32" s="856">
        <f t="shared" ref="EO32:EO46" ca="1" si="56">SUMPRODUCT($BV$29:$CS$29,BV32:CS32)/SUMIF($BV32:$CS32,"&lt;&gt;x",$BV$29:$CS$29)</f>
        <v>279.08191297253887</v>
      </c>
      <c r="EP32" s="400">
        <f t="shared" ref="EP32:EP46" ca="1" si="57">_xlfn.MINIFS($BV32:$CS32,$BV$29:$CS$29,"&gt;0")</f>
        <v>0</v>
      </c>
      <c r="EQ32" s="400">
        <f t="shared" ref="EQ32:EQ46" ca="1" si="58">_xlfn.MAXIFS($BV32:$CS32,$BV$29:$CS$29,"&gt;0")</f>
        <v>613.1439022942551</v>
      </c>
      <c r="ER32" s="10">
        <f t="shared" ref="ER32:ER46" ca="1" si="59">0.8*EP32+0.2*EO32</f>
        <v>55.816382594507779</v>
      </c>
      <c r="ES32" s="400">
        <f t="shared" ref="ES32:ES46" ca="1" si="60">0.8*EQ32+0.2*EO32</f>
        <v>546.33150442991189</v>
      </c>
      <c r="ET32" s="400">
        <f t="shared" ref="ET32:ET46" ca="1" si="61">EO32-ER32</f>
        <v>223.26553037803109</v>
      </c>
      <c r="EU32" s="400">
        <f t="shared" ref="EU32:EU46" ca="1" si="62">ES32-EO32</f>
        <v>267.24959145737301</v>
      </c>
      <c r="EX32" s="479">
        <f t="shared" ca="1" si="34"/>
        <v>124.70820150230071</v>
      </c>
      <c r="EY32" s="592">
        <f t="shared" ca="1" si="35"/>
        <v>0</v>
      </c>
      <c r="EZ32" s="244">
        <f t="shared" ca="1" si="36"/>
        <v>236.16143064362623</v>
      </c>
      <c r="FA32" s="244">
        <f t="shared" ca="1" si="37"/>
        <v>24.941640300460143</v>
      </c>
      <c r="FB32" s="244">
        <f t="shared" ca="1" si="38"/>
        <v>213.87078481536116</v>
      </c>
      <c r="FC32" s="260">
        <f t="shared" ca="1" si="39"/>
        <v>99.766561201840545</v>
      </c>
      <c r="FD32" s="589">
        <f t="shared" ca="1" si="40"/>
        <v>89.162583313060466</v>
      </c>
      <c r="FE32" s="260"/>
      <c r="FF32" s="260"/>
      <c r="FG32" s="260"/>
      <c r="FH32" s="260"/>
    </row>
    <row r="33" spans="1:164" x14ac:dyDescent="0.35">
      <c r="A33" s="200" t="s">
        <v>131</v>
      </c>
      <c r="B33" s="7" t="s">
        <v>132</v>
      </c>
      <c r="C33" s="7" t="s">
        <v>127</v>
      </c>
      <c r="D33" s="244">
        <f t="shared" ref="D33:D45" ca="1" si="63">INDEX(INDIRECT("SSW_WTPCore_DCE_"&amp;$B33&amp;"_UnitValues"),MATCH("COMBINED-HH",WTPCore_Group,0),MATCH("MEAN",LMH,0))</f>
        <v>173.83878023943072</v>
      </c>
      <c r="E33" s="244">
        <f t="shared" ca="1" si="6"/>
        <v>151.22560557413894</v>
      </c>
      <c r="F33" s="244">
        <f t="shared" ca="1" si="7"/>
        <v>195.03863148814176</v>
      </c>
      <c r="G33" s="244">
        <f t="shared" ca="1" si="8"/>
        <v>266.0120465381745</v>
      </c>
      <c r="H33" s="245">
        <f t="shared" ca="1" si="9"/>
        <v>427.18803701743195</v>
      </c>
      <c r="I33" s="244">
        <f t="shared" ca="1" si="41"/>
        <v>84.231716516748989</v>
      </c>
      <c r="J33" s="244">
        <f t="shared" ca="1" si="10"/>
        <v>75.513734249516901</v>
      </c>
      <c r="K33" s="244">
        <f t="shared" ca="1" si="11"/>
        <v>92.949698783981077</v>
      </c>
      <c r="L33" s="244">
        <f t="shared" ca="1" si="42"/>
        <v>54.109315213302722</v>
      </c>
      <c r="M33" s="852">
        <f ca="1">IFERROR(INDEX('Customer priorities (2022)'!SSW_Priorities_output_WTP,MATCH($A33,'Customer priorities (2022)'!Priorities_WTP_options,0)),"x")</f>
        <v>163.44955412725798</v>
      </c>
      <c r="N33" s="852">
        <f ca="1">IFERROR(INDEX('Contacts (2022)'!SSW_Contacts_output_WTP,MATCH($A33,'Contacts (2022)'!Contacts_WTP_options,0)),"x")</f>
        <v>156.28226871933637</v>
      </c>
      <c r="O33" s="852">
        <f ca="1">IFERROR(INDEX('Satisfaction (2022)'!SSW_Satisfaction_output_WTP,MATCH($A33,'Satisfaction (2022)'!Satisfaction_WTP_options,0)),"x")</f>
        <v>81.87829322499968</v>
      </c>
      <c r="P33" s="367">
        <f t="shared" ca="1" si="12"/>
        <v>172.3452581328286</v>
      </c>
      <c r="Q33" s="367" t="str">
        <f t="shared" si="43"/>
        <v>x</v>
      </c>
      <c r="R33" s="367" t="str">
        <f t="shared" si="44"/>
        <v>x</v>
      </c>
      <c r="S33" s="244">
        <f ca="1">AVERAGE( $AB33:$AP33)</f>
        <v>188.70044774391252</v>
      </c>
      <c r="T33" s="244">
        <f ca="1">AVERAGE($AQ33:$BD33)</f>
        <v>237.81800411117976</v>
      </c>
      <c r="U33" s="852" t="s">
        <v>128</v>
      </c>
      <c r="V33" s="852" t="s">
        <v>128</v>
      </c>
      <c r="W33" s="852">
        <f t="shared" si="45"/>
        <v>0</v>
      </c>
      <c r="X33" s="852">
        <f t="shared" si="13"/>
        <v>0</v>
      </c>
      <c r="Y33" s="852">
        <f t="shared" ca="1" si="14"/>
        <v>118.4474258422852</v>
      </c>
      <c r="Z33" s="852">
        <f t="shared" si="15"/>
        <v>80.71702590380886</v>
      </c>
      <c r="AA33" s="853" t="s">
        <v>128</v>
      </c>
      <c r="AB33" s="244">
        <f t="shared" ca="1" si="46"/>
        <v>274.51049499205379</v>
      </c>
      <c r="AC33" s="244" t="str">
        <f t="shared" ca="1" si="46"/>
        <v/>
      </c>
      <c r="AD33" s="244">
        <f t="shared" ca="1" si="46"/>
        <v>295.21069351068496</v>
      </c>
      <c r="AE33" s="244">
        <f t="shared" ca="1" si="46"/>
        <v>137.24993498130669</v>
      </c>
      <c r="AF33" s="244" t="str">
        <f t="shared" ca="1" si="46"/>
        <v/>
      </c>
      <c r="AG33" s="244"/>
      <c r="AH33" s="244">
        <f t="shared" ca="1" si="47"/>
        <v>139.52747537723761</v>
      </c>
      <c r="AI33" s="244" t="str">
        <f t="shared" ca="1" si="47"/>
        <v/>
      </c>
      <c r="AJ33" s="244" t="str">
        <f t="shared" ca="1" si="47"/>
        <v/>
      </c>
      <c r="AK33" s="244" t="str">
        <f t="shared" ca="1" si="47"/>
        <v/>
      </c>
      <c r="AL33" s="244" t="str">
        <f t="shared" ca="1" si="47"/>
        <v/>
      </c>
      <c r="AM33" s="244">
        <f t="shared" ca="1" si="47"/>
        <v>214.37984497729306</v>
      </c>
      <c r="AN33" s="244">
        <f t="shared" ca="1" si="47"/>
        <v>93.818971000782923</v>
      </c>
      <c r="AO33" s="244" t="str">
        <f t="shared" ca="1" si="47"/>
        <v/>
      </c>
      <c r="AP33" s="244">
        <f t="shared" ca="1" si="47"/>
        <v>166.20571936802867</v>
      </c>
      <c r="AQ33" s="244" t="str">
        <f t="shared" ca="1" si="17"/>
        <v/>
      </c>
      <c r="AR33" s="244" t="str">
        <f t="shared" ca="1" si="17"/>
        <v/>
      </c>
      <c r="AS33" s="757">
        <f t="shared" ca="1" si="17"/>
        <v>196.6259099415982</v>
      </c>
      <c r="AT33" s="757">
        <f t="shared" ca="1" si="17"/>
        <v>152.64546895325302</v>
      </c>
      <c r="AU33" s="244" t="str">
        <f t="shared" ca="1" si="17"/>
        <v/>
      </c>
      <c r="AV33" s="244" t="str">
        <f t="shared" ca="1" si="17"/>
        <v/>
      </c>
      <c r="AW33" s="244">
        <f t="shared" ca="1" si="17"/>
        <v>581.13173012749075</v>
      </c>
      <c r="AX33" s="244" t="str">
        <f t="shared" ca="1" si="17"/>
        <v/>
      </c>
      <c r="AY33" s="244">
        <f t="shared" ca="1" si="17"/>
        <v>239.32610674882525</v>
      </c>
      <c r="AZ33" s="244">
        <f t="shared" ca="1" si="17"/>
        <v>124.01887269547605</v>
      </c>
      <c r="BA33" s="244">
        <f t="shared" ca="1" si="17"/>
        <v>133.15993620043506</v>
      </c>
      <c r="BB33" s="244" t="str">
        <f t="shared" ca="1" si="17"/>
        <v/>
      </c>
      <c r="BC33" s="244" t="str">
        <f t="shared" ca="1" si="17"/>
        <v/>
      </c>
      <c r="BD33" s="244" t="str">
        <f t="shared" ca="1" si="17"/>
        <v/>
      </c>
      <c r="BE33" s="479">
        <f t="shared" ca="1" si="48"/>
        <v>115.36542928251625</v>
      </c>
      <c r="BF33" s="400">
        <f t="shared" ca="1" si="18"/>
        <v>0</v>
      </c>
      <c r="BG33" s="400">
        <f t="shared" ca="1" si="19"/>
        <v>427.18803701743195</v>
      </c>
      <c r="BH33" s="10">
        <f t="shared" ca="1" si="49"/>
        <v>23.073085856503251</v>
      </c>
      <c r="BI33" s="400">
        <f t="shared" ca="1" si="50"/>
        <v>364.82351547044885</v>
      </c>
      <c r="BJ33" s="400">
        <f t="shared" ref="BJ33:BJ46" ca="1" si="64">BE33-BH33</f>
        <v>92.292343426012991</v>
      </c>
      <c r="BK33" s="400">
        <f t="shared" ca="1" si="20"/>
        <v>249.45808618793262</v>
      </c>
      <c r="BL33" s="400"/>
      <c r="BM33" s="400"/>
      <c r="BN33" s="400"/>
      <c r="BO33" s="400"/>
      <c r="BP33" s="400"/>
      <c r="BQ33" s="400"/>
      <c r="BR33" s="400"/>
      <c r="BS33" s="400"/>
      <c r="BT33" s="400"/>
      <c r="BU33" s="688"/>
      <c r="BV33" s="244">
        <f t="shared" ref="BV33:BV46" ca="1" si="65">INDEX(INDIRECT("CAM_WTPCore_"&amp;$B33&amp;"_UnitValues"),MATCH("COMBINED-HH",WTPCore_Group,0),MATCH("MEAN",LMH,0))</f>
        <v>207.69569571588755</v>
      </c>
      <c r="BW33" s="244">
        <f t="shared" ca="1" si="21"/>
        <v>174.25316843960059</v>
      </c>
      <c r="BX33" s="244">
        <f t="shared" ca="1" si="22"/>
        <v>241.1382229921746</v>
      </c>
      <c r="BY33" s="244">
        <f t="shared" ca="1" si="23"/>
        <v>443.30271190664075</v>
      </c>
      <c r="BZ33" s="245">
        <f t="shared" ca="1" si="24"/>
        <v>797.86013256976582</v>
      </c>
      <c r="CA33" s="244">
        <f t="shared" ca="1" si="51"/>
        <v>37.069382180075451</v>
      </c>
      <c r="CB33" s="244">
        <f t="shared" ca="1" si="25"/>
        <v>32.187100050418458</v>
      </c>
      <c r="CC33" s="244">
        <f t="shared" ca="1" si="26"/>
        <v>41.951664309732443</v>
      </c>
      <c r="CD33" s="244">
        <f t="shared" ca="1" si="27"/>
        <v>69.637689024400004</v>
      </c>
      <c r="CE33" s="852">
        <f ca="1">IFERROR(INDEX('Customer priorities (2022)'!CAM_Priorities_output_WTP,MATCH($A33,'Customer priorities (2022)'!Priorities_WTP_options,0)),"x")</f>
        <v>147.69753126235273</v>
      </c>
      <c r="CF33" s="852">
        <f ca="1">IFERROR(INDEX('Contacts (2022)'!CAM_Contacts_output_WTP,MATCH($A33,'Contacts (2022)'!Contacts_WTP_options,0)),"x")</f>
        <v>48.89441716749841</v>
      </c>
      <c r="CG33" s="852">
        <f ca="1">IFERROR(INDEX('Satisfaction (2022)'!CAM_Satisfaction_output_WTP,MATCH($A33,'Satisfaction (2022)'!Satisfaction_WTP_options,0)),"x")</f>
        <v>37.430814819905635</v>
      </c>
      <c r="CH33" s="853" t="s">
        <v>128</v>
      </c>
      <c r="CI33" s="367" t="str">
        <f t="shared" si="52"/>
        <v>x</v>
      </c>
      <c r="CJ33" s="367" t="str">
        <f t="shared" si="53"/>
        <v>x</v>
      </c>
      <c r="CK33" s="244">
        <f t="shared" ref="CK33:CK41" ca="1" si="66">AVERAGE($CT33:$DH33)</f>
        <v>438.15897087428044</v>
      </c>
      <c r="CL33" s="244">
        <f t="shared" ref="CL33:CL46" ca="1" si="67">AVERAGE($DI33:$DV33)</f>
        <v>490.15934526119372</v>
      </c>
      <c r="CM33" s="852" t="s">
        <v>128</v>
      </c>
      <c r="CN33" s="852" t="s">
        <v>128</v>
      </c>
      <c r="CO33" s="854">
        <f t="shared" si="28"/>
        <v>0</v>
      </c>
      <c r="CP33" s="852">
        <f t="shared" si="29"/>
        <v>0</v>
      </c>
      <c r="CQ33" s="854">
        <f t="shared" ca="1" si="30"/>
        <v>118.4474258422852</v>
      </c>
      <c r="CR33" s="854">
        <f t="shared" si="31"/>
        <v>80.71702590380886</v>
      </c>
      <c r="CS33" s="853" t="s">
        <v>128</v>
      </c>
      <c r="CT33" s="244">
        <f t="shared" ca="1" si="54"/>
        <v>186.60884284573334</v>
      </c>
      <c r="CU33" s="244" t="str">
        <f t="shared" ca="1" si="54"/>
        <v/>
      </c>
      <c r="CV33" s="244">
        <f t="shared" ca="1" si="54"/>
        <v>609.91829475347004</v>
      </c>
      <c r="CW33" s="244">
        <f t="shared" ca="1" si="54"/>
        <v>378.4936667679217</v>
      </c>
      <c r="CX33" s="244" t="str">
        <f t="shared" ca="1" si="54"/>
        <v/>
      </c>
      <c r="CY33" s="244"/>
      <c r="CZ33" s="244">
        <f t="shared" ca="1" si="55"/>
        <v>573.42692195647271</v>
      </c>
      <c r="DA33" s="244" t="str">
        <f t="shared" ca="1" si="55"/>
        <v/>
      </c>
      <c r="DB33" s="244" t="str">
        <f t="shared" ca="1" si="55"/>
        <v/>
      </c>
      <c r="DC33" s="244" t="str">
        <f t="shared" ca="1" si="55"/>
        <v/>
      </c>
      <c r="DD33" s="244" t="str">
        <f t="shared" ca="1" si="55"/>
        <v/>
      </c>
      <c r="DE33" s="244">
        <f t="shared" ca="1" si="55"/>
        <v>663.23416837421178</v>
      </c>
      <c r="DF33" s="244">
        <f t="shared" ca="1" si="55"/>
        <v>244.72359041189179</v>
      </c>
      <c r="DG33" s="244" t="str">
        <f t="shared" ca="1" si="55"/>
        <v/>
      </c>
      <c r="DH33" s="244">
        <f t="shared" ca="1" si="55"/>
        <v>410.70731101026252</v>
      </c>
      <c r="DI33" s="244" t="str">
        <f t="shared" ca="1" si="33"/>
        <v/>
      </c>
      <c r="DJ33" s="244" t="str">
        <f t="shared" ca="1" si="33"/>
        <v/>
      </c>
      <c r="DK33" s="244">
        <f t="shared" ca="1" si="33"/>
        <v>332.5272780299473</v>
      </c>
      <c r="DL33" s="244">
        <f t="shared" ca="1" si="33"/>
        <v>303.82049084308858</v>
      </c>
      <c r="DM33" s="244" t="str">
        <f t="shared" ca="1" si="33"/>
        <v/>
      </c>
      <c r="DN33" s="244" t="str">
        <f t="shared" ca="1" si="33"/>
        <v/>
      </c>
      <c r="DO33" s="244">
        <f t="shared" ca="1" si="33"/>
        <v>1769.1786417610369</v>
      </c>
      <c r="DP33" s="244" t="str">
        <f t="shared" ca="1" si="33"/>
        <v/>
      </c>
      <c r="DQ33" s="244">
        <f t="shared" ca="1" si="33"/>
        <v>275.36642202438577</v>
      </c>
      <c r="DR33" s="244">
        <f t="shared" ca="1" si="33"/>
        <v>146.93380936622805</v>
      </c>
      <c r="DS33" s="244">
        <f t="shared" ca="1" si="33"/>
        <v>113.12942954247549</v>
      </c>
      <c r="DT33" s="244" t="str">
        <f t="shared" ca="1" si="33"/>
        <v/>
      </c>
      <c r="DU33" s="244" t="str">
        <f t="shared" ca="1" si="33"/>
        <v/>
      </c>
      <c r="DV33" s="244" t="str">
        <f t="shared" ca="1" si="33"/>
        <v/>
      </c>
      <c r="DW33" s="244"/>
      <c r="DX33" s="244"/>
      <c r="DY33" s="244"/>
      <c r="DZ33" s="244"/>
      <c r="EA33" s="244"/>
      <c r="EB33" s="244"/>
      <c r="EC33" s="244"/>
      <c r="ED33" s="244"/>
      <c r="EE33" s="244"/>
      <c r="EF33" s="244"/>
      <c r="EG33" s="244"/>
      <c r="EH33" s="244"/>
      <c r="EI33" s="244"/>
      <c r="EJ33" s="244"/>
      <c r="EK33" s="244"/>
      <c r="EL33" s="244"/>
      <c r="EM33" s="244"/>
      <c r="EN33" s="244"/>
      <c r="EO33" s="856">
        <f t="shared" ca="1" si="56"/>
        <v>132.85257747554425</v>
      </c>
      <c r="EP33" s="400">
        <f t="shared" ca="1" si="57"/>
        <v>0</v>
      </c>
      <c r="EQ33" s="400">
        <f t="shared" ca="1" si="58"/>
        <v>797.86013256976582</v>
      </c>
      <c r="ER33" s="10">
        <f t="shared" ca="1" si="59"/>
        <v>26.57051549510885</v>
      </c>
      <c r="ES33" s="400">
        <f t="shared" ca="1" si="60"/>
        <v>664.8586215509215</v>
      </c>
      <c r="ET33" s="10">
        <f ca="1">EO33-ER33</f>
        <v>106.2820619804354</v>
      </c>
      <c r="EU33" s="400">
        <f t="shared" ca="1" si="62"/>
        <v>532.0060440753773</v>
      </c>
      <c r="EX33" s="479">
        <f t="shared" ca="1" si="34"/>
        <v>118.88404592260046</v>
      </c>
      <c r="EY33" s="592">
        <f t="shared" ca="1" si="35"/>
        <v>0</v>
      </c>
      <c r="EZ33" s="244">
        <f t="shared" ca="1" si="36"/>
        <v>501.77155338205699</v>
      </c>
      <c r="FA33" s="244">
        <f t="shared" ca="1" si="37"/>
        <v>23.776809184520094</v>
      </c>
      <c r="FB33" s="244">
        <f t="shared" ca="1" si="38"/>
        <v>425.19405189016572</v>
      </c>
      <c r="FC33" s="260">
        <f t="shared" ca="1" si="39"/>
        <v>95.10723673808036</v>
      </c>
      <c r="FD33" s="589">
        <f t="shared" ca="1" si="40"/>
        <v>306.31000596756525</v>
      </c>
      <c r="FE33" s="260"/>
      <c r="FF33" s="260"/>
      <c r="FG33" s="260"/>
      <c r="FH33" s="260"/>
    </row>
    <row r="34" spans="1:164" x14ac:dyDescent="0.35">
      <c r="A34" s="200" t="s">
        <v>133</v>
      </c>
      <c r="B34" s="7" t="s">
        <v>134</v>
      </c>
      <c r="C34" s="7" t="s">
        <v>127</v>
      </c>
      <c r="D34" s="244">
        <f t="shared" ca="1" si="63"/>
        <v>25.634921578785622</v>
      </c>
      <c r="E34" s="244">
        <f t="shared" ca="1" si="6"/>
        <v>22.451871449268999</v>
      </c>
      <c r="F34" s="244">
        <f t="shared" ca="1" si="7"/>
        <v>28.817971708302242</v>
      </c>
      <c r="G34" s="244">
        <f t="shared" ca="1" si="8"/>
        <v>37.798720288009839</v>
      </c>
      <c r="H34" s="245">
        <f t="shared" ca="1" si="9"/>
        <v>21.179197120262128</v>
      </c>
      <c r="I34" s="244">
        <f t="shared" ca="1" si="41"/>
        <v>24.919943395889828</v>
      </c>
      <c r="J34" s="244">
        <f t="shared" ca="1" si="10"/>
        <v>22.347776757759309</v>
      </c>
      <c r="K34" s="244">
        <f t="shared" ca="1" si="11"/>
        <v>27.492110034020346</v>
      </c>
      <c r="L34" s="244">
        <f t="shared" ca="1" si="42"/>
        <v>19.699482664623343</v>
      </c>
      <c r="M34" s="852">
        <f ca="1">IFERROR(INDEX('Customer priorities (2022)'!SSW_Priorities_output_WTP,MATCH($A34,'Customer priorities (2022)'!Priorities_WTP_options,0)),"x")</f>
        <v>2.8616076289535179</v>
      </c>
      <c r="N34" s="852" t="str">
        <f>IFERROR(INDEX('Contacts (2022)'!SSW_Contacts_output_WTP,MATCH($A34,'Contacts (2022)'!Contacts_WTP_options,0)),"x")</f>
        <v>x</v>
      </c>
      <c r="O34" s="852" t="str">
        <f>IFERROR(INDEX('Satisfaction (2022)'!SSW_Satisfaction_output_WTP,MATCH($A34,'Satisfaction (2022)'!Satisfaction_WTP_options,0)),"x")</f>
        <v>x</v>
      </c>
      <c r="P34" s="367" t="str">
        <f t="shared" si="12"/>
        <v>x</v>
      </c>
      <c r="Q34" s="367" t="str">
        <f t="shared" si="43"/>
        <v>x</v>
      </c>
      <c r="R34" s="367" t="str">
        <f t="shared" si="44"/>
        <v>x</v>
      </c>
      <c r="S34" s="853" t="s">
        <v>128</v>
      </c>
      <c r="T34" s="853" t="s">
        <v>128</v>
      </c>
      <c r="U34" s="852" t="s">
        <v>128</v>
      </c>
      <c r="V34" s="852" t="s">
        <v>128</v>
      </c>
      <c r="W34" s="852">
        <f t="shared" si="45"/>
        <v>0</v>
      </c>
      <c r="X34" s="852" t="str">
        <f t="shared" si="13"/>
        <v>x</v>
      </c>
      <c r="Y34" s="852">
        <f t="shared" ca="1" si="14"/>
        <v>5.445775619538213</v>
      </c>
      <c r="Z34" s="852">
        <f t="shared" ca="1" si="15"/>
        <v>4.7388426683951517</v>
      </c>
      <c r="AA34" s="853" t="s">
        <v>128</v>
      </c>
      <c r="AB34" s="244" t="str">
        <f t="shared" ca="1" si="46"/>
        <v/>
      </c>
      <c r="AC34" s="244" t="str">
        <f t="shared" ca="1" si="46"/>
        <v/>
      </c>
      <c r="AD34" s="244" t="str">
        <f t="shared" ca="1" si="46"/>
        <v/>
      </c>
      <c r="AE34" s="244" t="str">
        <f t="shared" ca="1" si="46"/>
        <v/>
      </c>
      <c r="AF34" s="244" t="str">
        <f t="shared" ca="1" si="46"/>
        <v/>
      </c>
      <c r="AG34" s="244"/>
      <c r="AH34" s="244" t="str">
        <f t="shared" ca="1" si="47"/>
        <v/>
      </c>
      <c r="AI34" s="244" t="str">
        <f t="shared" ca="1" si="47"/>
        <v/>
      </c>
      <c r="AJ34" s="244" t="str">
        <f t="shared" ca="1" si="47"/>
        <v/>
      </c>
      <c r="AK34" s="244" t="str">
        <f t="shared" ca="1" si="47"/>
        <v/>
      </c>
      <c r="AL34" s="244" t="str">
        <f t="shared" ca="1" si="47"/>
        <v/>
      </c>
      <c r="AM34" s="244" t="str">
        <f t="shared" ca="1" si="47"/>
        <v/>
      </c>
      <c r="AN34" s="244" t="str">
        <f t="shared" ca="1" si="47"/>
        <v/>
      </c>
      <c r="AO34" s="244" t="str">
        <f t="shared" ca="1" si="47"/>
        <v/>
      </c>
      <c r="AP34" s="244" t="str">
        <f t="shared" ca="1" si="47"/>
        <v/>
      </c>
      <c r="AQ34" s="244" t="str">
        <f t="shared" ca="1" si="17"/>
        <v/>
      </c>
      <c r="AR34" s="244" t="str">
        <f t="shared" ca="1" si="17"/>
        <v/>
      </c>
      <c r="AS34" s="757" t="str">
        <f t="shared" ca="1" si="17"/>
        <v/>
      </c>
      <c r="AT34" s="757" t="str">
        <f t="shared" ca="1" si="17"/>
        <v/>
      </c>
      <c r="AU34" s="244" t="str">
        <f t="shared" ca="1" si="17"/>
        <v/>
      </c>
      <c r="AV34" s="244" t="str">
        <f t="shared" ca="1" si="17"/>
        <v/>
      </c>
      <c r="AW34" s="244" t="str">
        <f t="shared" ca="1" si="17"/>
        <v/>
      </c>
      <c r="AX34" s="244" t="str">
        <f t="shared" ca="1" si="17"/>
        <v/>
      </c>
      <c r="AY34" s="244" t="str">
        <f t="shared" ca="1" si="17"/>
        <v/>
      </c>
      <c r="AZ34" s="244" t="str">
        <f t="shared" ca="1" si="17"/>
        <v/>
      </c>
      <c r="BA34" s="244" t="str">
        <f t="shared" ca="1" si="17"/>
        <v/>
      </c>
      <c r="BB34" s="244" t="str">
        <f t="shared" ca="1" si="17"/>
        <v/>
      </c>
      <c r="BC34" s="244" t="str">
        <f t="shared" ca="1" si="17"/>
        <v/>
      </c>
      <c r="BD34" s="244" t="str">
        <f t="shared" ca="1" si="17"/>
        <v/>
      </c>
      <c r="BE34" s="479">
        <f t="shared" ca="1" si="48"/>
        <v>13.304326831287657</v>
      </c>
      <c r="BF34" s="400">
        <f t="shared" ca="1" si="18"/>
        <v>0</v>
      </c>
      <c r="BG34" s="400">
        <f t="shared" ca="1" si="19"/>
        <v>25.634921578785622</v>
      </c>
      <c r="BH34" s="10">
        <f t="shared" ca="1" si="49"/>
        <v>2.6608653662575317</v>
      </c>
      <c r="BI34" s="400">
        <f t="shared" ca="1" si="50"/>
        <v>23.168802629286031</v>
      </c>
      <c r="BJ34" s="400">
        <f t="shared" ca="1" si="64"/>
        <v>10.643461465030125</v>
      </c>
      <c r="BK34" s="400">
        <f t="shared" ca="1" si="20"/>
        <v>9.8644757979983737</v>
      </c>
      <c r="BL34" s="400"/>
      <c r="BM34" s="400"/>
      <c r="BN34" s="400"/>
      <c r="BO34" s="400"/>
      <c r="BP34" s="400"/>
      <c r="BQ34" s="400"/>
      <c r="BR34" s="400"/>
      <c r="BS34" s="400"/>
      <c r="BT34" s="400"/>
      <c r="BU34" s="688"/>
      <c r="BV34" s="244">
        <f t="shared" ca="1" si="65"/>
        <v>25.25320611321068</v>
      </c>
      <c r="BW34" s="244">
        <f t="shared" ca="1" si="21"/>
        <v>21.190120436895217</v>
      </c>
      <c r="BX34" s="244">
        <f t="shared" ca="1" si="22"/>
        <v>29.316291789526144</v>
      </c>
      <c r="BY34" s="244">
        <f t="shared" ca="1" si="23"/>
        <v>42.069866273516347</v>
      </c>
      <c r="BZ34" s="245">
        <f t="shared" ca="1" si="24"/>
        <v>29.448304546391309</v>
      </c>
      <c r="CA34" s="244">
        <f t="shared" ca="1" si="51"/>
        <v>4.5305000347829747</v>
      </c>
      <c r="CB34" s="244">
        <f t="shared" ca="1" si="25"/>
        <v>3.9328180327311464</v>
      </c>
      <c r="CC34" s="244">
        <f t="shared" ca="1" si="26"/>
        <v>5.1281820368348026</v>
      </c>
      <c r="CD34" s="244">
        <f t="shared" ca="1" si="27"/>
        <v>5.3580427823917383</v>
      </c>
      <c r="CE34" s="852">
        <f ca="1">IFERROR(INDEX('Customer priorities (2022)'!CAM_Priorities_output_WTP,MATCH($A34,'Customer priorities (2022)'!Priorities_WTP_options,0)),"x")</f>
        <v>2.8209408075897282</v>
      </c>
      <c r="CF34" s="852" t="str">
        <f>IFERROR(INDEX('Contacts (2022)'!CAM_Contacts_output_WTP,MATCH($A34,'Contacts (2022)'!Contacts_WTP_options,0)),"x")</f>
        <v>x</v>
      </c>
      <c r="CG34" s="852" t="str">
        <f>IFERROR(INDEX('Satisfaction (2022)'!CAM_Satisfaction_output_WTP,MATCH($A34,'Satisfaction (2022)'!Satisfaction_WTP_options,0)),"x")</f>
        <v>x</v>
      </c>
      <c r="CH34" s="853" t="s">
        <v>128</v>
      </c>
      <c r="CI34" s="367" t="str">
        <f t="shared" si="52"/>
        <v>x</v>
      </c>
      <c r="CJ34" s="367" t="str">
        <f t="shared" si="53"/>
        <v>x</v>
      </c>
      <c r="CK34" s="853" t="s">
        <v>128</v>
      </c>
      <c r="CL34" s="853" t="s">
        <v>128</v>
      </c>
      <c r="CM34" s="852" t="s">
        <v>128</v>
      </c>
      <c r="CN34" s="852" t="s">
        <v>128</v>
      </c>
      <c r="CO34" s="854">
        <f t="shared" si="28"/>
        <v>0</v>
      </c>
      <c r="CP34" s="852" t="str">
        <f t="shared" si="29"/>
        <v>x</v>
      </c>
      <c r="CQ34" s="854">
        <f t="shared" ca="1" si="30"/>
        <v>3.5521670938868906</v>
      </c>
      <c r="CR34" s="854">
        <f t="shared" ca="1" si="31"/>
        <v>3.0910493134140213</v>
      </c>
      <c r="CS34" s="853" t="s">
        <v>128</v>
      </c>
      <c r="CT34" s="244" t="str">
        <f t="shared" ca="1" si="54"/>
        <v/>
      </c>
      <c r="CU34" s="244" t="str">
        <f t="shared" ca="1" si="54"/>
        <v/>
      </c>
      <c r="CV34" s="244" t="str">
        <f t="shared" ca="1" si="54"/>
        <v/>
      </c>
      <c r="CW34" s="244" t="str">
        <f t="shared" ca="1" si="54"/>
        <v/>
      </c>
      <c r="CX34" s="244" t="str">
        <f t="shared" ca="1" si="54"/>
        <v/>
      </c>
      <c r="CY34" s="244"/>
      <c r="CZ34" s="244" t="str">
        <f t="shared" ca="1" si="55"/>
        <v/>
      </c>
      <c r="DA34" s="244" t="str">
        <f t="shared" ca="1" si="55"/>
        <v/>
      </c>
      <c r="DB34" s="244" t="str">
        <f t="shared" ca="1" si="55"/>
        <v/>
      </c>
      <c r="DC34" s="244" t="str">
        <f t="shared" ca="1" si="55"/>
        <v/>
      </c>
      <c r="DD34" s="244" t="str">
        <f t="shared" ca="1" si="55"/>
        <v/>
      </c>
      <c r="DE34" s="244" t="str">
        <f t="shared" ca="1" si="55"/>
        <v/>
      </c>
      <c r="DF34" s="244" t="str">
        <f t="shared" ca="1" si="55"/>
        <v/>
      </c>
      <c r="DG34" s="244" t="str">
        <f t="shared" ca="1" si="55"/>
        <v/>
      </c>
      <c r="DH34" s="244" t="str">
        <f t="shared" ca="1" si="55"/>
        <v/>
      </c>
      <c r="DI34" s="244" t="str">
        <f t="shared" ca="1" si="33"/>
        <v/>
      </c>
      <c r="DJ34" s="244" t="str">
        <f t="shared" ca="1" si="33"/>
        <v/>
      </c>
      <c r="DK34" s="244" t="str">
        <f t="shared" ca="1" si="33"/>
        <v/>
      </c>
      <c r="DL34" s="244" t="str">
        <f t="shared" ca="1" si="33"/>
        <v/>
      </c>
      <c r="DM34" s="244" t="str">
        <f t="shared" ca="1" si="33"/>
        <v/>
      </c>
      <c r="DN34" s="244" t="str">
        <f t="shared" ca="1" si="33"/>
        <v/>
      </c>
      <c r="DO34" s="244" t="str">
        <f t="shared" ca="1" si="33"/>
        <v/>
      </c>
      <c r="DP34" s="244" t="str">
        <f t="shared" ca="1" si="33"/>
        <v/>
      </c>
      <c r="DQ34" s="244" t="str">
        <f t="shared" ca="1" si="33"/>
        <v/>
      </c>
      <c r="DR34" s="244" t="str">
        <f t="shared" ca="1" si="33"/>
        <v/>
      </c>
      <c r="DS34" s="244" t="str">
        <f t="shared" ca="1" si="33"/>
        <v/>
      </c>
      <c r="DT34" s="244" t="str">
        <f t="shared" ca="1" si="33"/>
        <v/>
      </c>
      <c r="DU34" s="244" t="str">
        <f t="shared" ca="1" si="33"/>
        <v/>
      </c>
      <c r="DV34" s="244" t="str">
        <f t="shared" ca="1" si="33"/>
        <v/>
      </c>
      <c r="DW34" s="244"/>
      <c r="DX34" s="244"/>
      <c r="DY34" s="244"/>
      <c r="DZ34" s="244"/>
      <c r="EA34" s="244"/>
      <c r="EB34" s="244"/>
      <c r="EC34" s="244"/>
      <c r="ED34" s="244"/>
      <c r="EE34" s="244"/>
      <c r="EF34" s="244"/>
      <c r="EG34" s="244"/>
      <c r="EH34" s="244"/>
      <c r="EI34" s="244"/>
      <c r="EJ34" s="244"/>
      <c r="EK34" s="244"/>
      <c r="EL34" s="244"/>
      <c r="EM34" s="244"/>
      <c r="EN34" s="244"/>
      <c r="EO34" s="856">
        <f t="shared" ca="1" si="56"/>
        <v>8.8791467176272239</v>
      </c>
      <c r="EP34" s="400">
        <f t="shared" ca="1" si="57"/>
        <v>0</v>
      </c>
      <c r="EQ34" s="400">
        <f t="shared" ca="1" si="58"/>
        <v>29.448304546391309</v>
      </c>
      <c r="ER34" s="10">
        <f t="shared" ca="1" si="59"/>
        <v>1.7758293435254449</v>
      </c>
      <c r="ES34" s="400">
        <f t="shared" ca="1" si="60"/>
        <v>25.334472980638495</v>
      </c>
      <c r="ET34" s="400">
        <f t="shared" ca="1" si="61"/>
        <v>7.1033173741017794</v>
      </c>
      <c r="EU34" s="400">
        <f t="shared" ca="1" si="62"/>
        <v>16.455326263011273</v>
      </c>
      <c r="EX34" s="479">
        <f t="shared" ca="1" si="34"/>
        <v>12.413929368452452</v>
      </c>
      <c r="EY34" s="592">
        <f t="shared" ca="1" si="35"/>
        <v>0</v>
      </c>
      <c r="EZ34" s="244">
        <f t="shared" ca="1" si="36"/>
        <v>26.402218373936055</v>
      </c>
      <c r="FA34" s="244">
        <f t="shared" ca="1" si="37"/>
        <v>2.4827858736904909</v>
      </c>
      <c r="FB34" s="244">
        <f t="shared" ca="1" si="38"/>
        <v>23.604560572839336</v>
      </c>
      <c r="FC34" s="260">
        <f t="shared" ca="1" si="39"/>
        <v>9.9311434947619617</v>
      </c>
      <c r="FD34" s="589">
        <f t="shared" ca="1" si="40"/>
        <v>11.190631204386884</v>
      </c>
      <c r="FE34" s="260"/>
      <c r="FF34" s="260"/>
      <c r="FG34" s="260"/>
      <c r="FH34" s="260"/>
    </row>
    <row r="35" spans="1:164" x14ac:dyDescent="0.35">
      <c r="A35" s="200" t="s">
        <v>135</v>
      </c>
      <c r="B35" s="7" t="s">
        <v>136</v>
      </c>
      <c r="C35" s="7" t="s">
        <v>127</v>
      </c>
      <c r="D35" s="244">
        <f t="shared" ca="1" si="63"/>
        <v>6.1861063528998557</v>
      </c>
      <c r="E35" s="244">
        <f t="shared" ca="1" si="6"/>
        <v>5.4092905474821089</v>
      </c>
      <c r="F35" s="244">
        <f t="shared" ca="1" si="7"/>
        <v>6.9534487948368966</v>
      </c>
      <c r="G35" s="244">
        <f t="shared" ca="1" si="8"/>
        <v>12.419579523203231</v>
      </c>
      <c r="H35" s="723">
        <f ca="1">INDEX(SSW_WTPMaxdiff_WTP_Unitvalues,MATCH($B35,WTPMaxdiff_WTP_options,0))</f>
        <v>99.588467190895699</v>
      </c>
      <c r="I35" s="244">
        <f t="shared" ca="1" si="41"/>
        <v>795.09022080349519</v>
      </c>
      <c r="J35" s="244">
        <f t="shared" ca="1" si="10"/>
        <v>713.02137091043767</v>
      </c>
      <c r="K35" s="244">
        <f t="shared" ca="1" si="11"/>
        <v>877.15907069655248</v>
      </c>
      <c r="L35" s="244">
        <f t="shared" ca="1" si="42"/>
        <v>623.5022304003802</v>
      </c>
      <c r="M35" s="852">
        <f ca="1">IFERROR(INDEX('Customer priorities (2022)'!SSW_Priorities_output_WTP,MATCH($A35,'Customer priorities (2022)'!Priorities_WTP_options,0)),"x")</f>
        <v>108.31611590427406</v>
      </c>
      <c r="N35" s="852" t="str">
        <f>IFERROR(INDEX('Contacts (2022)'!SSW_Contacts_output_WTP,MATCH($A35,'Contacts (2022)'!Contacts_WTP_options,0)),"x")</f>
        <v>x</v>
      </c>
      <c r="O35" s="852" t="str">
        <f>IFERROR(INDEX('Satisfaction (2022)'!SSW_Satisfaction_output_WTP,MATCH($A35,'Satisfaction (2022)'!Satisfaction_WTP_options,0)),"x")</f>
        <v>x</v>
      </c>
      <c r="P35" s="367">
        <f t="shared" ca="1" si="12"/>
        <v>0.8364706387713341</v>
      </c>
      <c r="Q35" s="367" t="str">
        <f t="shared" si="43"/>
        <v>x</v>
      </c>
      <c r="R35" s="367" t="str">
        <f t="shared" si="44"/>
        <v>x</v>
      </c>
      <c r="S35" s="244">
        <f ca="1">AVERAGE( $AB35:$AP35)</f>
        <v>3.091722097041655</v>
      </c>
      <c r="T35" s="853" t="s">
        <v>128</v>
      </c>
      <c r="U35" s="852" t="s">
        <v>128</v>
      </c>
      <c r="V35" s="852" t="s">
        <v>128</v>
      </c>
      <c r="W35" s="852">
        <f t="shared" si="45"/>
        <v>0</v>
      </c>
      <c r="X35" s="852" t="str">
        <f t="shared" si="13"/>
        <v>x</v>
      </c>
      <c r="Y35" s="852">
        <f t="shared" ca="1" si="14"/>
        <v>82.146487747187777</v>
      </c>
      <c r="Z35" s="852">
        <f t="shared" ca="1" si="15"/>
        <v>71.482798483016239</v>
      </c>
      <c r="AA35" s="853" t="s">
        <v>128</v>
      </c>
      <c r="AB35" s="244" t="str">
        <f t="shared" ca="1" si="46"/>
        <v/>
      </c>
      <c r="AC35" s="244" t="str">
        <f t="shared" ca="1" si="46"/>
        <v/>
      </c>
      <c r="AD35" s="244" t="str">
        <f t="shared" ca="1" si="46"/>
        <v/>
      </c>
      <c r="AE35" s="244" t="str">
        <f t="shared" ca="1" si="46"/>
        <v/>
      </c>
      <c r="AF35" s="244" t="str">
        <f t="shared" ca="1" si="46"/>
        <v/>
      </c>
      <c r="AG35" s="244"/>
      <c r="AH35" s="244" t="str">
        <f t="shared" ca="1" si="47"/>
        <v/>
      </c>
      <c r="AI35" s="244" t="str">
        <f t="shared" ca="1" si="47"/>
        <v/>
      </c>
      <c r="AJ35" s="244" t="str">
        <f t="shared" ca="1" si="47"/>
        <v/>
      </c>
      <c r="AK35" s="244" t="str">
        <f t="shared" ca="1" si="47"/>
        <v/>
      </c>
      <c r="AL35" s="244">
        <f t="shared" ca="1" si="47"/>
        <v>1.7841148283990436</v>
      </c>
      <c r="AM35" s="244" t="str">
        <f t="shared" ca="1" si="47"/>
        <v/>
      </c>
      <c r="AN35" s="244" t="str">
        <f t="shared" ca="1" si="47"/>
        <v/>
      </c>
      <c r="AO35" s="244">
        <f t="shared" ca="1" si="47"/>
        <v>1.6571036001053097</v>
      </c>
      <c r="AP35" s="244">
        <f t="shared" ca="1" si="47"/>
        <v>5.8339478626206107</v>
      </c>
      <c r="AQ35" s="244" t="str">
        <f t="shared" ca="1" si="17"/>
        <v/>
      </c>
      <c r="AR35" s="244" t="str">
        <f t="shared" ca="1" si="17"/>
        <v/>
      </c>
      <c r="AS35" s="757" t="str">
        <f t="shared" ca="1" si="17"/>
        <v/>
      </c>
      <c r="AT35" s="757" t="str">
        <f t="shared" ca="1" si="17"/>
        <v/>
      </c>
      <c r="AU35" s="244" t="str">
        <f t="shared" ca="1" si="17"/>
        <v/>
      </c>
      <c r="AV35" s="244" t="str">
        <f t="shared" ca="1" si="17"/>
        <v/>
      </c>
      <c r="AW35" s="244" t="str">
        <f t="shared" ca="1" si="17"/>
        <v/>
      </c>
      <c r="AX35" s="244" t="str">
        <f t="shared" ca="1" si="17"/>
        <v/>
      </c>
      <c r="AY35" s="244" t="str">
        <f t="shared" ca="1" si="17"/>
        <v/>
      </c>
      <c r="AZ35" s="244" t="str">
        <f t="shared" ca="1" si="17"/>
        <v/>
      </c>
      <c r="BA35" s="244" t="str">
        <f t="shared" ca="1" si="17"/>
        <v/>
      </c>
      <c r="BB35" s="244" t="str">
        <f t="shared" ca="1" si="17"/>
        <v/>
      </c>
      <c r="BC35" s="244" t="str">
        <f t="shared" ca="1" si="17"/>
        <v/>
      </c>
      <c r="BD35" s="244" t="str">
        <f t="shared" ca="1" si="17"/>
        <v/>
      </c>
      <c r="BE35" s="479">
        <f t="shared" ca="1" si="48"/>
        <v>200.68834953644827</v>
      </c>
      <c r="BF35" s="400">
        <f t="shared" ca="1" si="18"/>
        <v>0</v>
      </c>
      <c r="BG35" s="400">
        <f t="shared" ca="1" si="19"/>
        <v>795.09022080349519</v>
      </c>
      <c r="BH35" s="10">
        <f t="shared" ca="1" si="49"/>
        <v>40.137669907289656</v>
      </c>
      <c r="BI35" s="400">
        <f t="shared" ca="1" si="50"/>
        <v>676.2098465500859</v>
      </c>
      <c r="BJ35" s="400">
        <f t="shared" ca="1" si="64"/>
        <v>160.55067962915862</v>
      </c>
      <c r="BK35" s="400">
        <f t="shared" ca="1" si="20"/>
        <v>475.5214970136376</v>
      </c>
      <c r="BL35" s="400"/>
      <c r="BM35" s="400"/>
      <c r="BN35" s="400"/>
      <c r="BO35" s="400"/>
      <c r="BP35" s="400"/>
      <c r="BQ35" s="400"/>
      <c r="BR35" s="400"/>
      <c r="BS35" s="400"/>
      <c r="BT35" s="400"/>
      <c r="BU35" s="688"/>
      <c r="BV35" s="244">
        <f t="shared" ca="1" si="65"/>
        <v>5.6902010050251253</v>
      </c>
      <c r="BW35" s="244">
        <f t="shared" ca="1" si="21"/>
        <v>4.7778877860376268</v>
      </c>
      <c r="BX35" s="244">
        <f t="shared" ca="1" si="22"/>
        <v>6.6025142240126247</v>
      </c>
      <c r="BY35" s="244">
        <f t="shared" ca="1" si="23"/>
        <v>8.73751526226172</v>
      </c>
      <c r="BZ35" s="252">
        <f t="shared" ca="1" si="24"/>
        <v>154.19825100128321</v>
      </c>
      <c r="CA35" s="244">
        <f t="shared" ca="1" si="51"/>
        <v>316.89094596470369</v>
      </c>
      <c r="CB35" s="244">
        <f t="shared" ca="1" si="25"/>
        <v>275.07026162765362</v>
      </c>
      <c r="CC35" s="244">
        <f t="shared" ca="1" si="26"/>
        <v>358.71163030175381</v>
      </c>
      <c r="CD35" s="244">
        <f t="shared" ca="1" si="27"/>
        <v>372.28127761501526</v>
      </c>
      <c r="CE35" s="852">
        <f ca="1">IFERROR(INDEX('Customer priorities (2022)'!CAM_Priorities_output_WTP,MATCH($A35,'Customer priorities (2022)'!Priorities_WTP_options,0)),"x")</f>
        <v>73.475332356768448</v>
      </c>
      <c r="CF35" s="852" t="str">
        <f>IFERROR(INDEX('Contacts (2022)'!CAM_Contacts_output_WTP,MATCH($A35,'Contacts (2022)'!Contacts_WTP_options,0)),"x")</f>
        <v>x</v>
      </c>
      <c r="CG35" s="852" t="str">
        <f>IFERROR(INDEX('Satisfaction (2022)'!CAM_Satisfaction_output_WTP,MATCH($A35,'Satisfaction (2022)'!Satisfaction_WTP_options,0)),"x")</f>
        <v>x</v>
      </c>
      <c r="CH35" s="853" t="s">
        <v>128</v>
      </c>
      <c r="CI35" s="367" t="str">
        <f t="shared" si="52"/>
        <v>x</v>
      </c>
      <c r="CJ35" s="367" t="str">
        <f t="shared" si="53"/>
        <v>x</v>
      </c>
      <c r="CK35" s="244">
        <f t="shared" ca="1" si="66"/>
        <v>6.3045526114831416</v>
      </c>
      <c r="CL35" s="853" t="s">
        <v>128</v>
      </c>
      <c r="CM35" s="852" t="s">
        <v>128</v>
      </c>
      <c r="CN35" s="852" t="s">
        <v>128</v>
      </c>
      <c r="CO35" s="854">
        <f t="shared" ca="1" si="28"/>
        <v>3986.3019181385762</v>
      </c>
      <c r="CP35" s="852" t="str">
        <f t="shared" si="29"/>
        <v>x</v>
      </c>
      <c r="CQ35" s="854">
        <f t="shared" ca="1" si="30"/>
        <v>35.745308575265838</v>
      </c>
      <c r="CR35" s="854">
        <f t="shared" ca="1" si="31"/>
        <v>31.105099678305294</v>
      </c>
      <c r="CS35" s="853" t="s">
        <v>128</v>
      </c>
      <c r="CT35" s="244" t="str">
        <f t="shared" ca="1" si="54"/>
        <v/>
      </c>
      <c r="CU35" s="244" t="str">
        <f t="shared" ca="1" si="54"/>
        <v/>
      </c>
      <c r="CV35" s="244" t="str">
        <f t="shared" ca="1" si="54"/>
        <v/>
      </c>
      <c r="CW35" s="244" t="str">
        <f t="shared" ca="1" si="54"/>
        <v/>
      </c>
      <c r="CX35" s="244" t="str">
        <f t="shared" ca="1" si="54"/>
        <v/>
      </c>
      <c r="CY35" s="244"/>
      <c r="CZ35" s="244" t="str">
        <f t="shared" ca="1" si="55"/>
        <v/>
      </c>
      <c r="DA35" s="244" t="str">
        <f t="shared" ca="1" si="55"/>
        <v/>
      </c>
      <c r="DB35" s="244" t="str">
        <f t="shared" ca="1" si="55"/>
        <v/>
      </c>
      <c r="DC35" s="244" t="str">
        <f t="shared" ca="1" si="55"/>
        <v/>
      </c>
      <c r="DD35" s="244">
        <f t="shared" ca="1" si="55"/>
        <v>2.5572304856216719</v>
      </c>
      <c r="DE35" s="244" t="str">
        <f t="shared" ca="1" si="55"/>
        <v/>
      </c>
      <c r="DF35" s="244" t="str">
        <f t="shared" ca="1" si="55"/>
        <v/>
      </c>
      <c r="DG35" s="244">
        <f t="shared" ca="1" si="55"/>
        <v>1.8359470947794849</v>
      </c>
      <c r="DH35" s="244">
        <f t="shared" ca="1" si="55"/>
        <v>14.520480254048266</v>
      </c>
      <c r="DI35" s="244" t="str">
        <f t="shared" ca="1" si="33"/>
        <v/>
      </c>
      <c r="DJ35" s="244" t="str">
        <f t="shared" ca="1" si="33"/>
        <v/>
      </c>
      <c r="DK35" s="244" t="str">
        <f t="shared" ca="1" si="33"/>
        <v/>
      </c>
      <c r="DL35" s="244" t="str">
        <f t="shared" ca="1" si="33"/>
        <v/>
      </c>
      <c r="DM35" s="244" t="str">
        <f t="shared" ca="1" si="33"/>
        <v/>
      </c>
      <c r="DN35" s="244" t="str">
        <f t="shared" ca="1" si="33"/>
        <v/>
      </c>
      <c r="DO35" s="244" t="str">
        <f t="shared" ca="1" si="33"/>
        <v/>
      </c>
      <c r="DP35" s="244" t="str">
        <f t="shared" ca="1" si="33"/>
        <v/>
      </c>
      <c r="DQ35" s="244" t="str">
        <f t="shared" ca="1" si="33"/>
        <v/>
      </c>
      <c r="DR35" s="244" t="str">
        <f t="shared" ca="1" si="33"/>
        <v/>
      </c>
      <c r="DS35" s="244" t="str">
        <f t="shared" ca="1" si="33"/>
        <v/>
      </c>
      <c r="DT35" s="244" t="str">
        <f t="shared" ca="1" si="33"/>
        <v/>
      </c>
      <c r="DU35" s="244" t="str">
        <f t="shared" ca="1" si="33"/>
        <v/>
      </c>
      <c r="DV35" s="244" t="str">
        <f t="shared" ca="1" si="33"/>
        <v/>
      </c>
      <c r="DW35" s="244"/>
      <c r="DX35" s="244"/>
      <c r="DY35" s="244"/>
      <c r="DZ35" s="244"/>
      <c r="EA35" s="244"/>
      <c r="EB35" s="244"/>
      <c r="EC35" s="244"/>
      <c r="ED35" s="244"/>
      <c r="EE35" s="244"/>
      <c r="EF35" s="244"/>
      <c r="EG35" s="244"/>
      <c r="EH35" s="244"/>
      <c r="EI35" s="244"/>
      <c r="EJ35" s="244"/>
      <c r="EK35" s="244"/>
      <c r="EL35" s="244"/>
      <c r="EM35" s="244"/>
      <c r="EN35" s="244"/>
      <c r="EO35" s="856">
        <f t="shared" ca="1" si="56"/>
        <v>928.2785356721389</v>
      </c>
      <c r="EP35" s="400">
        <f t="shared" ca="1" si="57"/>
        <v>5.6902010050251253</v>
      </c>
      <c r="EQ35" s="400">
        <f t="shared" ca="1" si="58"/>
        <v>3986.3019181385762</v>
      </c>
      <c r="ER35" s="10">
        <f t="shared" ca="1" si="59"/>
        <v>190.20786793844789</v>
      </c>
      <c r="ES35" s="400">
        <f t="shared" ca="1" si="60"/>
        <v>3374.6972416452891</v>
      </c>
      <c r="ET35" s="400">
        <f t="shared" ca="1" si="61"/>
        <v>738.07066773369104</v>
      </c>
      <c r="EU35" s="400">
        <f t="shared" ca="1" si="62"/>
        <v>2446.4187059731503</v>
      </c>
      <c r="EX35" s="479">
        <f t="shared" ca="1" si="34"/>
        <v>347.0879172555409</v>
      </c>
      <c r="EY35" s="592">
        <f t="shared" ca="1" si="35"/>
        <v>1.1449343095112445</v>
      </c>
      <c r="EZ35" s="244">
        <f t="shared" ca="1" si="36"/>
        <v>1437.1989543905638</v>
      </c>
      <c r="FA35" s="244">
        <f t="shared" ca="1" si="37"/>
        <v>70.333530898717171</v>
      </c>
      <c r="FB35" s="244">
        <f t="shared" ca="1" si="38"/>
        <v>1219.1767469635593</v>
      </c>
      <c r="FC35" s="260">
        <f t="shared" ca="1" si="39"/>
        <v>276.75438635682372</v>
      </c>
      <c r="FD35" s="589">
        <f t="shared" ca="1" si="40"/>
        <v>872.08882970801824</v>
      </c>
      <c r="FE35" s="260"/>
      <c r="FF35" s="260"/>
      <c r="FG35" s="260"/>
      <c r="FH35" s="260"/>
    </row>
    <row r="36" spans="1:164" x14ac:dyDescent="0.35">
      <c r="A36" s="200" t="s">
        <v>137</v>
      </c>
      <c r="B36" s="7" t="s">
        <v>138</v>
      </c>
      <c r="C36" s="7" t="s">
        <v>127</v>
      </c>
      <c r="D36" s="244">
        <f t="shared" ca="1" si="63"/>
        <v>162.10819588181059</v>
      </c>
      <c r="E36" s="244">
        <f t="shared" ca="1" si="6"/>
        <v>143.80565763709006</v>
      </c>
      <c r="F36" s="244">
        <f t="shared" ca="1" si="7"/>
        <v>180.41073412653114</v>
      </c>
      <c r="G36" s="244">
        <f t="shared" ca="1" si="8"/>
        <v>332.23085726829703</v>
      </c>
      <c r="H36" s="245">
        <f t="shared" ca="1" si="9"/>
        <v>604.3256418635425</v>
      </c>
      <c r="I36" s="244">
        <f t="shared" ca="1" si="41"/>
        <v>186.16470937063306</v>
      </c>
      <c r="J36" s="244">
        <f t="shared" ca="1" si="10"/>
        <v>171.03310557881539</v>
      </c>
      <c r="K36" s="244">
        <f t="shared" ca="1" si="11"/>
        <v>201.2963131624507</v>
      </c>
      <c r="L36" s="244">
        <f t="shared" ca="1" si="42"/>
        <v>128.69078067320214</v>
      </c>
      <c r="M36" s="852">
        <f ca="1">IFERROR(INDEX('Customer priorities (2022)'!SSW_Priorities_output_WTP,MATCH($A36,'Customer priorities (2022)'!Priorities_WTP_options,0)),"x")</f>
        <v>335.95197609357444</v>
      </c>
      <c r="N36" s="852">
        <f ca="1">IFERROR(INDEX('Contacts (2022)'!SSW_Contacts_output_WTP,MATCH($A36,'Contacts (2022)'!Contacts_WTP_options,0)),"x")</f>
        <v>797.41117956200367</v>
      </c>
      <c r="O36" s="852">
        <f ca="1">IFERROR(INDEX('Satisfaction (2022)'!SSW_Satisfaction_output_WTP,MATCH($A36,'Satisfaction (2022)'!Satisfaction_WTP_options,0)),"x")</f>
        <v>56.357786245778996</v>
      </c>
      <c r="P36" s="367">
        <f t="shared" ca="1" si="12"/>
        <v>326.02892780541464</v>
      </c>
      <c r="Q36" s="367" t="str">
        <f t="shared" si="43"/>
        <v>x</v>
      </c>
      <c r="R36" s="367" t="str">
        <f t="shared" si="44"/>
        <v>x</v>
      </c>
      <c r="S36" s="244">
        <f ca="1">AVERAGE( $AB36:$AP36)</f>
        <v>163.07175072673778</v>
      </c>
      <c r="T36" s="244">
        <f ca="1">AVERAGE($AQ36:$BD36)</f>
        <v>168.19257684749601</v>
      </c>
      <c r="U36" s="852" t="s">
        <v>128</v>
      </c>
      <c r="V36" s="852" t="s">
        <v>128</v>
      </c>
      <c r="W36" s="852">
        <f t="shared" si="45"/>
        <v>0</v>
      </c>
      <c r="X36" s="852">
        <f t="shared" si="13"/>
        <v>0</v>
      </c>
      <c r="Y36" s="852">
        <f t="shared" ca="1" si="14"/>
        <v>171.9460754394531</v>
      </c>
      <c r="Z36" s="852">
        <f t="shared" si="15"/>
        <v>120.6327923046142</v>
      </c>
      <c r="AA36" s="400">
        <f ca="1">INDEX(SSW_PC_Slider_output_WTP,MATCH($A36,PC_Slider_WTP_options,0))</f>
        <v>365.95643912092589</v>
      </c>
      <c r="AB36" s="244">
        <f t="shared" ca="1" si="46"/>
        <v>4.4153315765971444</v>
      </c>
      <c r="AC36" s="244">
        <f t="shared" ca="1" si="46"/>
        <v>279.33164870321411</v>
      </c>
      <c r="AD36" s="244">
        <f t="shared" ca="1" si="46"/>
        <v>14.177881990973686</v>
      </c>
      <c r="AE36" s="244">
        <f t="shared" ca="1" si="46"/>
        <v>9.8421171289162022</v>
      </c>
      <c r="AF36" s="244">
        <f t="shared" ca="1" si="46"/>
        <v>237.23380640848791</v>
      </c>
      <c r="AG36" s="244"/>
      <c r="AH36" s="244">
        <f t="shared" ca="1" si="47"/>
        <v>16.081132755342637</v>
      </c>
      <c r="AI36" s="244">
        <f t="shared" ca="1" si="47"/>
        <v>120.7194972913521</v>
      </c>
      <c r="AJ36" s="244">
        <f t="shared" ca="1" si="47"/>
        <v>75.262784634221532</v>
      </c>
      <c r="AK36" s="244">
        <f t="shared" ca="1" si="47"/>
        <v>19.551547250805154</v>
      </c>
      <c r="AL36" s="244">
        <f t="shared" ca="1" si="47"/>
        <v>403.22312850618681</v>
      </c>
      <c r="AM36" s="244">
        <f t="shared" ca="1" si="47"/>
        <v>18.062269147371111</v>
      </c>
      <c r="AN36" s="244">
        <f t="shared" ca="1" si="47"/>
        <v>112.00836333766939</v>
      </c>
      <c r="AO36" s="244">
        <f t="shared" ca="1" si="47"/>
        <v>784.91723644905653</v>
      </c>
      <c r="AP36" s="244">
        <f t="shared" ca="1" si="47"/>
        <v>188.17776499413463</v>
      </c>
      <c r="AQ36" s="244">
        <f t="shared" ca="1" si="17"/>
        <v>213.53836315170318</v>
      </c>
      <c r="AR36" s="244">
        <f t="shared" ca="1" si="17"/>
        <v>220.14872603471159</v>
      </c>
      <c r="AS36" s="757">
        <f t="shared" ca="1" si="17"/>
        <v>251.10235252282024</v>
      </c>
      <c r="AT36" s="757">
        <f t="shared" ca="1" si="17"/>
        <v>53.874871395265757</v>
      </c>
      <c r="AU36" s="244">
        <f t="shared" ca="1" si="17"/>
        <v>58.442643139520612</v>
      </c>
      <c r="AV36" s="244" t="str">
        <f t="shared" ca="1" si="17"/>
        <v/>
      </c>
      <c r="AW36" s="244">
        <f t="shared" ca="1" si="17"/>
        <v>2.0062609749399445</v>
      </c>
      <c r="AX36" s="244">
        <f t="shared" ca="1" si="17"/>
        <v>746.30684082698292</v>
      </c>
      <c r="AY36" s="244">
        <f t="shared" ca="1" si="17"/>
        <v>84.709927818312707</v>
      </c>
      <c r="AZ36" s="244">
        <f t="shared" ca="1" si="17"/>
        <v>114.73854888833158</v>
      </c>
      <c r="BA36" s="244">
        <f t="shared" ca="1" si="17"/>
        <v>141.16955642301758</v>
      </c>
      <c r="BB36" s="244" t="str">
        <f t="shared" ca="1" si="17"/>
        <v/>
      </c>
      <c r="BC36" s="244">
        <f t="shared" ca="1" si="17"/>
        <v>3.4975665694709028</v>
      </c>
      <c r="BD36" s="244">
        <f t="shared" ca="1" si="17"/>
        <v>128.77526442487533</v>
      </c>
      <c r="BE36" s="479">
        <f t="shared" ca="1" si="48"/>
        <v>188.73767978356349</v>
      </c>
      <c r="BF36" s="400">
        <f t="shared" ca="1" si="18"/>
        <v>0</v>
      </c>
      <c r="BG36" s="400">
        <f t="shared" ca="1" si="19"/>
        <v>797.41117956200367</v>
      </c>
      <c r="BH36" s="10">
        <f t="shared" ca="1" si="49"/>
        <v>37.747535956712703</v>
      </c>
      <c r="BI36" s="400">
        <f t="shared" ca="1" si="50"/>
        <v>675.67647960631564</v>
      </c>
      <c r="BJ36" s="400">
        <f t="shared" ca="1" si="64"/>
        <v>150.99014382685078</v>
      </c>
      <c r="BK36" s="400">
        <f t="shared" ca="1" si="20"/>
        <v>486.93879982275212</v>
      </c>
      <c r="BL36" s="400"/>
      <c r="BM36" s="400"/>
      <c r="BN36" s="400"/>
      <c r="BO36" s="400"/>
      <c r="BP36" s="400"/>
      <c r="BQ36" s="400"/>
      <c r="BR36" s="400"/>
      <c r="BS36" s="400"/>
      <c r="BT36" s="400"/>
      <c r="BU36" s="688"/>
      <c r="BV36" s="244">
        <f t="shared" ca="1" si="65"/>
        <v>28.26566546881222</v>
      </c>
      <c r="BW36" s="244">
        <f t="shared" ca="1" si="21"/>
        <v>24.641862203579887</v>
      </c>
      <c r="BX36" s="244">
        <f t="shared" ca="1" si="22"/>
        <v>31.889468734044556</v>
      </c>
      <c r="BY36" s="244">
        <f t="shared" ca="1" si="23"/>
        <v>28.215872752190698</v>
      </c>
      <c r="BZ36" s="245">
        <f t="shared" ca="1" si="24"/>
        <v>341.6568958775859</v>
      </c>
      <c r="CA36" s="244">
        <f t="shared" ca="1" si="51"/>
        <v>43.79865138952065</v>
      </c>
      <c r="CB36" s="244">
        <f t="shared" ca="1" si="25"/>
        <v>38.722318913277661</v>
      </c>
      <c r="CC36" s="244">
        <f t="shared" ca="1" si="26"/>
        <v>48.874983865763646</v>
      </c>
      <c r="CD36" s="244">
        <f t="shared" ca="1" si="27"/>
        <v>77.435159250689779</v>
      </c>
      <c r="CE36" s="852">
        <f ca="1">IFERROR(INDEX('Customer priorities (2022)'!CAM_Priorities_output_WTP,MATCH($A36,'Customer priorities (2022)'!Priorities_WTP_options,0)),"x")</f>
        <v>210.41011657330804</v>
      </c>
      <c r="CF36" s="852">
        <f ca="1">IFERROR(INDEX('Contacts (2022)'!CAM_Contacts_output_WTP,MATCH($A36,'Contacts (2022)'!Contacts_WTP_options,0)),"x")</f>
        <v>637.96513605215421</v>
      </c>
      <c r="CG36" s="852">
        <f ca="1">IFERROR(INDEX('Satisfaction (2022)'!CAM_Satisfaction_output_WTP,MATCH($A36,'Satisfaction (2022)'!Satisfaction_WTP_options,0)),"x")</f>
        <v>144.37600001963597</v>
      </c>
      <c r="CH36" s="853" t="s">
        <v>128</v>
      </c>
      <c r="CI36" s="367" t="str">
        <f t="shared" si="52"/>
        <v>x</v>
      </c>
      <c r="CJ36" s="367" t="str">
        <f t="shared" si="53"/>
        <v>x</v>
      </c>
      <c r="CK36" s="244">
        <f t="shared" ca="1" si="66"/>
        <v>256.72130966931957</v>
      </c>
      <c r="CL36" s="244">
        <f t="shared" ca="1" si="67"/>
        <v>213.52123007914284</v>
      </c>
      <c r="CM36" s="852" t="s">
        <v>128</v>
      </c>
      <c r="CN36" s="852" t="s">
        <v>128</v>
      </c>
      <c r="CO36" s="854">
        <f t="shared" si="28"/>
        <v>0</v>
      </c>
      <c r="CP36" s="852">
        <f t="shared" si="29"/>
        <v>0</v>
      </c>
      <c r="CQ36" s="854">
        <f t="shared" ca="1" si="30"/>
        <v>171.9460754394531</v>
      </c>
      <c r="CR36" s="854">
        <f t="shared" si="31"/>
        <v>120.6327923046142</v>
      </c>
      <c r="CS36" s="400">
        <f ca="1">INDEX(CAM_PC_Slider_output_WTP,MATCH($A36,PC_Slider_WTP_options,0))</f>
        <v>338.22959198528753</v>
      </c>
      <c r="CT36" s="244">
        <f t="shared" ca="1" si="54"/>
        <v>3.0014878531797868</v>
      </c>
      <c r="CU36" s="244">
        <f t="shared" ca="1" si="54"/>
        <v>363.4971463626419</v>
      </c>
      <c r="CV36" s="244">
        <f t="shared" ca="1" si="54"/>
        <v>29.29212862960744</v>
      </c>
      <c r="CW36" s="244">
        <f t="shared" ca="1" si="54"/>
        <v>27.141572062604098</v>
      </c>
      <c r="CX36" s="244">
        <f t="shared" ca="1" si="54"/>
        <v>424.82343542486478</v>
      </c>
      <c r="CY36" s="244"/>
      <c r="CZ36" s="244">
        <f t="shared" ca="1" si="55"/>
        <v>66.089882530576517</v>
      </c>
      <c r="DA36" s="244">
        <f t="shared" ca="1" si="55"/>
        <v>157.92646738835131</v>
      </c>
      <c r="DB36" s="244">
        <f t="shared" ca="1" si="55"/>
        <v>175.76312012479903</v>
      </c>
      <c r="DC36" s="244">
        <f t="shared" ca="1" si="55"/>
        <v>96.330471980872261</v>
      </c>
      <c r="DD36" s="244">
        <f t="shared" ca="1" si="55"/>
        <v>573.79999174829027</v>
      </c>
      <c r="DE36" s="244">
        <f t="shared" ca="1" si="55"/>
        <v>55.879852222939718</v>
      </c>
      <c r="DF36" s="244">
        <f t="shared" ca="1" si="55"/>
        <v>292.17000079787078</v>
      </c>
      <c r="DG36" s="244">
        <f t="shared" ca="1" si="55"/>
        <v>863.38082676753606</v>
      </c>
      <c r="DH36" s="244">
        <f t="shared" ca="1" si="55"/>
        <v>465.0019514763394</v>
      </c>
      <c r="DI36" s="244">
        <f t="shared" ca="1" si="33"/>
        <v>549.90464477726164</v>
      </c>
      <c r="DJ36" s="244">
        <f t="shared" ca="1" si="33"/>
        <v>510.20522573206955</v>
      </c>
      <c r="DK36" s="244">
        <f t="shared" ca="1" si="33"/>
        <v>424.65604770058201</v>
      </c>
      <c r="DL36" s="244">
        <f t="shared" ca="1" si="33"/>
        <v>107.23076147403124</v>
      </c>
      <c r="DM36" s="244">
        <f t="shared" ca="1" si="33"/>
        <v>122.11537151352597</v>
      </c>
      <c r="DN36" s="244" t="str">
        <f t="shared" ca="1" si="33"/>
        <v/>
      </c>
      <c r="DO36" s="244">
        <f t="shared" ca="1" si="33"/>
        <v>6.1077960170643868</v>
      </c>
      <c r="DP36" s="244">
        <f t="shared" ca="1" si="33"/>
        <v>224.39604228810475</v>
      </c>
      <c r="DQ36" s="244">
        <f t="shared" ca="1" si="33"/>
        <v>97.466465527531739</v>
      </c>
      <c r="DR36" s="244">
        <f t="shared" ca="1" si="33"/>
        <v>135.93876240685043</v>
      </c>
      <c r="DS36" s="244">
        <f t="shared" ca="1" si="33"/>
        <v>119.93420725931614</v>
      </c>
      <c r="DT36" s="244" t="str">
        <f t="shared" ca="1" si="33"/>
        <v/>
      </c>
      <c r="DU36" s="244">
        <f t="shared" ca="1" si="33"/>
        <v>2.9635015529733719</v>
      </c>
      <c r="DV36" s="244">
        <f t="shared" ca="1" si="33"/>
        <v>261.33593470040228</v>
      </c>
      <c r="DW36" s="244"/>
      <c r="DX36" s="244"/>
      <c r="DY36" s="244"/>
      <c r="DZ36" s="244"/>
      <c r="EA36" s="244"/>
      <c r="EB36" s="244"/>
      <c r="EC36" s="244"/>
      <c r="ED36" s="244"/>
      <c r="EE36" s="244"/>
      <c r="EF36" s="244"/>
      <c r="EG36" s="244"/>
      <c r="EH36" s="244"/>
      <c r="EI36" s="244"/>
      <c r="EJ36" s="244"/>
      <c r="EK36" s="244"/>
      <c r="EL36" s="244"/>
      <c r="EM36" s="244"/>
      <c r="EN36" s="244"/>
      <c r="EO36" s="856">
        <f t="shared" ca="1" si="56"/>
        <v>124.28472217011971</v>
      </c>
      <c r="EP36" s="400">
        <f t="shared" ca="1" si="57"/>
        <v>0</v>
      </c>
      <c r="EQ36" s="400">
        <f t="shared" ca="1" si="58"/>
        <v>637.96513605215421</v>
      </c>
      <c r="ER36" s="10">
        <f t="shared" ca="1" si="59"/>
        <v>24.856944434023944</v>
      </c>
      <c r="ES36" s="400">
        <f t="shared" ca="1" si="60"/>
        <v>535.22905327574733</v>
      </c>
      <c r="ET36" s="400">
        <f t="shared" ca="1" si="61"/>
        <v>99.427777736095763</v>
      </c>
      <c r="EU36" s="400">
        <f t="shared" ca="1" si="62"/>
        <v>410.94433110562761</v>
      </c>
      <c r="EX36" s="479">
        <f t="shared" ca="1" si="34"/>
        <v>175.76899863224097</v>
      </c>
      <c r="EY36" s="592">
        <f t="shared" ca="1" si="35"/>
        <v>0</v>
      </c>
      <c r="EZ36" s="244">
        <f t="shared" ca="1" si="36"/>
        <v>765.32878992954045</v>
      </c>
      <c r="FA36" s="244">
        <f t="shared" ca="1" si="37"/>
        <v>35.153799726448206</v>
      </c>
      <c r="FB36" s="244">
        <f t="shared" ca="1" si="38"/>
        <v>647.41683167008068</v>
      </c>
      <c r="FC36" s="260">
        <f t="shared" ca="1" si="39"/>
        <v>140.61519890579279</v>
      </c>
      <c r="FD36" s="589">
        <f t="shared" ca="1" si="40"/>
        <v>471.64783303783969</v>
      </c>
      <c r="FE36" s="260"/>
      <c r="FF36" s="260"/>
      <c r="FG36" s="260"/>
      <c r="FH36" s="260"/>
    </row>
    <row r="37" spans="1:164" x14ac:dyDescent="0.35">
      <c r="A37" s="200" t="s">
        <v>139</v>
      </c>
      <c r="B37" s="7" t="s">
        <v>140</v>
      </c>
      <c r="C37" s="7" t="s">
        <v>127</v>
      </c>
      <c r="D37" s="244">
        <f t="shared" ca="1" si="63"/>
        <v>41.08733075345431</v>
      </c>
      <c r="E37" s="244">
        <f t="shared" ca="1" si="6"/>
        <v>36.41831589510722</v>
      </c>
      <c r="F37" s="244">
        <f t="shared" ca="1" si="7"/>
        <v>45.756345611801386</v>
      </c>
      <c r="G37" s="244">
        <f t="shared" ca="1" si="8"/>
        <v>54.282372744435165</v>
      </c>
      <c r="H37" s="245">
        <f t="shared" ca="1" si="9"/>
        <v>17.356003366590198</v>
      </c>
      <c r="I37" s="244">
        <f t="shared" ca="1" si="41"/>
        <v>32.700586661683175</v>
      </c>
      <c r="J37" s="244">
        <f t="shared" ca="1" si="10"/>
        <v>30.052823054206286</v>
      </c>
      <c r="K37" s="244">
        <f t="shared" ca="1" si="11"/>
        <v>35.348350269160065</v>
      </c>
      <c r="L37" s="244">
        <f t="shared" ca="1" si="42"/>
        <v>28.781615067329334</v>
      </c>
      <c r="M37" s="852">
        <f ca="1">IFERROR(INDEX('Customer priorities (2022)'!SSW_Priorities_output_WTP,MATCH($A37,'Customer priorities (2022)'!Priorities_WTP_options,0)),"x")</f>
        <v>22.056300565538688</v>
      </c>
      <c r="N37" s="852">
        <f ca="1">IFERROR(INDEX('Contacts (2022)'!SSW_Contacts_output_WTP,MATCH($A37,'Contacts (2022)'!Contacts_WTP_options,0)),"x")</f>
        <v>42.4778118752265</v>
      </c>
      <c r="O37" s="852">
        <f ca="1">IFERROR(INDEX('Satisfaction (2022)'!SSW_Satisfaction_output_WTP,MATCH($A37,'Satisfaction (2022)'!Satisfaction_WTP_options,0)),"x")</f>
        <v>63.801267448051696</v>
      </c>
      <c r="P37" s="367" t="str">
        <f t="shared" si="12"/>
        <v>x</v>
      </c>
      <c r="Q37" s="367" t="str">
        <f t="shared" si="43"/>
        <v>x</v>
      </c>
      <c r="R37" s="367" t="str">
        <f t="shared" si="44"/>
        <v>x</v>
      </c>
      <c r="S37" s="244">
        <f ca="1">AVERAGE( $AB37:$AP37)</f>
        <v>31.311949808830789</v>
      </c>
      <c r="T37" s="244">
        <f ca="1">AVERAGE($AQ37:$BD37)</f>
        <v>46.549225483577779</v>
      </c>
      <c r="U37" s="852" t="s">
        <v>128</v>
      </c>
      <c r="V37" s="852" t="s">
        <v>128</v>
      </c>
      <c r="W37" s="852">
        <f t="shared" si="45"/>
        <v>0</v>
      </c>
      <c r="X37" s="852">
        <f t="shared" si="13"/>
        <v>0</v>
      </c>
      <c r="Y37" s="852">
        <f t="shared" ca="1" si="14"/>
        <v>70.089530944824219</v>
      </c>
      <c r="Z37" s="852">
        <f t="shared" si="15"/>
        <v>61.701414172069882</v>
      </c>
      <c r="AA37" s="853" t="s">
        <v>128</v>
      </c>
      <c r="AB37" s="244" t="str">
        <f t="shared" ca="1" si="46"/>
        <v/>
      </c>
      <c r="AC37" s="244" t="str">
        <f t="shared" ca="1" si="46"/>
        <v/>
      </c>
      <c r="AD37" s="244" t="str">
        <f t="shared" ca="1" si="46"/>
        <v/>
      </c>
      <c r="AE37" s="244" t="str">
        <f t="shared" ca="1" si="46"/>
        <v/>
      </c>
      <c r="AF37" s="244" t="str">
        <f t="shared" ca="1" si="46"/>
        <v/>
      </c>
      <c r="AG37" s="244"/>
      <c r="AH37" s="244" t="str">
        <f t="shared" ca="1" si="47"/>
        <v/>
      </c>
      <c r="AI37" s="244" t="str">
        <f t="shared" ca="1" si="47"/>
        <v/>
      </c>
      <c r="AJ37" s="244">
        <f t="shared" ca="1" si="47"/>
        <v>53.859930253864789</v>
      </c>
      <c r="AK37" s="244">
        <f t="shared" ca="1" si="47"/>
        <v>13.859324633482137</v>
      </c>
      <c r="AL37" s="244" t="str">
        <f t="shared" ca="1" si="47"/>
        <v/>
      </c>
      <c r="AM37" s="244">
        <f t="shared" ca="1" si="47"/>
        <v>26.216594539145451</v>
      </c>
      <c r="AN37" s="244" t="str">
        <f t="shared" ca="1" si="47"/>
        <v/>
      </c>
      <c r="AO37" s="244" t="str">
        <f t="shared" ca="1" si="47"/>
        <v/>
      </c>
      <c r="AP37" s="244" t="str">
        <f t="shared" ca="1" si="47"/>
        <v/>
      </c>
      <c r="AQ37" s="244" t="str">
        <f t="shared" ca="1" si="17"/>
        <v/>
      </c>
      <c r="AR37" s="244" t="str">
        <f t="shared" ca="1" si="17"/>
        <v/>
      </c>
      <c r="AS37" s="757">
        <f t="shared" ca="1" si="17"/>
        <v>59.583609073211591</v>
      </c>
      <c r="AT37" s="757">
        <f t="shared" ca="1" si="17"/>
        <v>12.570803325562016</v>
      </c>
      <c r="AU37" s="244" t="str">
        <f t="shared" ca="1" si="17"/>
        <v/>
      </c>
      <c r="AV37" s="244" t="str">
        <f t="shared" ca="1" si="17"/>
        <v/>
      </c>
      <c r="AW37" s="244" t="str">
        <f t="shared" ca="1" si="17"/>
        <v/>
      </c>
      <c r="AX37" s="244" t="str">
        <f t="shared" ca="1" si="17"/>
        <v/>
      </c>
      <c r="AY37" s="244" t="str">
        <f t="shared" ca="1" si="17"/>
        <v/>
      </c>
      <c r="AZ37" s="244">
        <f t="shared" ca="1" si="17"/>
        <v>67.493264051959756</v>
      </c>
      <c r="BA37" s="244" t="str">
        <f t="shared" ca="1" si="17"/>
        <v/>
      </c>
      <c r="BB37" s="244" t="str">
        <f t="shared" ca="1" si="17"/>
        <v/>
      </c>
      <c r="BC37" s="244" t="str">
        <f t="shared" ca="1" si="17"/>
        <v/>
      </c>
      <c r="BD37" s="244" t="str">
        <f t="shared" ca="1" si="17"/>
        <v/>
      </c>
      <c r="BE37" s="479">
        <f t="shared" ca="1" si="48"/>
        <v>36.063122450039202</v>
      </c>
      <c r="BF37" s="400">
        <f t="shared" ca="1" si="18"/>
        <v>0</v>
      </c>
      <c r="BG37" s="400">
        <f t="shared" ca="1" si="19"/>
        <v>70.089530944824219</v>
      </c>
      <c r="BH37" s="10">
        <f t="shared" ca="1" si="49"/>
        <v>7.2126244900078404</v>
      </c>
      <c r="BI37" s="400">
        <f t="shared" ca="1" si="50"/>
        <v>63.284249245867215</v>
      </c>
      <c r="BJ37" s="400">
        <f t="shared" ca="1" si="64"/>
        <v>28.850497960031362</v>
      </c>
      <c r="BK37" s="400">
        <f t="shared" ca="1" si="20"/>
        <v>27.221126795828013</v>
      </c>
      <c r="BL37" s="400"/>
      <c r="BM37" s="400"/>
      <c r="BN37" s="400"/>
      <c r="BO37" s="400"/>
      <c r="BP37" s="400"/>
      <c r="BQ37" s="400"/>
      <c r="BR37" s="400"/>
      <c r="BS37" s="400"/>
      <c r="BT37" s="400"/>
      <c r="BU37" s="688"/>
      <c r="BV37" s="244">
        <f t="shared" ca="1" si="65"/>
        <v>18.582387891224172</v>
      </c>
      <c r="BW37" s="244">
        <f t="shared" ca="1" si="21"/>
        <v>16.360580643360414</v>
      </c>
      <c r="BX37" s="244">
        <f t="shared" ca="1" si="22"/>
        <v>20.80419513908793</v>
      </c>
      <c r="BY37" s="244">
        <f t="shared" ca="1" si="23"/>
        <v>24.054031521242571</v>
      </c>
      <c r="BZ37" s="245">
        <f t="shared" ca="1" si="24"/>
        <v>27.217369706899699</v>
      </c>
      <c r="CA37" s="244">
        <f t="shared" ca="1" si="51"/>
        <v>115.70560129846363</v>
      </c>
      <c r="CB37" s="244">
        <f t="shared" ca="1" si="25"/>
        <v>102.35511336079676</v>
      </c>
      <c r="CC37" s="244">
        <f t="shared" ca="1" si="26"/>
        <v>129.0560892361305</v>
      </c>
      <c r="CD37" s="244">
        <f t="shared" ca="1" si="27"/>
        <v>108.59257765377191</v>
      </c>
      <c r="CE37" s="852">
        <f ca="1">IFERROR(INDEX('Customer priorities (2022)'!CAM_Priorities_output_WTP,MATCH($A37,'Customer priorities (2022)'!Priorities_WTP_options,0)),"x")</f>
        <v>25.262160982821641</v>
      </c>
      <c r="CF37" s="852">
        <f ca="1">IFERROR(INDEX('Contacts (2022)'!CAM_Contacts_output_WTP,MATCH($A37,'Contacts (2022)'!Contacts_WTP_options,0)),"x")</f>
        <v>64.02585883736721</v>
      </c>
      <c r="CG37" s="852">
        <f ca="1">IFERROR(INDEX('Satisfaction (2022)'!CAM_Satisfaction_output_WTP,MATCH($A37,'Satisfaction (2022)'!Satisfaction_WTP_options,0)),"x")</f>
        <v>117.63970371970341</v>
      </c>
      <c r="CH37" s="853" t="s">
        <v>128</v>
      </c>
      <c r="CI37" s="367" t="str">
        <f t="shared" si="52"/>
        <v>x</v>
      </c>
      <c r="CJ37" s="367" t="str">
        <f t="shared" si="53"/>
        <v>x</v>
      </c>
      <c r="CK37" s="244">
        <f t="shared" ca="1" si="66"/>
        <v>71.547937090870136</v>
      </c>
      <c r="CL37" s="244">
        <f t="shared" ca="1" si="67"/>
        <v>68.58344357474887</v>
      </c>
      <c r="CM37" s="852" t="s">
        <v>128</v>
      </c>
      <c r="CN37" s="852" t="s">
        <v>128</v>
      </c>
      <c r="CO37" s="854">
        <f t="shared" si="28"/>
        <v>0</v>
      </c>
      <c r="CP37" s="852">
        <f t="shared" si="29"/>
        <v>0</v>
      </c>
      <c r="CQ37" s="854">
        <f t="shared" ca="1" si="30"/>
        <v>70.089530944824219</v>
      </c>
      <c r="CR37" s="854">
        <f t="shared" si="31"/>
        <v>61.701414172069882</v>
      </c>
      <c r="CS37" s="853" t="s">
        <v>128</v>
      </c>
      <c r="CT37" s="244" t="str">
        <f t="shared" ca="1" si="54"/>
        <v/>
      </c>
      <c r="CU37" s="244" t="str">
        <f t="shared" ca="1" si="54"/>
        <v/>
      </c>
      <c r="CV37" s="244" t="str">
        <f t="shared" ca="1" si="54"/>
        <v/>
      </c>
      <c r="CW37" s="244" t="str">
        <f t="shared" ca="1" si="54"/>
        <v/>
      </c>
      <c r="CX37" s="244" t="str">
        <f t="shared" ca="1" si="54"/>
        <v/>
      </c>
      <c r="CY37" s="244"/>
      <c r="CZ37" s="244" t="str">
        <f t="shared" ca="1" si="55"/>
        <v/>
      </c>
      <c r="DA37" s="244" t="str">
        <f t="shared" ca="1" si="55"/>
        <v/>
      </c>
      <c r="DB37" s="244">
        <f t="shared" ca="1" si="55"/>
        <v>125.78048283930931</v>
      </c>
      <c r="DC37" s="244">
        <f t="shared" ca="1" si="55"/>
        <v>68.284891530744886</v>
      </c>
      <c r="DD37" s="244" t="str">
        <f t="shared" ca="1" si="55"/>
        <v/>
      </c>
      <c r="DE37" s="244">
        <f t="shared" ca="1" si="55"/>
        <v>20.578436902556199</v>
      </c>
      <c r="DF37" s="244" t="str">
        <f t="shared" ca="1" si="55"/>
        <v/>
      </c>
      <c r="DG37" s="244" t="str">
        <f t="shared" ca="1" si="55"/>
        <v/>
      </c>
      <c r="DH37" s="244" t="str">
        <f t="shared" ca="1" si="55"/>
        <v/>
      </c>
      <c r="DI37" s="244" t="str">
        <f t="shared" ca="1" si="33"/>
        <v/>
      </c>
      <c r="DJ37" s="244" t="str">
        <f t="shared" ca="1" si="33"/>
        <v/>
      </c>
      <c r="DK37" s="244">
        <f t="shared" ca="1" si="33"/>
        <v>100.76584182725674</v>
      </c>
      <c r="DL37" s="244">
        <f t="shared" ca="1" si="33"/>
        <v>25.020511010607294</v>
      </c>
      <c r="DM37" s="244" t="str">
        <f t="shared" ca="1" si="33"/>
        <v/>
      </c>
      <c r="DN37" s="244" t="str">
        <f t="shared" ca="1" si="33"/>
        <v/>
      </c>
      <c r="DO37" s="244" t="str">
        <f t="shared" ca="1" si="33"/>
        <v/>
      </c>
      <c r="DP37" s="244" t="str">
        <f t="shared" ca="1" si="33"/>
        <v/>
      </c>
      <c r="DQ37" s="244" t="str">
        <f t="shared" ca="1" si="33"/>
        <v/>
      </c>
      <c r="DR37" s="244">
        <f t="shared" ca="1" si="33"/>
        <v>79.963977886382594</v>
      </c>
      <c r="DS37" s="244" t="str">
        <f t="shared" ca="1" si="33"/>
        <v/>
      </c>
      <c r="DT37" s="244" t="str">
        <f t="shared" ca="1" si="33"/>
        <v/>
      </c>
      <c r="DU37" s="244" t="str">
        <f t="shared" ca="1" si="33"/>
        <v/>
      </c>
      <c r="DV37" s="244" t="str">
        <f t="shared" ca="1" si="33"/>
        <v/>
      </c>
      <c r="DW37" s="244"/>
      <c r="DX37" s="244"/>
      <c r="DY37" s="244"/>
      <c r="DZ37" s="244"/>
      <c r="EA37" s="244"/>
      <c r="EB37" s="244"/>
      <c r="EC37" s="244"/>
      <c r="ED37" s="244"/>
      <c r="EE37" s="244"/>
      <c r="EF37" s="244"/>
      <c r="EG37" s="244"/>
      <c r="EH37" s="244"/>
      <c r="EI37" s="244"/>
      <c r="EJ37" s="244"/>
      <c r="EK37" s="244"/>
      <c r="EL37" s="244"/>
      <c r="EM37" s="244"/>
      <c r="EN37" s="244"/>
      <c r="EO37" s="856">
        <f t="shared" ca="1" si="56"/>
        <v>51.388697023115611</v>
      </c>
      <c r="EP37" s="400">
        <f t="shared" ca="1" si="57"/>
        <v>0</v>
      </c>
      <c r="EQ37" s="400">
        <f t="shared" ca="1" si="58"/>
        <v>117.63970371970341</v>
      </c>
      <c r="ER37" s="10">
        <f t="shared" ca="1" si="59"/>
        <v>10.277739404623123</v>
      </c>
      <c r="ES37" s="400">
        <f t="shared" ca="1" si="60"/>
        <v>104.38950238038585</v>
      </c>
      <c r="ET37" s="400">
        <f t="shared" ca="1" si="61"/>
        <v>41.110957618492492</v>
      </c>
      <c r="EU37" s="400">
        <f t="shared" ca="1" si="62"/>
        <v>53.000805357270238</v>
      </c>
      <c r="EX37" s="479">
        <f t="shared" ca="1" si="34"/>
        <v>39.146805456349952</v>
      </c>
      <c r="EY37" s="592">
        <f t="shared" ca="1" si="35"/>
        <v>0</v>
      </c>
      <c r="EZ37" s="244">
        <f t="shared" ca="1" si="36"/>
        <v>79.657176127317427</v>
      </c>
      <c r="FA37" s="244">
        <f t="shared" ca="1" si="37"/>
        <v>7.8293610912699911</v>
      </c>
      <c r="FB37" s="244">
        <f t="shared" ca="1" si="38"/>
        <v>71.555101993123941</v>
      </c>
      <c r="FC37" s="260">
        <f t="shared" ca="1" si="39"/>
        <v>31.317444365079965</v>
      </c>
      <c r="FD37" s="589">
        <f t="shared" ca="1" si="40"/>
        <v>32.408296536773982</v>
      </c>
      <c r="FE37" s="260"/>
      <c r="FF37" s="260"/>
      <c r="FG37" s="260"/>
      <c r="FH37" s="260"/>
    </row>
    <row r="38" spans="1:164" x14ac:dyDescent="0.35">
      <c r="A38" s="200" t="s">
        <v>141</v>
      </c>
      <c r="B38" s="7" t="s">
        <v>142</v>
      </c>
      <c r="C38" s="7" t="s">
        <v>127</v>
      </c>
      <c r="D38" s="244">
        <f t="shared" ca="1" si="63"/>
        <v>479.73112666286153</v>
      </c>
      <c r="E38" s="244">
        <f t="shared" ca="1" si="6"/>
        <v>425.16455301400532</v>
      </c>
      <c r="F38" s="244">
        <f t="shared" ca="1" si="7"/>
        <v>534.2977003117179</v>
      </c>
      <c r="G38" s="244">
        <f t="shared" ca="1" si="8"/>
        <v>659.34609825701364</v>
      </c>
      <c r="H38" s="245">
        <f t="shared" ca="1" si="9"/>
        <v>494.79223083574158</v>
      </c>
      <c r="I38" s="244">
        <f t="shared" ca="1" si="41"/>
        <v>370.29626646056914</v>
      </c>
      <c r="J38" s="244">
        <f t="shared" ca="1" si="10"/>
        <v>340.32067227339428</v>
      </c>
      <c r="K38" s="244">
        <f t="shared" ca="1" si="11"/>
        <v>400.27186064774401</v>
      </c>
      <c r="L38" s="244">
        <f t="shared" ca="1" si="42"/>
        <v>423.08938780164499</v>
      </c>
      <c r="M38" s="852" t="str">
        <f>IFERROR(INDEX('Customer priorities (2022)'!SSW_Priorities_output_WTP,MATCH($A38,'Customer priorities (2022)'!Priorities_WTP_options,0)),"x")</f>
        <v>x</v>
      </c>
      <c r="N38" s="852" t="str">
        <f>IFERROR(INDEX('Contacts (2022)'!SSW_Contacts_output_WTP,MATCH($A38,'Contacts (2022)'!Contacts_WTP_options,0)),"x")</f>
        <v>x</v>
      </c>
      <c r="O38" s="852" t="str">
        <f>IFERROR(INDEX('Satisfaction (2022)'!SSW_Satisfaction_output_WTP,MATCH($A38,'Satisfaction (2022)'!Satisfaction_WTP_options,0)),"x")</f>
        <v>x</v>
      </c>
      <c r="P38" s="367" t="str">
        <f t="shared" si="12"/>
        <v>x</v>
      </c>
      <c r="Q38" s="367" t="str">
        <f t="shared" si="43"/>
        <v>x</v>
      </c>
      <c r="R38" s="367" t="str">
        <f t="shared" si="44"/>
        <v>x</v>
      </c>
      <c r="S38" s="853" t="s">
        <v>128</v>
      </c>
      <c r="T38" s="853" t="s">
        <v>128</v>
      </c>
      <c r="U38" s="852" t="s">
        <v>128</v>
      </c>
      <c r="V38" s="852" t="s">
        <v>128</v>
      </c>
      <c r="W38" s="852">
        <f t="shared" ca="1" si="45"/>
        <v>86690.88649895096</v>
      </c>
      <c r="X38" s="852" t="str">
        <f t="shared" si="13"/>
        <v>x</v>
      </c>
      <c r="Y38" s="852">
        <f t="shared" ca="1" si="14"/>
        <v>106.20083930187631</v>
      </c>
      <c r="Z38" s="852">
        <f t="shared" ca="1" si="15"/>
        <v>92.414580376299867</v>
      </c>
      <c r="AA38" s="853" t="s">
        <v>128</v>
      </c>
      <c r="AB38" s="244" t="str">
        <f t="shared" ca="1" si="46"/>
        <v/>
      </c>
      <c r="AC38" s="244" t="str">
        <f t="shared" ca="1" si="46"/>
        <v/>
      </c>
      <c r="AD38" s="244" t="str">
        <f t="shared" ca="1" si="46"/>
        <v/>
      </c>
      <c r="AE38" s="244" t="str">
        <f t="shared" ca="1" si="46"/>
        <v/>
      </c>
      <c r="AF38" s="244" t="str">
        <f t="shared" ca="1" si="46"/>
        <v/>
      </c>
      <c r="AG38" s="244"/>
      <c r="AH38" s="244" t="str">
        <f t="shared" ca="1" si="47"/>
        <v/>
      </c>
      <c r="AI38" s="244" t="str">
        <f t="shared" ca="1" si="47"/>
        <v/>
      </c>
      <c r="AJ38" s="244" t="str">
        <f t="shared" ca="1" si="47"/>
        <v/>
      </c>
      <c r="AK38" s="244" t="str">
        <f t="shared" ca="1" si="47"/>
        <v/>
      </c>
      <c r="AL38" s="244" t="str">
        <f t="shared" ca="1" si="47"/>
        <v/>
      </c>
      <c r="AM38" s="244" t="str">
        <f t="shared" ca="1" si="47"/>
        <v/>
      </c>
      <c r="AN38" s="244" t="str">
        <f t="shared" ca="1" si="47"/>
        <v/>
      </c>
      <c r="AO38" s="244" t="str">
        <f t="shared" ca="1" si="47"/>
        <v/>
      </c>
      <c r="AP38" s="244" t="str">
        <f t="shared" ca="1" si="47"/>
        <v/>
      </c>
      <c r="AQ38" s="244" t="str">
        <f t="shared" ca="1" si="17"/>
        <v/>
      </c>
      <c r="AR38" s="244" t="str">
        <f t="shared" ca="1" si="17"/>
        <v/>
      </c>
      <c r="AS38" s="757" t="str">
        <f t="shared" ca="1" si="17"/>
        <v/>
      </c>
      <c r="AT38" s="757" t="str">
        <f t="shared" ca="1" si="17"/>
        <v/>
      </c>
      <c r="AU38" s="244" t="str">
        <f t="shared" ca="1" si="17"/>
        <v/>
      </c>
      <c r="AV38" s="244" t="str">
        <f t="shared" ca="1" si="17"/>
        <v/>
      </c>
      <c r="AW38" s="244" t="str">
        <f t="shared" ca="1" si="17"/>
        <v/>
      </c>
      <c r="AX38" s="244" t="str">
        <f t="shared" ca="1" si="17"/>
        <v/>
      </c>
      <c r="AY38" s="244" t="str">
        <f t="shared" ca="1" si="17"/>
        <v/>
      </c>
      <c r="AZ38" s="244" t="str">
        <f t="shared" ca="1" si="17"/>
        <v/>
      </c>
      <c r="BA38" s="244" t="str">
        <f t="shared" ca="1" si="17"/>
        <v/>
      </c>
      <c r="BB38" s="244" t="str">
        <f t="shared" ca="1" si="17"/>
        <v/>
      </c>
      <c r="BC38" s="244" t="str">
        <f t="shared" ca="1" si="17"/>
        <v/>
      </c>
      <c r="BD38" s="244" t="str">
        <f t="shared" ca="1" si="17"/>
        <v/>
      </c>
      <c r="BE38" s="479">
        <f t="shared" ca="1" si="48"/>
        <v>19509.759207595394</v>
      </c>
      <c r="BF38" s="400">
        <f t="shared" ca="1" si="18"/>
        <v>92.414580376299867</v>
      </c>
      <c r="BG38" s="400">
        <f t="shared" ca="1" si="19"/>
        <v>86690.88649895096</v>
      </c>
      <c r="BH38" s="10">
        <f t="shared" ca="1" si="49"/>
        <v>3975.8835058201189</v>
      </c>
      <c r="BI38" s="400">
        <f t="shared" ca="1" si="50"/>
        <v>73254.661040679857</v>
      </c>
      <c r="BJ38" s="400">
        <f t="shared" ca="1" si="64"/>
        <v>15533.875701775276</v>
      </c>
      <c r="BK38" s="400">
        <f t="shared" ca="1" si="20"/>
        <v>53744.901833084463</v>
      </c>
      <c r="BL38" s="400"/>
      <c r="BM38" s="400"/>
      <c r="BN38" s="400"/>
      <c r="BO38" s="400"/>
      <c r="BP38" s="400"/>
      <c r="BQ38" s="400"/>
      <c r="BR38" s="400"/>
      <c r="BS38" s="400"/>
      <c r="BT38" s="400"/>
      <c r="BU38" s="688"/>
      <c r="BV38" s="244">
        <f t="shared" ca="1" si="65"/>
        <v>620.7492005481954</v>
      </c>
      <c r="BW38" s="244">
        <f t="shared" ca="1" si="21"/>
        <v>548.51656630258719</v>
      </c>
      <c r="BX38" s="244">
        <f t="shared" ca="1" si="22"/>
        <v>690.72456497362828</v>
      </c>
      <c r="BY38" s="244">
        <f t="shared" ca="1" si="23"/>
        <v>837.44710328501992</v>
      </c>
      <c r="BZ38" s="245">
        <f t="shared" ca="1" si="24"/>
        <v>422.6457148483376</v>
      </c>
      <c r="CA38" s="244">
        <f t="shared" ca="1" si="51"/>
        <v>413.48326629553054</v>
      </c>
      <c r="CB38" s="244">
        <f t="shared" ca="1" si="25"/>
        <v>365.72942807341161</v>
      </c>
      <c r="CC38" s="244">
        <f t="shared" ca="1" si="26"/>
        <v>461.23710451764947</v>
      </c>
      <c r="CD38" s="244">
        <f t="shared" ca="1" si="27"/>
        <v>460.61613919501059</v>
      </c>
      <c r="CE38" s="852" t="str">
        <f>IFERROR(INDEX('Customer priorities (2022)'!CAM_Priorities_output_WTP,MATCH($A38,'Customer priorities (2022)'!Priorities_WTP_options,0)),"x")</f>
        <v>x</v>
      </c>
      <c r="CF38" s="852" t="str">
        <f>IFERROR(INDEX('Contacts (2022)'!CAM_Contacts_output_WTP,MATCH($A38,'Contacts (2022)'!Contacts_WTP_options,0)),"x")</f>
        <v>x</v>
      </c>
      <c r="CG38" s="852" t="str">
        <f>IFERROR(INDEX('Satisfaction (2022)'!CAM_Satisfaction_output_WTP,MATCH($A38,'Satisfaction (2022)'!Satisfaction_WTP_options,0)),"x")</f>
        <v>x</v>
      </c>
      <c r="CH38" s="853" t="s">
        <v>128</v>
      </c>
      <c r="CI38" s="367" t="str">
        <f t="shared" si="52"/>
        <v>x</v>
      </c>
      <c r="CJ38" s="367" t="str">
        <f t="shared" si="53"/>
        <v>x</v>
      </c>
      <c r="CK38" s="853" t="s">
        <v>128</v>
      </c>
      <c r="CL38" s="853" t="s">
        <v>128</v>
      </c>
      <c r="CM38" s="852" t="s">
        <v>128</v>
      </c>
      <c r="CN38" s="852" t="s">
        <v>128</v>
      </c>
      <c r="CO38" s="854">
        <f t="shared" ca="1" si="28"/>
        <v>139569.52203350802</v>
      </c>
      <c r="CP38" s="852" t="str">
        <f t="shared" si="29"/>
        <v>x</v>
      </c>
      <c r="CQ38" s="854">
        <f t="shared" ca="1" si="30"/>
        <v>123.05049935901012</v>
      </c>
      <c r="CR38" s="854">
        <f t="shared" ca="1" si="31"/>
        <v>107.07693402528662</v>
      </c>
      <c r="CS38" s="853" t="s">
        <v>128</v>
      </c>
      <c r="CT38" s="244" t="str">
        <f t="shared" ca="1" si="54"/>
        <v/>
      </c>
      <c r="CU38" s="244" t="str">
        <f t="shared" ca="1" si="54"/>
        <v/>
      </c>
      <c r="CV38" s="244" t="str">
        <f t="shared" ca="1" si="54"/>
        <v/>
      </c>
      <c r="CW38" s="244" t="str">
        <f t="shared" ca="1" si="54"/>
        <v/>
      </c>
      <c r="CX38" s="244" t="str">
        <f t="shared" ca="1" si="54"/>
        <v/>
      </c>
      <c r="CY38" s="244"/>
      <c r="CZ38" s="244" t="str">
        <f t="shared" ca="1" si="55"/>
        <v/>
      </c>
      <c r="DA38" s="244" t="str">
        <f t="shared" ca="1" si="55"/>
        <v/>
      </c>
      <c r="DB38" s="244" t="str">
        <f t="shared" ca="1" si="55"/>
        <v/>
      </c>
      <c r="DC38" s="244" t="str">
        <f t="shared" ca="1" si="55"/>
        <v/>
      </c>
      <c r="DD38" s="244" t="str">
        <f t="shared" ca="1" si="55"/>
        <v/>
      </c>
      <c r="DE38" s="244" t="str">
        <f t="shared" ca="1" si="55"/>
        <v/>
      </c>
      <c r="DF38" s="244" t="str">
        <f t="shared" ca="1" si="55"/>
        <v/>
      </c>
      <c r="DG38" s="244" t="str">
        <f t="shared" ca="1" si="55"/>
        <v/>
      </c>
      <c r="DH38" s="244" t="str">
        <f t="shared" ca="1" si="55"/>
        <v/>
      </c>
      <c r="DI38" s="244" t="str">
        <f t="shared" ca="1" si="33"/>
        <v/>
      </c>
      <c r="DJ38" s="244" t="str">
        <f t="shared" ca="1" si="33"/>
        <v/>
      </c>
      <c r="DK38" s="244" t="str">
        <f t="shared" ca="1" si="33"/>
        <v/>
      </c>
      <c r="DL38" s="244" t="str">
        <f t="shared" ca="1" si="33"/>
        <v/>
      </c>
      <c r="DM38" s="244" t="str">
        <f t="shared" ca="1" si="33"/>
        <v/>
      </c>
      <c r="DN38" s="244" t="str">
        <f t="shared" ca="1" si="33"/>
        <v/>
      </c>
      <c r="DO38" s="244" t="str">
        <f t="shared" ca="1" si="33"/>
        <v/>
      </c>
      <c r="DP38" s="244" t="str">
        <f t="shared" ca="1" si="33"/>
        <v/>
      </c>
      <c r="DQ38" s="244" t="str">
        <f t="shared" ca="1" si="33"/>
        <v/>
      </c>
      <c r="DR38" s="244" t="str">
        <f t="shared" ca="1" si="33"/>
        <v/>
      </c>
      <c r="DS38" s="244" t="str">
        <f t="shared" ca="1" si="33"/>
        <v/>
      </c>
      <c r="DT38" s="244" t="str">
        <f t="shared" ca="1" si="33"/>
        <v/>
      </c>
      <c r="DU38" s="244" t="str">
        <f t="shared" ca="1" si="33"/>
        <v/>
      </c>
      <c r="DV38" s="244" t="str">
        <f t="shared" ca="1" si="33"/>
        <v/>
      </c>
      <c r="DW38" s="244"/>
      <c r="DX38" s="244"/>
      <c r="DY38" s="244"/>
      <c r="DZ38" s="244"/>
      <c r="EA38" s="244"/>
      <c r="EB38" s="244"/>
      <c r="EC38" s="244"/>
      <c r="ED38" s="244"/>
      <c r="EE38" s="244"/>
      <c r="EF38" s="244"/>
      <c r="EG38" s="244"/>
      <c r="EH38" s="244"/>
      <c r="EI38" s="244"/>
      <c r="EJ38" s="244"/>
      <c r="EK38" s="244"/>
      <c r="EL38" s="244"/>
      <c r="EM38" s="244"/>
      <c r="EN38" s="244"/>
      <c r="EO38" s="856">
        <f t="shared" ca="1" si="56"/>
        <v>31302.052369317589</v>
      </c>
      <c r="EP38" s="400">
        <f t="shared" ca="1" si="57"/>
        <v>107.07693402528662</v>
      </c>
      <c r="EQ38" s="400">
        <f t="shared" ca="1" si="58"/>
        <v>139569.52203350802</v>
      </c>
      <c r="ER38" s="10">
        <f t="shared" ca="1" si="59"/>
        <v>6346.0720210837471</v>
      </c>
      <c r="ES38" s="400">
        <f t="shared" ca="1" si="60"/>
        <v>117916.02810066995</v>
      </c>
      <c r="ET38" s="400">
        <f t="shared" ca="1" si="61"/>
        <v>24955.980348233843</v>
      </c>
      <c r="EU38" s="400">
        <f t="shared" ca="1" si="62"/>
        <v>86613.975731352359</v>
      </c>
      <c r="EX38" s="479">
        <f t="shared" ca="1" si="34"/>
        <v>21882.5050942077</v>
      </c>
      <c r="EY38" s="592">
        <f t="shared" ca="1" si="35"/>
        <v>95.364815655525859</v>
      </c>
      <c r="EZ38" s="244">
        <f t="shared" ca="1" si="36"/>
        <v>97330.680068666436</v>
      </c>
      <c r="FA38" s="244">
        <f t="shared" ca="1" si="37"/>
        <v>4452.7928713659603</v>
      </c>
      <c r="FB38" s="244">
        <f t="shared" ca="1" si="38"/>
        <v>82241.045073774701</v>
      </c>
      <c r="FC38" s="260">
        <f t="shared" ca="1" si="39"/>
        <v>17429.712222841739</v>
      </c>
      <c r="FD38" s="589">
        <f t="shared" ca="1" si="40"/>
        <v>60358.539979566995</v>
      </c>
      <c r="FE38" s="260"/>
      <c r="FF38" s="260"/>
      <c r="FG38" s="260"/>
      <c r="FH38" s="260"/>
    </row>
    <row r="39" spans="1:164" x14ac:dyDescent="0.35">
      <c r="A39" s="200" t="s">
        <v>143</v>
      </c>
      <c r="B39" s="7" t="s">
        <v>144</v>
      </c>
      <c r="C39" s="7" t="s">
        <v>145</v>
      </c>
      <c r="D39" s="244">
        <f ca="1">INDEX(INDIRECT("SSW_WTPCore_DCE_"&amp;$B39&amp;"_UnitValues"),MATCH("COMBINED-HH",WTPCore_Group,0),MATCH("MEAN",LMH,0))</f>
        <v>245983.27199999994</v>
      </c>
      <c r="E39" s="244">
        <f t="shared" ca="1" si="6"/>
        <v>220090.29599999997</v>
      </c>
      <c r="F39" s="244">
        <f t="shared" ca="1" si="7"/>
        <v>278349.49199999997</v>
      </c>
      <c r="G39" s="244">
        <f t="shared" ca="1" si="8"/>
        <v>323662.19999999995</v>
      </c>
      <c r="H39" s="245">
        <f ca="1">INDEX(SSW_WTPMaxdiff_WTP_Unitvalues,MATCH($B39,WTPMaxdiff_WTP_options,0))</f>
        <v>354640.07567068306</v>
      </c>
      <c r="I39" s="244">
        <f t="shared" ca="1" si="41"/>
        <v>387617.59897926223</v>
      </c>
      <c r="J39" s="244">
        <f t="shared" ca="1" si="10"/>
        <v>356121.35158539849</v>
      </c>
      <c r="K39" s="244">
        <f t="shared" ca="1" si="11"/>
        <v>419113.84637312597</v>
      </c>
      <c r="L39" s="244">
        <f t="shared" ca="1" si="42"/>
        <v>327685.1166739192</v>
      </c>
      <c r="M39" s="852" t="str">
        <f>IFERROR(INDEX('Customer priorities (2022)'!SSW_Priorities_output_WTP,MATCH($A39,'Customer priorities (2022)'!Priorities_WTP_options,0)),"x")</f>
        <v>x</v>
      </c>
      <c r="N39" s="852" t="str">
        <f>IFERROR(INDEX('Contacts (2022)'!SSW_Contacts_output_WTP,MATCH($A39,'Contacts (2022)'!Contacts_WTP_options,0)),"x")</f>
        <v>x</v>
      </c>
      <c r="O39" s="852" t="str">
        <f>IFERROR(INDEX('Satisfaction (2022)'!SSW_Satisfaction_output_WTP,MATCH($A39,'Satisfaction (2022)'!Satisfaction_WTP_options,0)),"x")</f>
        <v>x</v>
      </c>
      <c r="P39" s="367">
        <f t="shared" ca="1" si="12"/>
        <v>76362.633971798117</v>
      </c>
      <c r="Q39" s="367" t="str">
        <f t="shared" si="43"/>
        <v>x</v>
      </c>
      <c r="R39" s="367" t="str">
        <f t="shared" si="44"/>
        <v>x</v>
      </c>
      <c r="S39" s="244">
        <f ca="1">AVERAGE( $AB39:$AP39)</f>
        <v>127342.94973301455</v>
      </c>
      <c r="T39" s="244">
        <f ca="1">AVERAGE($AQ39:$BD39)</f>
        <v>207922.06515294351</v>
      </c>
      <c r="U39" s="852" t="s">
        <v>128</v>
      </c>
      <c r="V39" s="852" t="s">
        <v>128</v>
      </c>
      <c r="W39" s="852">
        <f t="shared" si="45"/>
        <v>0</v>
      </c>
      <c r="X39" s="852" t="str">
        <f t="shared" si="13"/>
        <v>x</v>
      </c>
      <c r="Y39" s="852">
        <f t="shared" ca="1" si="14"/>
        <v>651016.63908681867</v>
      </c>
      <c r="Z39" s="852">
        <f t="shared" si="15"/>
        <v>532857.1426566334</v>
      </c>
      <c r="AA39" s="853" t="s">
        <v>128</v>
      </c>
      <c r="AB39" s="244" t="str">
        <f t="shared" ca="1" si="46"/>
        <v/>
      </c>
      <c r="AC39" s="244">
        <f t="shared" ca="1" si="46"/>
        <v>20148.980693502763</v>
      </c>
      <c r="AD39" s="244" t="str">
        <f t="shared" ca="1" si="46"/>
        <v/>
      </c>
      <c r="AE39" s="244" t="str">
        <f t="shared" ca="1" si="46"/>
        <v/>
      </c>
      <c r="AF39" s="244">
        <f t="shared" ca="1" si="46"/>
        <v>350706.2717098209</v>
      </c>
      <c r="AG39" s="244"/>
      <c r="AH39" s="244">
        <f t="shared" ca="1" si="47"/>
        <v>8079.7050169508657</v>
      </c>
      <c r="AI39" s="244">
        <f t="shared" ca="1" si="47"/>
        <v>467436.75826687156</v>
      </c>
      <c r="AJ39" s="244">
        <f t="shared" ca="1" si="47"/>
        <v>32142.383355256203</v>
      </c>
      <c r="AK39" s="244">
        <f t="shared" ca="1" si="47"/>
        <v>0</v>
      </c>
      <c r="AL39" s="244">
        <f t="shared" ca="1" si="47"/>
        <v>169110.51247787525</v>
      </c>
      <c r="AM39" s="244">
        <f t="shared" ca="1" si="47"/>
        <v>53422.646319848165</v>
      </c>
      <c r="AN39" s="244">
        <f t="shared" ca="1" si="47"/>
        <v>13628.282541357352</v>
      </c>
      <c r="AO39" s="244">
        <f t="shared" ca="1" si="47"/>
        <v>259231.86847170227</v>
      </c>
      <c r="AP39" s="244">
        <f t="shared" ca="1" si="47"/>
        <v>26865.03820997478</v>
      </c>
      <c r="AQ39" s="244" t="str">
        <f t="shared" ca="1" si="17"/>
        <v/>
      </c>
      <c r="AR39" s="244">
        <f t="shared" ca="1" si="17"/>
        <v>34439.062725910888</v>
      </c>
      <c r="AS39" s="757">
        <f t="shared" ca="1" si="17"/>
        <v>523466.6903462084</v>
      </c>
      <c r="AT39" s="757">
        <f t="shared" ca="1" si="17"/>
        <v>528338.14331762528</v>
      </c>
      <c r="AU39" s="244" t="str">
        <f t="shared" ca="1" si="17"/>
        <v/>
      </c>
      <c r="AV39" s="244" t="str">
        <f t="shared" ca="1" si="17"/>
        <v/>
      </c>
      <c r="AW39" s="244">
        <f t="shared" ca="1" si="17"/>
        <v>2769.4912864367948</v>
      </c>
      <c r="AX39" s="244">
        <f t="shared" ca="1" si="17"/>
        <v>0</v>
      </c>
      <c r="AY39" s="244">
        <f t="shared" ca="1" si="17"/>
        <v>304401.63030255114</v>
      </c>
      <c r="AZ39" s="244">
        <f t="shared" ca="1" si="17"/>
        <v>182553.67144323912</v>
      </c>
      <c r="BA39" s="244">
        <f t="shared" ca="1" si="17"/>
        <v>276503.22846167197</v>
      </c>
      <c r="BB39" s="244">
        <f t="shared" ca="1" si="17"/>
        <v>18826.668492847908</v>
      </c>
      <c r="BC39" s="244" t="str">
        <f t="shared" ca="1" si="17"/>
        <v/>
      </c>
      <c r="BD39" s="244" t="str">
        <f t="shared" ca="1" si="17"/>
        <v/>
      </c>
      <c r="BE39" s="479">
        <f t="shared" ca="1" si="48"/>
        <v>328099.43809182022</v>
      </c>
      <c r="BF39" s="400">
        <f t="shared" ca="1" si="18"/>
        <v>0</v>
      </c>
      <c r="BG39" s="400">
        <f t="shared" ca="1" si="19"/>
        <v>651016.63908681867</v>
      </c>
      <c r="BH39" s="10">
        <f t="shared" ca="1" si="49"/>
        <v>65619.887618364053</v>
      </c>
      <c r="BI39" s="400">
        <f t="shared" ca="1" si="50"/>
        <v>586433.19888781896</v>
      </c>
      <c r="BJ39" s="400">
        <f t="shared" ca="1" si="64"/>
        <v>262479.55047345615</v>
      </c>
      <c r="BK39" s="400">
        <f t="shared" ca="1" si="20"/>
        <v>258333.76079599874</v>
      </c>
      <c r="BL39" s="400"/>
      <c r="BM39" s="400"/>
      <c r="BN39" s="400"/>
      <c r="BO39" s="400"/>
      <c r="BP39" s="400"/>
      <c r="BQ39" s="400"/>
      <c r="BR39" s="400"/>
      <c r="BS39" s="400"/>
      <c r="BT39" s="400"/>
      <c r="BU39" s="688"/>
      <c r="BV39" s="244">
        <f t="shared" ca="1" si="65"/>
        <v>469608.19199999986</v>
      </c>
      <c r="BW39" s="244">
        <f t="shared" ca="1" si="21"/>
        <v>417429.5039999999</v>
      </c>
      <c r="BX39" s="244">
        <f t="shared" ca="1" si="22"/>
        <v>525048.04799999995</v>
      </c>
      <c r="BY39" s="244">
        <f t="shared" ca="1" si="23"/>
        <v>479391.69599999994</v>
      </c>
      <c r="BZ39" s="245">
        <f t="shared" ca="1" si="24"/>
        <v>64749.144337062389</v>
      </c>
      <c r="CA39" s="244">
        <f t="shared" ca="1" si="51"/>
        <v>16798.64283841243</v>
      </c>
      <c r="CB39" s="244">
        <f t="shared" ca="1" si="25"/>
        <v>14859.659331657846</v>
      </c>
      <c r="CC39" s="244">
        <f t="shared" ca="1" si="26"/>
        <v>18737.626345167009</v>
      </c>
      <c r="CD39" s="244">
        <f t="shared" ca="1" si="27"/>
        <v>47514.295374341986</v>
      </c>
      <c r="CE39" s="852" t="str">
        <f>IFERROR(INDEX('Customer priorities (2022)'!CAM_Priorities_output_WTP,MATCH($A39,'Customer priorities (2022)'!Priorities_WTP_options,0)),"x")</f>
        <v>x</v>
      </c>
      <c r="CF39" s="852" t="str">
        <f>IFERROR(INDEX('Contacts (2022)'!CAM_Contacts_output_WTP,MATCH($A39,'Contacts (2022)'!Contacts_WTP_options,0)),"x")</f>
        <v>x</v>
      </c>
      <c r="CG39" s="852" t="str">
        <f>IFERROR(INDEX('Satisfaction (2022)'!CAM_Satisfaction_output_WTP,MATCH($A39,'Satisfaction (2022)'!Satisfaction_WTP_options,0)),"x")</f>
        <v>x</v>
      </c>
      <c r="CH39" s="853" t="s">
        <v>128</v>
      </c>
      <c r="CI39" s="367" t="str">
        <f t="shared" si="52"/>
        <v>x</v>
      </c>
      <c r="CJ39" s="367" t="str">
        <f t="shared" si="53"/>
        <v>x</v>
      </c>
      <c r="CK39" s="244">
        <f t="shared" ca="1" si="66"/>
        <v>49983.188076170954</v>
      </c>
      <c r="CL39" s="244">
        <f t="shared" ca="1" si="67"/>
        <v>80909.640059860249</v>
      </c>
      <c r="CM39" s="852" t="s">
        <v>128</v>
      </c>
      <c r="CN39" s="852" t="s">
        <v>128</v>
      </c>
      <c r="CO39" s="854">
        <f t="shared" si="28"/>
        <v>0</v>
      </c>
      <c r="CP39" s="852" t="str">
        <f t="shared" si="29"/>
        <v>x</v>
      </c>
      <c r="CQ39" s="854">
        <f t="shared" ca="1" si="30"/>
        <v>81994.230051326755</v>
      </c>
      <c r="CR39" s="854">
        <f t="shared" si="31"/>
        <v>67112.280264858229</v>
      </c>
      <c r="CS39" s="853" t="s">
        <v>128</v>
      </c>
      <c r="CT39" s="244" t="str">
        <f t="shared" ca="1" si="54"/>
        <v/>
      </c>
      <c r="CU39" s="244">
        <f t="shared" ca="1" si="54"/>
        <v>6652.5340857014726</v>
      </c>
      <c r="CV39" s="244" t="str">
        <f t="shared" ca="1" si="54"/>
        <v/>
      </c>
      <c r="CW39" s="244" t="str">
        <f t="shared" ca="1" si="54"/>
        <v/>
      </c>
      <c r="CX39" s="244">
        <f t="shared" ca="1" si="54"/>
        <v>159341.38531331174</v>
      </c>
      <c r="CY39" s="244"/>
      <c r="CZ39" s="244">
        <f t="shared" ca="1" si="55"/>
        <v>8424.9438429904512</v>
      </c>
      <c r="DA39" s="244">
        <f t="shared" ca="1" si="55"/>
        <v>155150.62545635976</v>
      </c>
      <c r="DB39" s="244">
        <f t="shared" ca="1" si="55"/>
        <v>19044.900762682661</v>
      </c>
      <c r="DC39" s="244">
        <f t="shared" ca="1" si="55"/>
        <v>0</v>
      </c>
      <c r="DD39" s="244">
        <f t="shared" ca="1" si="55"/>
        <v>61057.479886015739</v>
      </c>
      <c r="DE39" s="244">
        <f t="shared" ca="1" si="55"/>
        <v>41933.537737674669</v>
      </c>
      <c r="DF39" s="244">
        <f t="shared" ca="1" si="55"/>
        <v>9019.4377553999111</v>
      </c>
      <c r="DG39" s="244">
        <f t="shared" ca="1" si="55"/>
        <v>72346.927308519545</v>
      </c>
      <c r="DH39" s="244">
        <f t="shared" ca="1" si="55"/>
        <v>16843.29668922452</v>
      </c>
      <c r="DI39" s="244" t="str">
        <f t="shared" ca="1" si="33"/>
        <v/>
      </c>
      <c r="DJ39" s="244">
        <f t="shared" ca="1" si="33"/>
        <v>20250.381808355778</v>
      </c>
      <c r="DK39" s="244">
        <f t="shared" ca="1" si="33"/>
        <v>224609.82529604534</v>
      </c>
      <c r="DL39" s="244">
        <f t="shared" ca="1" si="33"/>
        <v>266807.64890509716</v>
      </c>
      <c r="DM39" s="244" t="str">
        <f t="shared" ca="1" si="33"/>
        <v/>
      </c>
      <c r="DN39" s="244" t="str">
        <f t="shared" ca="1" si="33"/>
        <v/>
      </c>
      <c r="DO39" s="244">
        <f t="shared" ca="1" si="33"/>
        <v>2139.1944770166306</v>
      </c>
      <c r="DP39" s="244">
        <f t="shared" ca="1" si="33"/>
        <v>0</v>
      </c>
      <c r="DQ39" s="244">
        <f t="shared" ca="1" si="33"/>
        <v>88863.015450543709</v>
      </c>
      <c r="DR39" s="244">
        <f t="shared" ca="1" si="33"/>
        <v>54875.399770496901</v>
      </c>
      <c r="DS39" s="244">
        <f t="shared" ca="1" si="33"/>
        <v>59601.253261684273</v>
      </c>
      <c r="DT39" s="244">
        <f t="shared" ca="1" si="33"/>
        <v>11040.041569502533</v>
      </c>
      <c r="DU39" s="244" t="str">
        <f t="shared" ca="1" si="33"/>
        <v/>
      </c>
      <c r="DV39" s="244" t="str">
        <f t="shared" ca="1" si="33"/>
        <v/>
      </c>
      <c r="DW39" s="244"/>
      <c r="DX39" s="244"/>
      <c r="DY39" s="244"/>
      <c r="DZ39" s="244"/>
      <c r="EA39" s="244"/>
      <c r="EB39" s="244"/>
      <c r="EC39" s="244"/>
      <c r="ED39" s="244"/>
      <c r="EE39" s="244"/>
      <c r="EF39" s="244"/>
      <c r="EG39" s="244"/>
      <c r="EH39" s="244"/>
      <c r="EI39" s="244"/>
      <c r="EJ39" s="244"/>
      <c r="EK39" s="244"/>
      <c r="EL39" s="244"/>
      <c r="EM39" s="244"/>
      <c r="EN39" s="244"/>
      <c r="EO39" s="856">
        <f t="shared" ca="1" si="56"/>
        <v>130861.85916951248</v>
      </c>
      <c r="EP39" s="400">
        <f t="shared" ca="1" si="57"/>
        <v>0</v>
      </c>
      <c r="EQ39" s="400">
        <f t="shared" ca="1" si="58"/>
        <v>469608.19199999986</v>
      </c>
      <c r="ER39" s="10">
        <f t="shared" ca="1" si="59"/>
        <v>26172.371833902496</v>
      </c>
      <c r="ES39" s="400">
        <f t="shared" ca="1" si="60"/>
        <v>401858.92543390242</v>
      </c>
      <c r="ET39" s="400">
        <f t="shared" ca="1" si="61"/>
        <v>104689.48733560999</v>
      </c>
      <c r="EU39" s="400">
        <f t="shared" ca="1" si="62"/>
        <v>270997.06626438996</v>
      </c>
      <c r="EX39" s="479">
        <f t="shared" ca="1" si="34"/>
        <v>288412.95407593879</v>
      </c>
      <c r="EY39" s="592">
        <f t="shared" ca="1" si="35"/>
        <v>0</v>
      </c>
      <c r="EZ39" s="244">
        <f t="shared" ca="1" si="36"/>
        <v>614515.15962740604</v>
      </c>
      <c r="FA39" s="244">
        <f t="shared" ca="1" si="37"/>
        <v>57682.590815187767</v>
      </c>
      <c r="FB39" s="244">
        <f t="shared" ca="1" si="38"/>
        <v>549294.71851711255</v>
      </c>
      <c r="FC39" s="260">
        <f t="shared" ca="1" si="39"/>
        <v>230730.36326075101</v>
      </c>
      <c r="FD39" s="589">
        <f t="shared" ca="1" si="40"/>
        <v>260881.7644411737</v>
      </c>
      <c r="FE39" s="260"/>
      <c r="FF39" s="260"/>
      <c r="FG39" s="260"/>
      <c r="FH39" s="260"/>
    </row>
    <row r="40" spans="1:164" s="739" customFormat="1" x14ac:dyDescent="0.35">
      <c r="A40" s="770" t="s">
        <v>146</v>
      </c>
      <c r="B40" s="739" t="s">
        <v>147</v>
      </c>
      <c r="C40" s="739" t="s">
        <v>145</v>
      </c>
      <c r="D40" s="714">
        <f ca="1">INDEX(INDIRECT("SSW_WTPCore_DCE_"&amp;$B40&amp;"_UnitValues"),MATCH("COMBINED-HH",WTPCore_Group,0),MATCH("MEAN",LMH,0))</f>
        <v>90625.415999999997</v>
      </c>
      <c r="E40" s="714">
        <f t="shared" ca="1" si="6"/>
        <v>77678.927999999985</v>
      </c>
      <c r="F40" s="714">
        <f t="shared" ca="1" si="7"/>
        <v>103571.90399999998</v>
      </c>
      <c r="G40" s="714">
        <f t="shared" ca="1" si="8"/>
        <v>142411.36799999999</v>
      </c>
      <c r="H40" s="771">
        <f ca="1">INDEX(SSW_WTPMaxdiff_WTP_Unitvalues,MATCH($B40,WTPMaxdiff_WTP_options,0))</f>
        <v>965492.56557992543</v>
      </c>
      <c r="I40" s="853" t="s">
        <v>128</v>
      </c>
      <c r="J40" s="853" t="s">
        <v>128</v>
      </c>
      <c r="K40" s="853" t="s">
        <v>128</v>
      </c>
      <c r="L40" s="853" t="s">
        <v>128</v>
      </c>
      <c r="M40" s="852" t="str">
        <f>IFERROR(INDEX('Customer priorities (2022)'!SSW_Priorities_output_WTP,MATCH($A40,'Customer priorities (2022)'!Priorities_WTP_options,0)),"x")</f>
        <v>x</v>
      </c>
      <c r="N40" s="852" t="str">
        <f>IFERROR(INDEX('Contacts (2022)'!SSW_Contacts_output_WTP,MATCH($A40,'Contacts (2022)'!Contacts_WTP_options,0)),"x")</f>
        <v>x</v>
      </c>
      <c r="O40" s="852" t="str">
        <f>IFERROR(INDEX('Satisfaction (2022)'!SSW_Satisfaction_output_WTP,MATCH($A40,'Satisfaction (2022)'!Satisfaction_WTP_options,0)),"x")</f>
        <v>x</v>
      </c>
      <c r="P40" s="367" t="str">
        <f t="shared" si="12"/>
        <v>x</v>
      </c>
      <c r="Q40" s="367" t="str">
        <f t="shared" si="43"/>
        <v>x</v>
      </c>
      <c r="R40" s="367" t="str">
        <f t="shared" si="44"/>
        <v>x</v>
      </c>
      <c r="S40" s="853" t="s">
        <v>128</v>
      </c>
      <c r="T40" s="714">
        <f ca="1">AVERAGE($AQ40:$BD40)</f>
        <v>266453.92693254468</v>
      </c>
      <c r="U40" s="852" t="s">
        <v>128</v>
      </c>
      <c r="V40" s="852" t="s">
        <v>128</v>
      </c>
      <c r="W40" s="852" t="str">
        <f t="shared" si="45"/>
        <v>x</v>
      </c>
      <c r="X40" s="852" t="str">
        <f t="shared" si="13"/>
        <v>x</v>
      </c>
      <c r="Y40" s="852">
        <f t="shared" ca="1" si="14"/>
        <v>1968498.5098197942</v>
      </c>
      <c r="Z40" s="852">
        <f t="shared" si="15"/>
        <v>1588851.8672809461</v>
      </c>
      <c r="AA40" s="853" t="s">
        <v>128</v>
      </c>
      <c r="AB40" s="714" t="str">
        <f t="shared" ca="1" si="46"/>
        <v/>
      </c>
      <c r="AC40" s="714" t="str">
        <f t="shared" ca="1" si="46"/>
        <v/>
      </c>
      <c r="AD40" s="714" t="str">
        <f t="shared" ca="1" si="46"/>
        <v/>
      </c>
      <c r="AE40" s="714" t="str">
        <f t="shared" ca="1" si="46"/>
        <v/>
      </c>
      <c r="AF40" s="714" t="str">
        <f t="shared" ca="1" si="46"/>
        <v/>
      </c>
      <c r="AG40" s="714"/>
      <c r="AH40" s="714" t="str">
        <f t="shared" ca="1" si="47"/>
        <v/>
      </c>
      <c r="AI40" s="714" t="str">
        <f t="shared" ca="1" si="47"/>
        <v/>
      </c>
      <c r="AJ40" s="714" t="str">
        <f t="shared" ca="1" si="47"/>
        <v/>
      </c>
      <c r="AK40" s="714" t="str">
        <f t="shared" ca="1" si="47"/>
        <v/>
      </c>
      <c r="AL40" s="714" t="str">
        <f t="shared" ca="1" si="47"/>
        <v/>
      </c>
      <c r="AM40" s="714" t="str">
        <f t="shared" ca="1" si="47"/>
        <v/>
      </c>
      <c r="AN40" s="714" t="str">
        <f t="shared" ca="1" si="47"/>
        <v/>
      </c>
      <c r="AO40" s="714" t="str">
        <f t="shared" ca="1" si="47"/>
        <v/>
      </c>
      <c r="AP40" s="714" t="str">
        <f t="shared" ca="1" si="47"/>
        <v/>
      </c>
      <c r="AQ40" s="714">
        <f t="shared" ca="1" si="17"/>
        <v>144417.14987293494</v>
      </c>
      <c r="AR40" s="714" t="str">
        <f t="shared" ca="1" si="17"/>
        <v/>
      </c>
      <c r="AS40" s="772">
        <f t="shared" ca="1" si="17"/>
        <v>208417.29337858298</v>
      </c>
      <c r="AT40" s="772">
        <f t="shared" ca="1" si="17"/>
        <v>528338.14331762528</v>
      </c>
      <c r="AU40" s="714">
        <f t="shared" ca="1" si="17"/>
        <v>184643.12116103558</v>
      </c>
      <c r="AV40" s="714" t="str">
        <f t="shared" ca="1" si="17"/>
        <v/>
      </c>
      <c r="AW40" s="714" t="str">
        <f t="shared" ca="1" si="17"/>
        <v/>
      </c>
      <c r="AX40" s="714" t="str">
        <f t="shared" ca="1" si="17"/>
        <v/>
      </c>
      <c r="AY40" s="714" t="str">
        <f t="shared" ca="1" si="17"/>
        <v/>
      </c>
      <c r="AZ40" s="714" t="str">
        <f t="shared" ca="1" si="17"/>
        <v/>
      </c>
      <c r="BA40" s="714" t="str">
        <f t="shared" ca="1" si="17"/>
        <v/>
      </c>
      <c r="BB40" s="714" t="str">
        <f t="shared" ca="1" si="17"/>
        <v/>
      </c>
      <c r="BC40" s="714" t="str">
        <f t="shared" ca="1" si="17"/>
        <v/>
      </c>
      <c r="BD40" s="714" t="str">
        <f t="shared" ca="1" si="17"/>
        <v/>
      </c>
      <c r="BE40" s="773">
        <f t="shared" ca="1" si="48"/>
        <v>1005208.5511884175</v>
      </c>
      <c r="BF40" s="714">
        <f t="shared" ca="1" si="18"/>
        <v>90625.415999999997</v>
      </c>
      <c r="BG40" s="714">
        <f t="shared" ca="1" si="19"/>
        <v>1968498.5098197942</v>
      </c>
      <c r="BH40" s="774">
        <f t="shared" ca="1" si="49"/>
        <v>273542.04303768347</v>
      </c>
      <c r="BI40" s="714">
        <f t="shared" ca="1" si="50"/>
        <v>1775840.5180935189</v>
      </c>
      <c r="BJ40" s="714">
        <f t="shared" ca="1" si="64"/>
        <v>731666.50815073401</v>
      </c>
      <c r="BK40" s="714">
        <f t="shared" ca="1" si="20"/>
        <v>770631.96690510144</v>
      </c>
      <c r="BL40" s="714"/>
      <c r="BM40" s="714"/>
      <c r="BN40" s="714"/>
      <c r="BO40" s="714"/>
      <c r="BP40" s="714"/>
      <c r="BQ40" s="714"/>
      <c r="BR40" s="714"/>
      <c r="BS40" s="714"/>
      <c r="BT40" s="714"/>
      <c r="BU40" s="775"/>
      <c r="BV40" s="714">
        <f t="shared" ca="1" si="65"/>
        <v>490150.41233112832</v>
      </c>
      <c r="BW40" s="714">
        <f t="shared" ca="1" si="21"/>
        <v>433735.34399999992</v>
      </c>
      <c r="BX40" s="714">
        <f t="shared" ca="1" si="22"/>
        <v>544615.05599999987</v>
      </c>
      <c r="BY40" s="714">
        <f t="shared" ca="1" si="23"/>
        <v>566349.89197397744</v>
      </c>
      <c r="BZ40" s="771">
        <f t="shared" ca="1" si="24"/>
        <v>251470.78671168489</v>
      </c>
      <c r="CA40" s="853" t="s">
        <v>128</v>
      </c>
      <c r="CB40" s="853" t="s">
        <v>128</v>
      </c>
      <c r="CC40" s="853" t="s">
        <v>128</v>
      </c>
      <c r="CD40" s="853" t="s">
        <v>128</v>
      </c>
      <c r="CE40" s="852" t="str">
        <f>IFERROR(INDEX('Customer priorities (2022)'!CAM_Priorities_output_WTP,MATCH($A40,'Customer priorities (2022)'!Priorities_WTP_options,0)),"x")</f>
        <v>x</v>
      </c>
      <c r="CF40" s="852" t="str">
        <f>IFERROR(INDEX('Contacts (2022)'!CAM_Contacts_output_WTP,MATCH($A40,'Contacts (2022)'!Contacts_WTP_options,0)),"x")</f>
        <v>x</v>
      </c>
      <c r="CG40" s="852" t="str">
        <f>IFERROR(INDEX('Satisfaction (2022)'!CAM_Satisfaction_output_WTP,MATCH($A40,'Satisfaction (2022)'!Satisfaction_WTP_options,0)),"x")</f>
        <v>x</v>
      </c>
      <c r="CH40" s="853" t="s">
        <v>128</v>
      </c>
      <c r="CI40" s="367" t="str">
        <f t="shared" si="52"/>
        <v>x</v>
      </c>
      <c r="CJ40" s="367" t="str">
        <f t="shared" si="53"/>
        <v>x</v>
      </c>
      <c r="CK40" s="853" t="s">
        <v>128</v>
      </c>
      <c r="CL40" s="714">
        <f t="shared" ca="1" si="67"/>
        <v>137120.51290739383</v>
      </c>
      <c r="CM40" s="852" t="s">
        <v>128</v>
      </c>
      <c r="CN40" s="852" t="s">
        <v>128</v>
      </c>
      <c r="CO40" s="854" t="str">
        <f t="shared" si="28"/>
        <v>x</v>
      </c>
      <c r="CP40" s="852" t="str">
        <f t="shared" si="29"/>
        <v>x</v>
      </c>
      <c r="CQ40" s="854">
        <f t="shared" ca="1" si="30"/>
        <v>495856.81833343516</v>
      </c>
      <c r="CR40" s="854">
        <f t="shared" si="31"/>
        <v>400225.36353618588</v>
      </c>
      <c r="CS40" s="853" t="s">
        <v>128</v>
      </c>
      <c r="CT40" s="714" t="str">
        <f t="shared" ca="1" si="54"/>
        <v/>
      </c>
      <c r="CU40" s="714" t="str">
        <f t="shared" ca="1" si="54"/>
        <v/>
      </c>
      <c r="CV40" s="714" t="str">
        <f t="shared" ca="1" si="54"/>
        <v/>
      </c>
      <c r="CW40" s="714" t="str">
        <f t="shared" ca="1" si="54"/>
        <v/>
      </c>
      <c r="CX40" s="714" t="str">
        <f t="shared" ca="1" si="54"/>
        <v/>
      </c>
      <c r="CY40" s="714"/>
      <c r="CZ40" s="714" t="str">
        <f t="shared" ca="1" si="55"/>
        <v/>
      </c>
      <c r="DA40" s="714" t="str">
        <f t="shared" ca="1" si="55"/>
        <v/>
      </c>
      <c r="DB40" s="714" t="str">
        <f t="shared" ca="1" si="55"/>
        <v/>
      </c>
      <c r="DC40" s="714" t="str">
        <f t="shared" ca="1" si="55"/>
        <v/>
      </c>
      <c r="DD40" s="714" t="str">
        <f t="shared" ca="1" si="55"/>
        <v/>
      </c>
      <c r="DE40" s="714" t="str">
        <f t="shared" ca="1" si="55"/>
        <v/>
      </c>
      <c r="DF40" s="714" t="str">
        <f t="shared" ca="1" si="55"/>
        <v/>
      </c>
      <c r="DG40" s="714" t="str">
        <f t="shared" ca="1" si="55"/>
        <v/>
      </c>
      <c r="DH40" s="714" t="str">
        <f t="shared" ca="1" si="55"/>
        <v/>
      </c>
      <c r="DI40" s="714">
        <f t="shared" ca="1" si="33"/>
        <v>94359.018544534585</v>
      </c>
      <c r="DJ40" s="714" t="str">
        <f t="shared" ca="1" si="33"/>
        <v/>
      </c>
      <c r="DK40" s="714">
        <f t="shared" ca="1" si="33"/>
        <v>89427.985997499549</v>
      </c>
      <c r="DL40" s="714">
        <f t="shared" ca="1" si="33"/>
        <v>266807.64890509716</v>
      </c>
      <c r="DM40" s="714">
        <f t="shared" ca="1" si="33"/>
        <v>97887.398182444085</v>
      </c>
      <c r="DN40" s="714" t="str">
        <f t="shared" ca="1" si="33"/>
        <v/>
      </c>
      <c r="DO40" s="714" t="str">
        <f t="shared" ca="1" si="33"/>
        <v/>
      </c>
      <c r="DP40" s="714" t="str">
        <f t="shared" ca="1" si="33"/>
        <v/>
      </c>
      <c r="DQ40" s="714" t="str">
        <f t="shared" ca="1" si="33"/>
        <v/>
      </c>
      <c r="DR40" s="714" t="str">
        <f t="shared" ca="1" si="33"/>
        <v/>
      </c>
      <c r="DS40" s="714" t="str">
        <f t="shared" ca="1" si="33"/>
        <v/>
      </c>
      <c r="DT40" s="714" t="str">
        <f t="shared" ca="1" si="33"/>
        <v/>
      </c>
      <c r="DU40" s="714" t="str">
        <f t="shared" ca="1" si="33"/>
        <v/>
      </c>
      <c r="DV40" s="714" t="str">
        <f t="shared" ca="1" si="33"/>
        <v/>
      </c>
      <c r="DW40" s="714"/>
      <c r="DX40" s="714"/>
      <c r="DY40" s="714"/>
      <c r="DZ40" s="714"/>
      <c r="EA40" s="714"/>
      <c r="EB40" s="714"/>
      <c r="EC40" s="714"/>
      <c r="ED40" s="714"/>
      <c r="EE40" s="714"/>
      <c r="EF40" s="714"/>
      <c r="EG40" s="714"/>
      <c r="EH40" s="714"/>
      <c r="EI40" s="714"/>
      <c r="EJ40" s="714"/>
      <c r="EK40" s="714"/>
      <c r="EL40" s="714"/>
      <c r="EM40" s="714"/>
      <c r="EN40" s="714"/>
      <c r="EO40" s="857">
        <f t="shared" ca="1" si="56"/>
        <v>430258.68961941078</v>
      </c>
      <c r="EP40" s="714">
        <f t="shared" ca="1" si="57"/>
        <v>137120.51290739383</v>
      </c>
      <c r="EQ40" s="714">
        <f t="shared" ca="1" si="58"/>
        <v>495856.81833343516</v>
      </c>
      <c r="ER40" s="774">
        <f t="shared" ca="1" si="59"/>
        <v>195748.14824979723</v>
      </c>
      <c r="ES40" s="714">
        <f t="shared" ca="1" si="60"/>
        <v>482737.19259063032</v>
      </c>
      <c r="ET40" s="714">
        <f t="shared" ca="1" si="61"/>
        <v>234510.54136961355</v>
      </c>
      <c r="EU40" s="714">
        <f t="shared" ca="1" si="62"/>
        <v>52478.502971219539</v>
      </c>
      <c r="EV40" s="776"/>
      <c r="EX40" s="773">
        <f t="shared" ca="1" si="34"/>
        <v>889521.98367037077</v>
      </c>
      <c r="EY40" s="777">
        <f t="shared" ca="1" si="35"/>
        <v>99980.767704854268</v>
      </c>
      <c r="EZ40" s="714">
        <f t="shared" ca="1" si="36"/>
        <v>1672185.9548308933</v>
      </c>
      <c r="FA40" s="714">
        <f t="shared" ca="1" si="37"/>
        <v>257889.01089795757</v>
      </c>
      <c r="FB40" s="714">
        <f t="shared" ca="1" si="38"/>
        <v>1515653.1605987889</v>
      </c>
      <c r="FC40" s="740">
        <f t="shared" ca="1" si="39"/>
        <v>631632.97277241317</v>
      </c>
      <c r="FD40" s="778">
        <f t="shared" ca="1" si="40"/>
        <v>626131.17692841822</v>
      </c>
      <c r="FE40" s="740"/>
      <c r="FF40" s="740"/>
      <c r="FG40" s="740"/>
      <c r="FH40" s="740"/>
    </row>
    <row r="41" spans="1:164" x14ac:dyDescent="0.35">
      <c r="A41" s="200" t="s">
        <v>40</v>
      </c>
      <c r="B41" s="7" t="s">
        <v>40</v>
      </c>
      <c r="C41" s="7" t="s">
        <v>148</v>
      </c>
      <c r="D41" s="244">
        <f t="shared" ca="1" si="63"/>
        <v>30606.35460992908</v>
      </c>
      <c r="E41" s="244">
        <f t="shared" ca="1" si="6"/>
        <v>27086.623829787233</v>
      </c>
      <c r="F41" s="244">
        <f t="shared" ca="1" si="7"/>
        <v>34126.085390070919</v>
      </c>
      <c r="G41" s="244">
        <f t="shared" ca="1" si="8"/>
        <v>37339.752624113476</v>
      </c>
      <c r="H41" s="245">
        <f t="shared" ca="1" si="9"/>
        <v>29542.991425669981</v>
      </c>
      <c r="I41" s="244">
        <f ca="1">INDEX(INDIRECT("SSW_WTPCore2_"&amp;$B41&amp;"_UnitValues"),1,MATCH("MEAN",LMH,0))</f>
        <v>25578.754356606645</v>
      </c>
      <c r="J41" s="244">
        <f ca="1">INDEX(INDIRECT("SSW_WTPCore2_"&amp;$B41&amp;"_UnitValues"),1,MATCH("LOW",LMH,0))</f>
        <v>23150.136721971689</v>
      </c>
      <c r="K41" s="244">
        <f ca="1">INDEX(INDIRECT("SSW_WTPCore2_"&amp;$B41&amp;"_UnitValues"),1,MATCH("HIGH",LMH,0))</f>
        <v>28007.371991241598</v>
      </c>
      <c r="L41" s="244">
        <f ca="1">INDEX(INDIRECT("SSW_WTPCore2_LowBill_"&amp;$B41&amp;"_UnitValues"),1,MATCH("MEAN",LMH,0))</f>
        <v>10334.933585254337</v>
      </c>
      <c r="M41" s="852">
        <f ca="1">IFERROR(INDEX('Customer priorities (2022)'!SSW_Priorities_output_WTP,MATCH($A41,'Customer priorities (2022)'!Priorities_WTP_options,0)),"x")</f>
        <v>29701.968641470376</v>
      </c>
      <c r="N41" s="852" t="str">
        <f>IFERROR(INDEX('Contacts (2022)'!SSW_Contacts_output_WTP,MATCH($A41,'Contacts (2022)'!Contacts_WTP_options,0)),"x")</f>
        <v>x</v>
      </c>
      <c r="O41" s="852" t="str">
        <f>IFERROR(INDEX('Satisfaction (2022)'!SSW_Satisfaction_output_WTP,MATCH($A41,'Satisfaction (2022)'!Satisfaction_WTP_options,0)),"x")</f>
        <v>x</v>
      </c>
      <c r="P41" s="367" t="str">
        <f t="shared" si="12"/>
        <v>x</v>
      </c>
      <c r="Q41" s="367">
        <f t="shared" ca="1" si="43"/>
        <v>28385.027419993654</v>
      </c>
      <c r="R41" s="367">
        <f t="shared" ca="1" si="44"/>
        <v>43613.733864245318</v>
      </c>
      <c r="S41" s="244">
        <f ca="1">AVERAGE( $AB41:$AP41)</f>
        <v>45597.865216015329</v>
      </c>
      <c r="T41" s="244">
        <f ca="1">AVERAGE($AQ41:$BD41)</f>
        <v>82333.080739438054</v>
      </c>
      <c r="U41" s="852" t="s">
        <v>128</v>
      </c>
      <c r="V41" s="852" t="s">
        <v>128</v>
      </c>
      <c r="W41" s="859">
        <f t="shared" ca="1" si="45"/>
        <v>244680.74782156225</v>
      </c>
      <c r="X41" s="859">
        <f t="shared" si="13"/>
        <v>95300.536666666667</v>
      </c>
      <c r="Y41" s="852">
        <f t="shared" ca="1" si="14"/>
        <v>8644.8129000902627</v>
      </c>
      <c r="Z41" s="852">
        <f t="shared" ca="1" si="15"/>
        <v>7522.6030400999907</v>
      </c>
      <c r="AA41" s="400">
        <f ca="1">INDEX(SSW_PC_Slider_output_WTP,MATCH($A41,PC_Slider_WTP_options,0))</f>
        <v>15794.731223974153</v>
      </c>
      <c r="AB41" s="244" t="str">
        <f t="shared" ca="1" si="46"/>
        <v/>
      </c>
      <c r="AC41" s="244" t="str">
        <f t="shared" ca="1" si="46"/>
        <v/>
      </c>
      <c r="AD41" s="244" t="str">
        <f t="shared" ca="1" si="46"/>
        <v/>
      </c>
      <c r="AE41" s="244" t="str">
        <f t="shared" ca="1" si="46"/>
        <v/>
      </c>
      <c r="AF41" s="244" t="str">
        <f t="shared" ca="1" si="46"/>
        <v/>
      </c>
      <c r="AG41" s="244"/>
      <c r="AH41" s="244" t="str">
        <f t="shared" ca="1" si="47"/>
        <v/>
      </c>
      <c r="AI41" s="244" t="str">
        <f t="shared" ca="1" si="47"/>
        <v/>
      </c>
      <c r="AJ41" s="244" t="str">
        <f t="shared" ca="1" si="47"/>
        <v/>
      </c>
      <c r="AK41" s="244" t="str">
        <f t="shared" ca="1" si="47"/>
        <v/>
      </c>
      <c r="AL41" s="244">
        <f t="shared" ca="1" si="47"/>
        <v>59759.116350467812</v>
      </c>
      <c r="AM41" s="244" t="str">
        <f t="shared" ca="1" si="47"/>
        <v/>
      </c>
      <c r="AN41" s="244">
        <f t="shared" ca="1" si="47"/>
        <v>58557.87661928968</v>
      </c>
      <c r="AO41" s="244">
        <f t="shared" ca="1" si="47"/>
        <v>27954.042458896696</v>
      </c>
      <c r="AP41" s="244">
        <f t="shared" ca="1" si="47"/>
        <v>36120.425435407109</v>
      </c>
      <c r="AQ41" s="244">
        <f t="shared" ca="1" si="17"/>
        <v>30258.589859791293</v>
      </c>
      <c r="AR41" s="244">
        <f t="shared" ca="1" si="17"/>
        <v>32255.301988441115</v>
      </c>
      <c r="AS41" s="757">
        <f t="shared" ca="1" si="17"/>
        <v>37833.038178243354</v>
      </c>
      <c r="AT41" s="757">
        <f t="shared" ca="1" si="17"/>
        <v>62312.873475128719</v>
      </c>
      <c r="AU41" s="244">
        <f t="shared" ca="1" si="17"/>
        <v>54980.010795831666</v>
      </c>
      <c r="AV41" s="244" t="str">
        <f t="shared" ca="1" si="17"/>
        <v/>
      </c>
      <c r="AW41" s="244">
        <f t="shared" ca="1" si="17"/>
        <v>5938.046119525281</v>
      </c>
      <c r="AX41" s="244">
        <f t="shared" ca="1" si="17"/>
        <v>428835.19178153394</v>
      </c>
      <c r="AY41" s="244" t="str">
        <f t="shared" ca="1" si="17"/>
        <v/>
      </c>
      <c r="AZ41" s="244" t="str">
        <f t="shared" ca="1" si="17"/>
        <v/>
      </c>
      <c r="BA41" s="244" t="str">
        <f t="shared" ca="1" si="17"/>
        <v/>
      </c>
      <c r="BB41" s="244">
        <f t="shared" ca="1" si="17"/>
        <v>57002.786019575542</v>
      </c>
      <c r="BC41" s="244" t="str">
        <f t="shared" ca="1" si="17"/>
        <v/>
      </c>
      <c r="BD41" s="244">
        <f t="shared" ca="1" si="17"/>
        <v>31581.888436871606</v>
      </c>
      <c r="BE41" s="479">
        <f t="shared" ca="1" si="48"/>
        <v>65426.556323929632</v>
      </c>
      <c r="BF41" s="400">
        <f t="shared" ca="1" si="18"/>
        <v>7522.6030400999907</v>
      </c>
      <c r="BG41" s="400">
        <f t="shared" ca="1" si="19"/>
        <v>244680.74782156225</v>
      </c>
      <c r="BH41" s="10">
        <f t="shared" ca="1" si="49"/>
        <v>19103.393696865918</v>
      </c>
      <c r="BI41" s="400">
        <f t="shared" ca="1" si="50"/>
        <v>208829.90952203574</v>
      </c>
      <c r="BJ41" s="400">
        <f ca="1">BE41-BH41</f>
        <v>46323.162627063713</v>
      </c>
      <c r="BK41" s="400">
        <f t="shared" ca="1" si="20"/>
        <v>143403.35319810611</v>
      </c>
      <c r="BL41" s="400"/>
      <c r="BM41" s="400"/>
      <c r="BN41" s="400"/>
      <c r="BO41" s="400"/>
      <c r="BP41" s="400"/>
      <c r="BQ41" s="400"/>
      <c r="BR41" s="400"/>
      <c r="BS41" s="400"/>
      <c r="BT41" s="400"/>
      <c r="BU41" s="688"/>
      <c r="BV41" s="244">
        <f t="shared" ca="1" si="65"/>
        <v>145343.41333333333</v>
      </c>
      <c r="BW41" s="244">
        <f t="shared" ca="1" si="21"/>
        <v>119978.77333333333</v>
      </c>
      <c r="BX41" s="244">
        <f t="shared" ca="1" si="22"/>
        <v>170909.36</v>
      </c>
      <c r="BY41" s="244">
        <f t="shared" ca="1" si="23"/>
        <v>65827.28</v>
      </c>
      <c r="BZ41" s="245">
        <f t="shared" ca="1" si="24"/>
        <v>42848.422020190264</v>
      </c>
      <c r="CA41" s="244">
        <f ca="1">INDEX(INDIRECT("CAM_WTPCore2_"&amp;$B41&amp;"_UnitValues"),1,MATCH("MEAN",LMH,0))</f>
        <v>63212.565775492993</v>
      </c>
      <c r="CB41" s="244">
        <f ca="1">INDEX(INDIRECT("CAM_WTPCore2_"&amp;$B41&amp;"_UnitValues"),1,MATCH("LOW",LMH,0))</f>
        <v>56570.907673196365</v>
      </c>
      <c r="CC41" s="244">
        <f ca="1">INDEX(INDIRECT("CAM_WTPCore2_"&amp;$B41&amp;"_UnitValues"),1,MATCH("HIGH",LMH,0))</f>
        <v>69854.223877789613</v>
      </c>
      <c r="CD41" s="244">
        <f ca="1">INDEX(INDIRECT("CAM_WTPCore2_LowBill_"&amp;$B41&amp;"_UnitValues"),1,MATCH("MEAN",LMH,0))</f>
        <v>44801.465487768932</v>
      </c>
      <c r="CE41" s="852">
        <f ca="1">IFERROR(INDEX('Customer priorities (2022)'!CAM_Priorities_output_WTP,MATCH($A41,'Customer priorities (2022)'!Priorities_WTP_options,0)),"x")</f>
        <v>52543.694635346968</v>
      </c>
      <c r="CF41" s="852" t="str">
        <f>IFERROR(INDEX('Contacts (2022)'!CAM_Contacts_output_WTP,MATCH($A41,'Contacts (2022)'!Contacts_WTP_options,0)),"x")</f>
        <v>x</v>
      </c>
      <c r="CG41" s="852" t="str">
        <f>IFERROR(INDEX('Satisfaction (2022)'!CAM_Satisfaction_output_WTP,MATCH($A41,'Satisfaction (2022)'!Satisfaction_WTP_options,0)),"x")</f>
        <v>x</v>
      </c>
      <c r="CH41" s="853" t="s">
        <v>128</v>
      </c>
      <c r="CI41" s="367">
        <f t="shared" ca="1" si="52"/>
        <v>155997.76570414286</v>
      </c>
      <c r="CJ41" s="367">
        <f t="shared" ca="1" si="53"/>
        <v>186685.26022577958</v>
      </c>
      <c r="CK41" s="244">
        <f t="shared" ca="1" si="66"/>
        <v>89447.570893103664</v>
      </c>
      <c r="CL41" s="244">
        <f t="shared" ca="1" si="67"/>
        <v>88713.293371291657</v>
      </c>
      <c r="CM41" s="852" t="s">
        <v>128</v>
      </c>
      <c r="CN41" s="852" t="s">
        <v>128</v>
      </c>
      <c r="CO41" s="854">
        <f t="shared" ca="1" si="28"/>
        <v>142457.5061055565</v>
      </c>
      <c r="CP41" s="859">
        <f t="shared" si="29"/>
        <v>24005.82</v>
      </c>
      <c r="CQ41" s="854">
        <f t="shared" ca="1" si="30"/>
        <v>26347.178782592859</v>
      </c>
      <c r="CR41" s="854">
        <f t="shared" ca="1" si="31"/>
        <v>22926.97013788715</v>
      </c>
      <c r="CS41" s="400">
        <f ca="1">INDEX(CAM_PC_Slider_output_WTP,MATCH($A41,PC_Slider_WTP_options,0))</f>
        <v>60655.170913721609</v>
      </c>
      <c r="CT41" s="244" t="str">
        <f t="shared" ca="1" si="54"/>
        <v/>
      </c>
      <c r="CU41" s="244" t="str">
        <f t="shared" ca="1" si="54"/>
        <v/>
      </c>
      <c r="CV41" s="244" t="str">
        <f t="shared" ca="1" si="54"/>
        <v/>
      </c>
      <c r="CW41" s="244" t="str">
        <f t="shared" ca="1" si="54"/>
        <v/>
      </c>
      <c r="CX41" s="244" t="str">
        <f t="shared" ca="1" si="54"/>
        <v/>
      </c>
      <c r="CY41" s="244"/>
      <c r="CZ41" s="244" t="str">
        <f t="shared" ca="1" si="55"/>
        <v/>
      </c>
      <c r="DA41" s="244" t="str">
        <f t="shared" ca="1" si="55"/>
        <v/>
      </c>
      <c r="DB41" s="244" t="str">
        <f t="shared" ca="1" si="55"/>
        <v/>
      </c>
      <c r="DC41" s="244" t="str">
        <f t="shared" ca="1" si="55"/>
        <v/>
      </c>
      <c r="DD41" s="244">
        <f t="shared" ca="1" si="55"/>
        <v>85039.220333953213</v>
      </c>
      <c r="DE41" s="244" t="str">
        <f t="shared" ca="1" si="55"/>
        <v/>
      </c>
      <c r="DF41" s="244">
        <f t="shared" ca="1" si="55"/>
        <v>152746.22669917744</v>
      </c>
      <c r="DG41" s="244">
        <f t="shared" ca="1" si="55"/>
        <v>30748.444764499021</v>
      </c>
      <c r="DH41" s="244">
        <f t="shared" ca="1" si="55"/>
        <v>89256.391774785021</v>
      </c>
      <c r="DI41" s="244">
        <f t="shared" ref="DI41:DV46" ca="1" si="68">IFERROR(INDEX(INDIRECT("PR19_Comp"&amp;DI$28&amp;"_UnitValues_CAM"),MATCH($B41,INDIRECT("PR19_Comp"&amp;DI$28&amp;"_WTPCore_Options"),0)),"")</f>
        <v>77922.012994397461</v>
      </c>
      <c r="DJ41" s="244">
        <f t="shared" ca="1" si="68"/>
        <v>74753.208562623578</v>
      </c>
      <c r="DK41" s="244">
        <f t="shared" ca="1" si="68"/>
        <v>63981.991024229726</v>
      </c>
      <c r="DL41" s="244">
        <f t="shared" ca="1" si="68"/>
        <v>124025.48162667507</v>
      </c>
      <c r="DM41" s="244">
        <f t="shared" ca="1" si="68"/>
        <v>114880.2327116262</v>
      </c>
      <c r="DN41" s="244" t="str">
        <f t="shared" ca="1" si="68"/>
        <v/>
      </c>
      <c r="DO41" s="244">
        <f t="shared" ca="1" si="68"/>
        <v>18077.595532688269</v>
      </c>
      <c r="DP41" s="244">
        <f t="shared" ca="1" si="68"/>
        <v>128940.15512842586</v>
      </c>
      <c r="DQ41" s="244" t="str">
        <f t="shared" ca="1" si="68"/>
        <v/>
      </c>
      <c r="DR41" s="244" t="str">
        <f t="shared" ca="1" si="68"/>
        <v/>
      </c>
      <c r="DS41" s="244" t="str">
        <f t="shared" ca="1" si="68"/>
        <v/>
      </c>
      <c r="DT41" s="244">
        <f t="shared" ca="1" si="68"/>
        <v>131746.82230902763</v>
      </c>
      <c r="DU41" s="244" t="str">
        <f t="shared" ca="1" si="68"/>
        <v/>
      </c>
      <c r="DV41" s="244">
        <f t="shared" ca="1" si="68"/>
        <v>64092.140451931024</v>
      </c>
      <c r="DW41" s="244"/>
      <c r="DX41" s="244"/>
      <c r="DY41" s="244"/>
      <c r="DZ41" s="244"/>
      <c r="EA41" s="244"/>
      <c r="EB41" s="244"/>
      <c r="EC41" s="244"/>
      <c r="ED41" s="244"/>
      <c r="EE41" s="244"/>
      <c r="EF41" s="244"/>
      <c r="EG41" s="244"/>
      <c r="EH41" s="244"/>
      <c r="EI41" s="244"/>
      <c r="EJ41" s="244"/>
      <c r="EK41" s="244"/>
      <c r="EL41" s="244"/>
      <c r="EM41" s="244"/>
      <c r="EN41" s="244"/>
      <c r="EO41" s="856">
        <f t="shared" ca="1" si="56"/>
        <v>89325.793874844283</v>
      </c>
      <c r="EP41" s="400">
        <f t="shared" ca="1" si="57"/>
        <v>22926.97013788715</v>
      </c>
      <c r="EQ41" s="400">
        <f t="shared" ca="1" si="58"/>
        <v>186685.26022577958</v>
      </c>
      <c r="ER41" s="10">
        <f t="shared" ca="1" si="59"/>
        <v>36206.73488527858</v>
      </c>
      <c r="ES41" s="400">
        <f t="shared" ca="1" si="60"/>
        <v>167213.36695559253</v>
      </c>
      <c r="ET41" s="400">
        <f t="shared" ca="1" si="61"/>
        <v>53119.058989565703</v>
      </c>
      <c r="EU41" s="400">
        <f t="shared" ca="1" si="62"/>
        <v>77887.573080748247</v>
      </c>
      <c r="EX41" s="479">
        <f t="shared" ca="1" si="34"/>
        <v>70235.359566387473</v>
      </c>
      <c r="EY41" s="592">
        <f t="shared" ca="1" si="35"/>
        <v>10622.140014450653</v>
      </c>
      <c r="EZ41" s="244">
        <f t="shared" ca="1" si="36"/>
        <v>233011.38438666682</v>
      </c>
      <c r="FA41" s="244">
        <f t="shared" ca="1" si="37"/>
        <v>22544.783924838015</v>
      </c>
      <c r="FB41" s="244">
        <f t="shared" ca="1" si="38"/>
        <v>200456.17942261096</v>
      </c>
      <c r="FC41" s="260">
        <f t="shared" ca="1" si="39"/>
        <v>47690.575641549447</v>
      </c>
      <c r="FD41" s="589">
        <f t="shared" ca="1" si="40"/>
        <v>130220.8198562235</v>
      </c>
      <c r="FE41" s="260"/>
      <c r="FF41" s="260"/>
      <c r="FG41" s="260"/>
      <c r="FH41" s="260"/>
    </row>
    <row r="42" spans="1:164" x14ac:dyDescent="0.35">
      <c r="A42" s="200" t="s">
        <v>41</v>
      </c>
      <c r="B42" s="7" t="s">
        <v>149</v>
      </c>
      <c r="C42" s="7" t="s">
        <v>150</v>
      </c>
      <c r="D42" s="90">
        <f t="shared" ca="1" si="63"/>
        <v>1.7719298245614032</v>
      </c>
      <c r="E42" s="244">
        <f t="shared" ca="1" si="6"/>
        <v>1.5614035087719296</v>
      </c>
      <c r="F42" s="244">
        <f t="shared" ca="1" si="7"/>
        <v>1.9649122807017545</v>
      </c>
      <c r="G42" s="244">
        <f t="shared" ca="1" si="8"/>
        <v>1.6140350877192979</v>
      </c>
      <c r="H42" s="252">
        <f t="shared" ca="1" si="9"/>
        <v>3.0392217341706713</v>
      </c>
      <c r="I42" s="244">
        <f ca="1">INDEX(INDIRECT("SSW_WTPCore2_"&amp;$B42&amp;"_UnitValues"),1,MATCH("MEAN",LMH,0))</f>
        <v>26.493731890352418</v>
      </c>
      <c r="J42" s="244">
        <f ca="1">INDEX(INDIRECT("SSW_WTPCore2_"&amp;$B42&amp;"_UnitValues"),1,MATCH("LOW",LMH,0))</f>
        <v>23.977063891715488</v>
      </c>
      <c r="K42" s="244">
        <f ca="1">INDEX(INDIRECT("SSW_WTPCore2_"&amp;$B42&amp;"_UnitValues"),1,MATCH("HIGH",LMH,0))</f>
        <v>29.010399888989348</v>
      </c>
      <c r="L42" s="244">
        <f ca="1">INDEX(INDIRECT("SSW_WTPCore2_LowBill_"&amp;$B42&amp;"_UnitValues"),1,MATCH("MEAN",LMH,0))</f>
        <v>23.049146180227552</v>
      </c>
      <c r="M42" s="852" t="str">
        <f>IFERROR(INDEX('Customer priorities (2022)'!SSW_Priorities_output_WTP,MATCH($A42,'Customer priorities (2022)'!Priorities_WTP_options,0)),"x")</f>
        <v>x</v>
      </c>
      <c r="N42" s="852" t="str">
        <f>IFERROR(INDEX('Contacts (2022)'!SSW_Contacts_output_WTP,MATCH($A42,'Contacts (2022)'!Contacts_WTP_options,0)),"x")</f>
        <v>x</v>
      </c>
      <c r="O42" s="852" t="str">
        <f>IFERROR(INDEX('Satisfaction (2022)'!SSW_Satisfaction_output_WTP,MATCH($A42,'Satisfaction (2022)'!Satisfaction_WTP_options,0)),"x")</f>
        <v>x</v>
      </c>
      <c r="P42" s="367" t="str">
        <f t="shared" si="12"/>
        <v>x</v>
      </c>
      <c r="Q42" s="367" t="str">
        <f t="shared" si="43"/>
        <v>x</v>
      </c>
      <c r="R42" s="367">
        <f t="shared" ca="1" si="44"/>
        <v>5.561127447643095</v>
      </c>
      <c r="S42" s="853" t="s">
        <v>128</v>
      </c>
      <c r="T42" s="90">
        <f ca="1">AVERAGE($AQ42:$BD42)</f>
        <v>3.501339540702856</v>
      </c>
      <c r="U42" s="852" t="s">
        <v>128</v>
      </c>
      <c r="V42" s="852" t="s">
        <v>128</v>
      </c>
      <c r="W42" s="852" t="str">
        <f t="shared" si="45"/>
        <v>x</v>
      </c>
      <c r="X42" s="852" t="str">
        <f t="shared" si="13"/>
        <v>x</v>
      </c>
      <c r="Y42" s="852">
        <f t="shared" ca="1" si="14"/>
        <v>3.7656683123843675</v>
      </c>
      <c r="Z42" s="852">
        <f t="shared" ca="1" si="15"/>
        <v>3.2768352793910753</v>
      </c>
      <c r="AA42" s="853" t="s">
        <v>128</v>
      </c>
      <c r="AB42" s="244" t="str">
        <f t="shared" ca="1" si="46"/>
        <v/>
      </c>
      <c r="AC42" s="244" t="str">
        <f t="shared" ca="1" si="46"/>
        <v/>
      </c>
      <c r="AD42" s="244" t="str">
        <f t="shared" ca="1" si="46"/>
        <v/>
      </c>
      <c r="AE42" s="244" t="str">
        <f t="shared" ca="1" si="46"/>
        <v/>
      </c>
      <c r="AF42" s="244" t="str">
        <f t="shared" ca="1" si="46"/>
        <v/>
      </c>
      <c r="AG42" s="244"/>
      <c r="AH42" s="244" t="str">
        <f t="shared" ca="1" si="47"/>
        <v/>
      </c>
      <c r="AI42" s="244" t="str">
        <f t="shared" ca="1" si="47"/>
        <v/>
      </c>
      <c r="AJ42" s="244" t="str">
        <f t="shared" ca="1" si="47"/>
        <v/>
      </c>
      <c r="AK42" s="244" t="str">
        <f t="shared" ca="1" si="47"/>
        <v/>
      </c>
      <c r="AL42" s="244" t="str">
        <f t="shared" ca="1" si="47"/>
        <v/>
      </c>
      <c r="AM42" s="244" t="str">
        <f t="shared" ca="1" si="47"/>
        <v/>
      </c>
      <c r="AN42" s="244" t="str">
        <f t="shared" ca="1" si="47"/>
        <v/>
      </c>
      <c r="AO42" s="244" t="str">
        <f t="shared" ca="1" si="47"/>
        <v/>
      </c>
      <c r="AP42" s="244" t="str">
        <f t="shared" ca="1" si="47"/>
        <v/>
      </c>
      <c r="AQ42" s="244" t="str">
        <f t="shared" ca="1" si="17"/>
        <v/>
      </c>
      <c r="AR42" s="244" t="str">
        <f t="shared" ca="1" si="17"/>
        <v/>
      </c>
      <c r="AS42" s="757">
        <f t="shared" ca="1" si="17"/>
        <v>1.7023888306631878</v>
      </c>
      <c r="AT42" s="757">
        <f t="shared" ca="1" si="17"/>
        <v>4.1902677751873378</v>
      </c>
      <c r="AU42" s="244" t="str">
        <f t="shared" ca="1" si="17"/>
        <v/>
      </c>
      <c r="AV42" s="244" t="str">
        <f t="shared" ca="1" si="17"/>
        <v/>
      </c>
      <c r="AW42" s="244" t="str">
        <f t="shared" ca="1" si="17"/>
        <v/>
      </c>
      <c r="AX42" s="244" t="str">
        <f t="shared" ca="1" si="17"/>
        <v/>
      </c>
      <c r="AY42" s="244" t="str">
        <f t="shared" ca="1" si="17"/>
        <v/>
      </c>
      <c r="AZ42" s="244" t="str">
        <f t="shared" ca="1" si="17"/>
        <v/>
      </c>
      <c r="BA42" s="244" t="str">
        <f t="shared" ca="1" si="17"/>
        <v/>
      </c>
      <c r="BB42" s="244">
        <f t="shared" ca="1" si="17"/>
        <v>4.6113620162580409</v>
      </c>
      <c r="BC42" s="244" t="str">
        <f t="shared" ca="1" si="17"/>
        <v/>
      </c>
      <c r="BD42" s="244" t="str">
        <f t="shared" ca="1" si="17"/>
        <v/>
      </c>
      <c r="BE42" s="479">
        <f t="shared" ca="1" si="48"/>
        <v>8.968990256943778</v>
      </c>
      <c r="BF42" s="400">
        <f t="shared" ca="1" si="18"/>
        <v>1.7719298245614032</v>
      </c>
      <c r="BG42" s="400">
        <f t="shared" ca="1" si="19"/>
        <v>26.493731890352418</v>
      </c>
      <c r="BH42" s="10">
        <f t="shared" ca="1" si="49"/>
        <v>3.2113419110378785</v>
      </c>
      <c r="BI42" s="400">
        <f t="shared" ca="1" si="50"/>
        <v>22.98878356367069</v>
      </c>
      <c r="BJ42" s="400">
        <f t="shared" ca="1" si="64"/>
        <v>5.7576483459058991</v>
      </c>
      <c r="BK42" s="400">
        <f t="shared" ca="1" si="20"/>
        <v>14.019793306726912</v>
      </c>
      <c r="BL42" s="400"/>
      <c r="BM42" s="400"/>
      <c r="BN42" s="400"/>
      <c r="BO42" s="400"/>
      <c r="BP42" s="400"/>
      <c r="BQ42" s="400"/>
      <c r="BR42" s="400"/>
      <c r="BS42" s="400"/>
      <c r="BT42" s="400"/>
      <c r="BU42" s="688"/>
      <c r="BV42" s="246">
        <f t="shared" ca="1" si="65"/>
        <v>8.64</v>
      </c>
      <c r="BW42" s="244">
        <f t="shared" ca="1" si="21"/>
        <v>7.12</v>
      </c>
      <c r="BX42" s="244">
        <f t="shared" ca="1" si="22"/>
        <v>10.120000000000001</v>
      </c>
      <c r="BY42" s="244">
        <f t="shared" ca="1" si="23"/>
        <v>3.96</v>
      </c>
      <c r="BZ42" s="252">
        <f t="shared" ca="1" si="24"/>
        <v>2.169519848073016</v>
      </c>
      <c r="CA42" s="244">
        <f ca="1">INDEX(INDIRECT("CAM_WTPCore2_"&amp;$B42&amp;"_UnitValues"),1,MATCH("MEAN",LMH,0))</f>
        <v>9.4166450083520168</v>
      </c>
      <c r="CB42" s="244">
        <f ca="1">INDEX(INDIRECT("CAM_WTPCore2_"&amp;$B42&amp;"_UnitValues"),1,MATCH("LOW",LMH,0))</f>
        <v>8.4339025430467487</v>
      </c>
      <c r="CC42" s="244">
        <f ca="1">INDEX(INDIRECT("CAM_WTPCore2_"&amp;$B42&amp;"_UnitValues"),1,MATCH("HIGH",LMH,0))</f>
        <v>10.399387473657285</v>
      </c>
      <c r="CD42" s="244">
        <f ca="1">INDEX(INDIRECT("CAM_WTPCore2_LowBill_"&amp;$B42&amp;"_UnitValues"),1,MATCH("MEAN",LMH,0))</f>
        <v>9.504174351220037</v>
      </c>
      <c r="CE42" s="852" t="str">
        <f>IFERROR(INDEX('Customer priorities (2022)'!CAM_Priorities_output_WTP,MATCH($A42,'Customer priorities (2022)'!Priorities_WTP_options,0)),"x")</f>
        <v>x</v>
      </c>
      <c r="CF42" s="852" t="str">
        <f>IFERROR(INDEX('Contacts (2022)'!CAM_Contacts_output_WTP,MATCH($A42,'Contacts (2022)'!Contacts_WTP_options,0)),"x")</f>
        <v>x</v>
      </c>
      <c r="CG42" s="852" t="str">
        <f>IFERROR(INDEX('Satisfaction (2022)'!CAM_Satisfaction_output_WTP,MATCH($A42,'Satisfaction (2022)'!Satisfaction_WTP_options,0)),"x")</f>
        <v>x</v>
      </c>
      <c r="CH42" s="853" t="s">
        <v>128</v>
      </c>
      <c r="CI42" s="367" t="str">
        <f t="shared" si="52"/>
        <v>x</v>
      </c>
      <c r="CJ42" s="367">
        <f t="shared" ca="1" si="53"/>
        <v>1.6568526033734807</v>
      </c>
      <c r="CK42" s="853" t="s">
        <v>128</v>
      </c>
      <c r="CL42" s="90">
        <f t="shared" ca="1" si="67"/>
        <v>7.292378240383063</v>
      </c>
      <c r="CM42" s="852" t="s">
        <v>128</v>
      </c>
      <c r="CN42" s="852" t="s">
        <v>128</v>
      </c>
      <c r="CO42" s="854" t="str">
        <f t="shared" si="28"/>
        <v>x</v>
      </c>
      <c r="CP42" s="852" t="str">
        <f t="shared" si="29"/>
        <v>x</v>
      </c>
      <c r="CQ42" s="854">
        <f t="shared" ca="1" si="30"/>
        <v>2.4442584447778373</v>
      </c>
      <c r="CR42" s="854">
        <f t="shared" ca="1" si="31"/>
        <v>2.1269617075557359</v>
      </c>
      <c r="CS42" s="853" t="s">
        <v>128</v>
      </c>
      <c r="CT42" s="244" t="str">
        <f t="shared" ca="1" si="54"/>
        <v/>
      </c>
      <c r="CU42" s="244" t="str">
        <f t="shared" ca="1" si="54"/>
        <v/>
      </c>
      <c r="CV42" s="244" t="str">
        <f t="shared" ca="1" si="54"/>
        <v/>
      </c>
      <c r="CW42" s="244" t="str">
        <f t="shared" ca="1" si="54"/>
        <v/>
      </c>
      <c r="CX42" s="244" t="str">
        <f t="shared" ca="1" si="54"/>
        <v/>
      </c>
      <c r="CY42" s="244"/>
      <c r="CZ42" s="244" t="str">
        <f t="shared" ca="1" si="55"/>
        <v/>
      </c>
      <c r="DA42" s="244" t="str">
        <f t="shared" ca="1" si="55"/>
        <v/>
      </c>
      <c r="DB42" s="244" t="str">
        <f t="shared" ca="1" si="55"/>
        <v/>
      </c>
      <c r="DC42" s="244" t="str">
        <f t="shared" ca="1" si="55"/>
        <v/>
      </c>
      <c r="DD42" s="244" t="str">
        <f t="shared" ca="1" si="55"/>
        <v/>
      </c>
      <c r="DE42" s="244" t="str">
        <f t="shared" ca="1" si="55"/>
        <v/>
      </c>
      <c r="DF42" s="244" t="str">
        <f t="shared" ca="1" si="55"/>
        <v/>
      </c>
      <c r="DG42" s="244" t="str">
        <f t="shared" ca="1" si="55"/>
        <v/>
      </c>
      <c r="DH42" s="244" t="str">
        <f t="shared" ca="1" si="55"/>
        <v/>
      </c>
      <c r="DI42" s="244" t="str">
        <f t="shared" ca="1" si="68"/>
        <v/>
      </c>
      <c r="DJ42" s="244" t="str">
        <f t="shared" ca="1" si="68"/>
        <v/>
      </c>
      <c r="DK42" s="244">
        <f t="shared" ca="1" si="68"/>
        <v>2.8790240522073351</v>
      </c>
      <c r="DL42" s="244">
        <f t="shared" ca="1" si="68"/>
        <v>8.3401703368690967</v>
      </c>
      <c r="DM42" s="244" t="str">
        <f t="shared" ca="1" si="68"/>
        <v/>
      </c>
      <c r="DN42" s="244" t="str">
        <f t="shared" ca="1" si="68"/>
        <v/>
      </c>
      <c r="DO42" s="244" t="str">
        <f t="shared" ca="1" si="68"/>
        <v/>
      </c>
      <c r="DP42" s="244" t="str">
        <f t="shared" ca="1" si="68"/>
        <v/>
      </c>
      <c r="DQ42" s="244" t="str">
        <f t="shared" ca="1" si="68"/>
        <v/>
      </c>
      <c r="DR42" s="244" t="str">
        <f t="shared" ca="1" si="68"/>
        <v/>
      </c>
      <c r="DS42" s="244" t="str">
        <f t="shared" ca="1" si="68"/>
        <v/>
      </c>
      <c r="DT42" s="244">
        <f t="shared" ca="1" si="68"/>
        <v>10.657940332072757</v>
      </c>
      <c r="DU42" s="244" t="str">
        <f t="shared" ca="1" si="68"/>
        <v/>
      </c>
      <c r="DV42" s="244" t="str">
        <f t="shared" ca="1" si="68"/>
        <v/>
      </c>
      <c r="DW42" s="244"/>
      <c r="DX42" s="244"/>
      <c r="DY42" s="244"/>
      <c r="DZ42" s="244"/>
      <c r="EA42" s="244"/>
      <c r="EB42" s="244"/>
      <c r="EC42" s="244"/>
      <c r="ED42" s="244"/>
      <c r="EE42" s="244"/>
      <c r="EF42" s="244"/>
      <c r="EG42" s="244"/>
      <c r="EH42" s="244"/>
      <c r="EI42" s="244"/>
      <c r="EJ42" s="244"/>
      <c r="EK42" s="244"/>
      <c r="EL42" s="244"/>
      <c r="EM42" s="244"/>
      <c r="EN42" s="244"/>
      <c r="EO42" s="856">
        <f t="shared" ca="1" si="56"/>
        <v>5.9530828882440447</v>
      </c>
      <c r="EP42" s="400">
        <f t="shared" ca="1" si="57"/>
        <v>1.6568526033734807</v>
      </c>
      <c r="EQ42" s="400">
        <f t="shared" ca="1" si="58"/>
        <v>9.4166450083520168</v>
      </c>
      <c r="ER42" s="10">
        <f t="shared" ca="1" si="59"/>
        <v>2.5160986603475939</v>
      </c>
      <c r="ES42" s="400">
        <f t="shared" ca="1" si="60"/>
        <v>8.7239325843304218</v>
      </c>
      <c r="ET42" s="400">
        <f t="shared" ca="1" si="61"/>
        <v>3.4369842278964509</v>
      </c>
      <c r="EU42" s="400">
        <f t="shared" ca="1" si="62"/>
        <v>2.7708496960863771</v>
      </c>
      <c r="EX42" s="479">
        <f t="shared" ca="1" si="34"/>
        <v>8.3621547835250585</v>
      </c>
      <c r="EY42" s="592">
        <f t="shared" ca="1" si="35"/>
        <v>1.7487749555743657</v>
      </c>
      <c r="EZ42" s="244">
        <f t="shared" ca="1" si="36"/>
        <v>23.057624332738936</v>
      </c>
      <c r="FA42" s="244">
        <f t="shared" ca="1" si="37"/>
        <v>3.0714509211645042</v>
      </c>
      <c r="FB42" s="244">
        <f t="shared" ca="1" si="38"/>
        <v>20.118530422896161</v>
      </c>
      <c r="FC42" s="260">
        <f t="shared" ca="1" si="39"/>
        <v>5.2907038623605525</v>
      </c>
      <c r="FD42" s="589">
        <f t="shared" ca="1" si="40"/>
        <v>11.756375639371104</v>
      </c>
      <c r="FE42" s="260"/>
      <c r="FF42" s="260"/>
      <c r="FG42" s="260"/>
      <c r="FH42" s="260"/>
    </row>
    <row r="43" spans="1:164" x14ac:dyDescent="0.35">
      <c r="A43" s="7" t="s">
        <v>151</v>
      </c>
      <c r="B43" s="7" t="s">
        <v>152</v>
      </c>
      <c r="C43" s="7" t="s">
        <v>150</v>
      </c>
      <c r="D43" s="246">
        <f t="shared" ca="1" si="63"/>
        <v>0.44199999999999995</v>
      </c>
      <c r="E43" s="244">
        <f t="shared" ca="1" si="6"/>
        <v>0.4</v>
      </c>
      <c r="F43" s="244">
        <f t="shared" ca="1" si="7"/>
        <v>0.48</v>
      </c>
      <c r="G43" s="90">
        <f t="shared" ca="1" si="8"/>
        <v>0.40200000000000002</v>
      </c>
      <c r="H43" s="252">
        <f t="shared" ca="1" si="9"/>
        <v>0.23990174605107395</v>
      </c>
      <c r="I43" s="853" t="s">
        <v>128</v>
      </c>
      <c r="J43" s="853" t="s">
        <v>128</v>
      </c>
      <c r="K43" s="853" t="s">
        <v>128</v>
      </c>
      <c r="L43" s="853" t="s">
        <v>128</v>
      </c>
      <c r="M43" s="852" t="str">
        <f>IFERROR(INDEX('Customer priorities (2022)'!SSW_Priorities_output_WTP,MATCH($A43,'Customer priorities (2022)'!Priorities_WTP_options,0)),"x")</f>
        <v>x</v>
      </c>
      <c r="N43" s="852" t="str">
        <f>IFERROR(INDEX('Contacts (2022)'!SSW_Contacts_output_WTP,MATCH($A43,'Contacts (2022)'!Contacts_WTP_options,0)),"x")</f>
        <v>x</v>
      </c>
      <c r="O43" s="852" t="str">
        <f>IFERROR(INDEX('Satisfaction (2022)'!SSW_Satisfaction_output_WTP,MATCH($A43,'Satisfaction (2022)'!Satisfaction_WTP_options,0)),"x")</f>
        <v>x</v>
      </c>
      <c r="P43" s="367" t="str">
        <f t="shared" si="12"/>
        <v>x</v>
      </c>
      <c r="Q43" s="367">
        <f t="shared" ca="1" si="43"/>
        <v>0.42288809069532801</v>
      </c>
      <c r="R43" s="367">
        <f t="shared" ca="1" si="44"/>
        <v>0.88494403629728691</v>
      </c>
      <c r="S43" s="853" t="s">
        <v>128</v>
      </c>
      <c r="T43" s="853" t="s">
        <v>128</v>
      </c>
      <c r="U43" s="852" t="s">
        <v>128</v>
      </c>
      <c r="V43" s="852" t="s">
        <v>128</v>
      </c>
      <c r="W43" s="852">
        <f t="shared" si="45"/>
        <v>0</v>
      </c>
      <c r="X43" s="852" t="str">
        <f t="shared" si="13"/>
        <v>x</v>
      </c>
      <c r="Y43" s="852" t="str">
        <f t="shared" si="14"/>
        <v>x</v>
      </c>
      <c r="Z43" s="852" t="str">
        <f t="shared" si="15"/>
        <v>x</v>
      </c>
      <c r="AA43" s="853" t="s">
        <v>128</v>
      </c>
      <c r="AB43" s="244" t="str">
        <f t="shared" ca="1" si="46"/>
        <v/>
      </c>
      <c r="AC43" s="244" t="str">
        <f t="shared" ca="1" si="46"/>
        <v/>
      </c>
      <c r="AD43" s="244" t="str">
        <f t="shared" ca="1" si="46"/>
        <v/>
      </c>
      <c r="AE43" s="244" t="str">
        <f t="shared" ca="1" si="46"/>
        <v/>
      </c>
      <c r="AF43" s="244" t="str">
        <f t="shared" ca="1" si="46"/>
        <v/>
      </c>
      <c r="AG43" s="244"/>
      <c r="AH43" s="244" t="str">
        <f t="shared" ca="1" si="47"/>
        <v/>
      </c>
      <c r="AI43" s="244" t="str">
        <f t="shared" ca="1" si="47"/>
        <v/>
      </c>
      <c r="AJ43" s="244" t="str">
        <f t="shared" ca="1" si="47"/>
        <v/>
      </c>
      <c r="AK43" s="244" t="str">
        <f t="shared" ca="1" si="47"/>
        <v/>
      </c>
      <c r="AL43" s="244" t="str">
        <f t="shared" ca="1" si="47"/>
        <v/>
      </c>
      <c r="AM43" s="244" t="str">
        <f t="shared" ca="1" si="47"/>
        <v/>
      </c>
      <c r="AN43" s="244" t="str">
        <f t="shared" ca="1" si="47"/>
        <v/>
      </c>
      <c r="AO43" s="244" t="str">
        <f t="shared" ca="1" si="47"/>
        <v/>
      </c>
      <c r="AP43" s="244" t="str">
        <f t="shared" ca="1" si="47"/>
        <v/>
      </c>
      <c r="AQ43" s="244" t="str">
        <f t="shared" ca="1" si="17"/>
        <v/>
      </c>
      <c r="AR43" s="244" t="str">
        <f t="shared" ca="1" si="17"/>
        <v/>
      </c>
      <c r="AS43" s="757" t="str">
        <f t="shared" ca="1" si="17"/>
        <v/>
      </c>
      <c r="AT43" s="757" t="str">
        <f t="shared" ca="1" si="17"/>
        <v/>
      </c>
      <c r="AU43" s="244" t="str">
        <f t="shared" ca="1" si="17"/>
        <v/>
      </c>
      <c r="AV43" s="244" t="str">
        <f t="shared" ca="1" si="17"/>
        <v/>
      </c>
      <c r="AW43" s="244" t="str">
        <f t="shared" ca="1" si="17"/>
        <v/>
      </c>
      <c r="AX43" s="244" t="str">
        <f t="shared" ca="1" si="17"/>
        <v/>
      </c>
      <c r="AY43" s="244" t="str">
        <f t="shared" ca="1" si="17"/>
        <v/>
      </c>
      <c r="AZ43" s="244" t="str">
        <f t="shared" ca="1" si="17"/>
        <v/>
      </c>
      <c r="BA43" s="244" t="str">
        <f t="shared" ca="1" si="17"/>
        <v/>
      </c>
      <c r="BB43" s="244" t="str">
        <f t="shared" ca="1" si="17"/>
        <v/>
      </c>
      <c r="BC43" s="244" t="str">
        <f t="shared" ca="1" si="17"/>
        <v/>
      </c>
      <c r="BD43" s="244" t="str">
        <f t="shared" ca="1" si="17"/>
        <v/>
      </c>
      <c r="BE43" s="650">
        <f t="shared" ca="1" si="48"/>
        <v>0.30143035209488078</v>
      </c>
      <c r="BF43" s="10">
        <f t="shared" ca="1" si="18"/>
        <v>0</v>
      </c>
      <c r="BG43" s="400">
        <f t="shared" ca="1" si="19"/>
        <v>0.88494403629728691</v>
      </c>
      <c r="BH43" s="10">
        <f t="shared" ca="1" si="49"/>
        <v>6.0286070418976156E-2</v>
      </c>
      <c r="BI43" s="400">
        <f t="shared" ca="1" si="50"/>
        <v>0.76824129945680575</v>
      </c>
      <c r="BJ43" s="400">
        <f t="shared" ca="1" si="64"/>
        <v>0.24114428167590463</v>
      </c>
      <c r="BK43" s="400">
        <f t="shared" ca="1" si="20"/>
        <v>0.46681094736192497</v>
      </c>
      <c r="BL43" s="400"/>
      <c r="BM43" s="400"/>
      <c r="BN43" s="400"/>
      <c r="BO43" s="400"/>
      <c r="BP43" s="400"/>
      <c r="BQ43" s="400"/>
      <c r="BR43" s="400"/>
      <c r="BS43" s="400"/>
      <c r="BT43" s="400"/>
      <c r="BU43" s="688"/>
      <c r="BV43" s="246">
        <f t="shared" ca="1" si="65"/>
        <v>2.8979999999999997</v>
      </c>
      <c r="BW43" s="244">
        <f t="shared" ca="1" si="21"/>
        <v>2.5300000000000002</v>
      </c>
      <c r="BX43" s="244">
        <f t="shared" ca="1" si="22"/>
        <v>3.27</v>
      </c>
      <c r="BY43" s="244">
        <f t="shared" ca="1" si="23"/>
        <v>3.8879999999999999</v>
      </c>
      <c r="BZ43" s="89">
        <f t="shared" ca="1" si="24"/>
        <v>0.33535586699323794</v>
      </c>
      <c r="CA43" s="853" t="s">
        <v>128</v>
      </c>
      <c r="CB43" s="853" t="s">
        <v>128</v>
      </c>
      <c r="CC43" s="853" t="s">
        <v>128</v>
      </c>
      <c r="CD43" s="853" t="s">
        <v>128</v>
      </c>
      <c r="CE43" s="852" t="str">
        <f>IFERROR(INDEX('Customer priorities (2022)'!CAM_Priorities_output_WTP,MATCH($A43,'Customer priorities (2022)'!Priorities_WTP_options,0)),"x")</f>
        <v>x</v>
      </c>
      <c r="CF43" s="852" t="str">
        <f>IFERROR(INDEX('Contacts (2022)'!CAM_Contacts_output_WTP,MATCH($A43,'Contacts (2022)'!Contacts_WTP_options,0)),"x")</f>
        <v>x</v>
      </c>
      <c r="CG43" s="852" t="str">
        <f>IFERROR(INDEX('Satisfaction (2022)'!CAM_Satisfaction_output_WTP,MATCH($A43,'Satisfaction (2022)'!Satisfaction_WTP_options,0)),"x")</f>
        <v>x</v>
      </c>
      <c r="CH43" s="853" t="s">
        <v>128</v>
      </c>
      <c r="CI43" s="324">
        <f t="shared" ca="1" si="52"/>
        <v>0.32879665437162059</v>
      </c>
      <c r="CJ43" s="324">
        <f t="shared" ca="1" si="53"/>
        <v>0.647248916217667</v>
      </c>
      <c r="CK43" s="853" t="s">
        <v>128</v>
      </c>
      <c r="CL43" s="853" t="s">
        <v>128</v>
      </c>
      <c r="CM43" s="852" t="s">
        <v>128</v>
      </c>
      <c r="CN43" s="852" t="s">
        <v>128</v>
      </c>
      <c r="CO43" s="854">
        <f t="shared" si="28"/>
        <v>0</v>
      </c>
      <c r="CP43" s="852" t="str">
        <f t="shared" si="29"/>
        <v>x</v>
      </c>
      <c r="CQ43" s="854" t="str">
        <f t="shared" si="30"/>
        <v>x</v>
      </c>
      <c r="CR43" s="854" t="str">
        <f t="shared" si="31"/>
        <v>x</v>
      </c>
      <c r="CS43" s="853" t="s">
        <v>128</v>
      </c>
      <c r="CT43" s="244" t="str">
        <f t="shared" ca="1" si="54"/>
        <v/>
      </c>
      <c r="CU43" s="244" t="str">
        <f t="shared" ca="1" si="54"/>
        <v/>
      </c>
      <c r="CV43" s="244" t="str">
        <f t="shared" ca="1" si="54"/>
        <v/>
      </c>
      <c r="CW43" s="244" t="str">
        <f t="shared" ca="1" si="54"/>
        <v/>
      </c>
      <c r="CX43" s="244" t="str">
        <f t="shared" ca="1" si="54"/>
        <v/>
      </c>
      <c r="CY43" s="244"/>
      <c r="CZ43" s="244" t="str">
        <f t="shared" ca="1" si="55"/>
        <v/>
      </c>
      <c r="DA43" s="244" t="str">
        <f t="shared" ca="1" si="55"/>
        <v/>
      </c>
      <c r="DB43" s="244" t="str">
        <f t="shared" ca="1" si="55"/>
        <v/>
      </c>
      <c r="DC43" s="244" t="str">
        <f t="shared" ca="1" si="55"/>
        <v/>
      </c>
      <c r="DD43" s="244" t="str">
        <f t="shared" ca="1" si="55"/>
        <v/>
      </c>
      <c r="DE43" s="244" t="str">
        <f t="shared" ca="1" si="55"/>
        <v/>
      </c>
      <c r="DF43" s="244" t="str">
        <f t="shared" ca="1" si="55"/>
        <v/>
      </c>
      <c r="DG43" s="244" t="str">
        <f t="shared" ca="1" si="55"/>
        <v/>
      </c>
      <c r="DH43" s="244" t="str">
        <f t="shared" ca="1" si="55"/>
        <v/>
      </c>
      <c r="DI43" s="244" t="str">
        <f t="shared" ca="1" si="68"/>
        <v/>
      </c>
      <c r="DJ43" s="244" t="str">
        <f t="shared" ca="1" si="68"/>
        <v/>
      </c>
      <c r="DK43" s="244" t="str">
        <f t="shared" ca="1" si="68"/>
        <v/>
      </c>
      <c r="DL43" s="244" t="str">
        <f t="shared" ca="1" si="68"/>
        <v/>
      </c>
      <c r="DM43" s="244" t="str">
        <f t="shared" ca="1" si="68"/>
        <v/>
      </c>
      <c r="DN43" s="244" t="str">
        <f t="shared" ca="1" si="68"/>
        <v/>
      </c>
      <c r="DO43" s="244" t="str">
        <f t="shared" ca="1" si="68"/>
        <v/>
      </c>
      <c r="DP43" s="244" t="str">
        <f t="shared" ca="1" si="68"/>
        <v/>
      </c>
      <c r="DQ43" s="244" t="str">
        <f t="shared" ca="1" si="68"/>
        <v/>
      </c>
      <c r="DR43" s="244" t="str">
        <f t="shared" ca="1" si="68"/>
        <v/>
      </c>
      <c r="DS43" s="244" t="str">
        <f t="shared" ca="1" si="68"/>
        <v/>
      </c>
      <c r="DT43" s="244" t="str">
        <f t="shared" ca="1" si="68"/>
        <v/>
      </c>
      <c r="DU43" s="244" t="str">
        <f t="shared" ca="1" si="68"/>
        <v/>
      </c>
      <c r="DV43" s="244" t="str">
        <f t="shared" ca="1" si="68"/>
        <v/>
      </c>
      <c r="DW43" s="244"/>
      <c r="DX43" s="244"/>
      <c r="DY43" s="244"/>
      <c r="DZ43" s="244"/>
      <c r="EA43" s="244"/>
      <c r="EB43" s="244"/>
      <c r="EC43" s="244"/>
      <c r="ED43" s="244"/>
      <c r="EE43" s="244"/>
      <c r="EF43" s="244"/>
      <c r="EG43" s="244"/>
      <c r="EH43" s="244"/>
      <c r="EI43" s="244"/>
      <c r="EJ43" s="244"/>
      <c r="EK43" s="244"/>
      <c r="EL43" s="244"/>
      <c r="EM43" s="244"/>
      <c r="EN43" s="244"/>
      <c r="EO43" s="856">
        <f t="shared" ca="1" si="56"/>
        <v>1.1730364943256839</v>
      </c>
      <c r="EP43" s="400">
        <f t="shared" ca="1" si="57"/>
        <v>0</v>
      </c>
      <c r="EQ43" s="400">
        <f t="shared" ca="1" si="58"/>
        <v>2.8979999999999997</v>
      </c>
      <c r="ER43" s="10">
        <f t="shared" ca="1" si="59"/>
        <v>0.23460729886513679</v>
      </c>
      <c r="ES43" s="400">
        <f t="shared" ca="1" si="60"/>
        <v>2.5530072988651367</v>
      </c>
      <c r="ET43" s="400">
        <f t="shared" ca="1" si="61"/>
        <v>0.93842919546054715</v>
      </c>
      <c r="EU43" s="400">
        <f t="shared" ca="1" si="62"/>
        <v>1.3799708045394528</v>
      </c>
      <c r="EX43" s="479">
        <f t="shared" ca="1" si="34"/>
        <v>0.47680759724658828</v>
      </c>
      <c r="EY43" s="592">
        <f t="shared" ca="1" si="35"/>
        <v>0</v>
      </c>
      <c r="EZ43" s="244">
        <f t="shared" ca="1" si="36"/>
        <v>1.289994198457469</v>
      </c>
      <c r="FA43" s="244">
        <f t="shared" ca="1" si="37"/>
        <v>9.5361519449317672E-2</v>
      </c>
      <c r="FB43" s="244">
        <f t="shared" ca="1" si="38"/>
        <v>1.127356878215293</v>
      </c>
      <c r="FC43" s="260">
        <f t="shared" ca="1" si="39"/>
        <v>0.38144607779727069</v>
      </c>
      <c r="FD43" s="589">
        <f t="shared" ca="1" si="40"/>
        <v>0.65054928096870468</v>
      </c>
      <c r="FE43" s="260"/>
      <c r="FF43" s="260"/>
      <c r="FG43" s="260"/>
      <c r="FH43" s="260"/>
    </row>
    <row r="44" spans="1:164" x14ac:dyDescent="0.35">
      <c r="A44" s="200" t="s">
        <v>153</v>
      </c>
      <c r="B44" s="7" t="s">
        <v>154</v>
      </c>
      <c r="C44" s="7" t="s">
        <v>155</v>
      </c>
      <c r="D44" s="244">
        <f t="shared" ca="1" si="63"/>
        <v>10249.302999999998</v>
      </c>
      <c r="E44" s="244">
        <f t="shared" ca="1" si="6"/>
        <v>9170.4290000000001</v>
      </c>
      <c r="F44" s="244">
        <f t="shared" ca="1" si="7"/>
        <v>11507.989333333333</v>
      </c>
      <c r="G44" s="244">
        <f t="shared" ca="1" si="8"/>
        <v>10968.552333333333</v>
      </c>
      <c r="H44" s="245">
        <f t="shared" ca="1" si="9"/>
        <v>23078.283602964795</v>
      </c>
      <c r="I44" s="244">
        <f ca="1">INDEX(INDIRECT("SSW_WTPCore2_"&amp;$B44&amp;"_UnitValues"),1,MATCH("MEAN",LMH,0))</f>
        <v>4792.0052108349018</v>
      </c>
      <c r="J44" s="244">
        <f ca="1">INDEX(INDIRECT("SSW_WTPCore2_"&amp;$B44&amp;"_UnitValues"),1,MATCH("LOW",LMH,0))</f>
        <v>4335.0331546150956</v>
      </c>
      <c r="K44" s="244">
        <f ca="1">INDEX(INDIRECT("SSW_WTPCore2_"&amp;$B44&amp;"_UnitValues"),1,MATCH("HIGH",LMH,0))</f>
        <v>5248.9772670547072</v>
      </c>
      <c r="L44" s="244">
        <f ca="1">INDEX(INDIRECT("SSW_WTPCore2_LowBill_"&amp;$B44&amp;"_UnitValues"),1,MATCH("MEAN",LMH,0))</f>
        <v>3704.3241532489101</v>
      </c>
      <c r="M44" s="852">
        <f ca="1">IFERROR(INDEX('Customer priorities (2022)'!SSW_Priorities_output_WTP,MATCH($A44,'Customer priorities (2022)'!Priorities_WTP_options,0)),"x")</f>
        <v>6510.2231860489319</v>
      </c>
      <c r="N44" s="852" t="str">
        <f>IFERROR(INDEX('Contacts (2022)'!SSW_Contacts_output_WTP,MATCH($A44,'Contacts (2022)'!Contacts_WTP_options,0)),"x")</f>
        <v>x</v>
      </c>
      <c r="O44" s="852" t="str">
        <f>IFERROR(INDEX('Satisfaction (2022)'!SSW_Satisfaction_output_WTP,MATCH($A44,'Satisfaction (2022)'!Satisfaction_WTP_options,0)),"x")</f>
        <v>x</v>
      </c>
      <c r="P44" s="367" t="str">
        <f t="shared" si="12"/>
        <v>x</v>
      </c>
      <c r="Q44" s="367" t="str">
        <f t="shared" si="43"/>
        <v>x</v>
      </c>
      <c r="R44" s="367" t="str">
        <f t="shared" si="44"/>
        <v>x</v>
      </c>
      <c r="S44" s="853" t="s">
        <v>128</v>
      </c>
      <c r="T44" s="244">
        <f ca="1">AVERAGE($AQ44:$BD44)</f>
        <v>13321.485909785073</v>
      </c>
      <c r="U44" s="852">
        <f>'WRMP MCDA'!C6</f>
        <v>13017.302123552123</v>
      </c>
      <c r="V44" s="852">
        <f>SRO!C6</f>
        <v>4030.1567374517372</v>
      </c>
      <c r="W44" s="859">
        <f t="shared" ca="1" si="45"/>
        <v>1383.1925071747357</v>
      </c>
      <c r="X44" s="852">
        <f t="shared" si="13"/>
        <v>0</v>
      </c>
      <c r="Y44" s="852">
        <f t="shared" ca="1" si="14"/>
        <v>2266.9200217538446</v>
      </c>
      <c r="Z44" s="852">
        <f t="shared" ca="1" si="15"/>
        <v>1972.6441328916392</v>
      </c>
      <c r="AA44" s="400">
        <f ca="1">INDEX(SSW_PC_Slider_output_WTP,MATCH($A44,PC_Slider_WTP_options,0))</f>
        <v>1392.3903047581116</v>
      </c>
      <c r="AB44" s="244" t="str">
        <f t="shared" ca="1" si="46"/>
        <v/>
      </c>
      <c r="AC44" s="244" t="str">
        <f t="shared" ca="1" si="46"/>
        <v/>
      </c>
      <c r="AD44" s="244" t="str">
        <f t="shared" ca="1" si="46"/>
        <v/>
      </c>
      <c r="AE44" s="244" t="str">
        <f t="shared" ca="1" si="46"/>
        <v/>
      </c>
      <c r="AF44" s="244" t="str">
        <f t="shared" ca="1" si="46"/>
        <v/>
      </c>
      <c r="AG44" s="244"/>
      <c r="AH44" s="244" t="str">
        <f t="shared" ca="1" si="47"/>
        <v/>
      </c>
      <c r="AI44" s="244" t="str">
        <f t="shared" ca="1" si="47"/>
        <v/>
      </c>
      <c r="AJ44" s="244" t="str">
        <f t="shared" ca="1" si="47"/>
        <v/>
      </c>
      <c r="AK44" s="244" t="str">
        <f t="shared" ca="1" si="47"/>
        <v/>
      </c>
      <c r="AL44" s="244" t="str">
        <f t="shared" ca="1" si="47"/>
        <v/>
      </c>
      <c r="AM44" s="244" t="str">
        <f t="shared" ca="1" si="47"/>
        <v/>
      </c>
      <c r="AN44" s="244" t="str">
        <f t="shared" ca="1" si="47"/>
        <v/>
      </c>
      <c r="AO44" s="244" t="str">
        <f t="shared" ca="1" si="47"/>
        <v/>
      </c>
      <c r="AP44" s="244" t="str">
        <f t="shared" ca="1" si="47"/>
        <v/>
      </c>
      <c r="AQ44" s="244" t="str">
        <f t="shared" ref="AQ44:AU46" ca="1" si="69">IFERROR(INDEX(INDIRECT("PR19_Comp"&amp;AQ$28&amp;"_UnitValues"),MATCH($B44,INDIRECT("PR19_Comp"&amp;AQ$28&amp;"_WTPCore_Options"),0)),"")</f>
        <v/>
      </c>
      <c r="AR44" s="244" t="str">
        <f t="shared" ca="1" si="69"/>
        <v/>
      </c>
      <c r="AS44" s="757">
        <f t="shared" ca="1" si="69"/>
        <v>9860.2361072011845</v>
      </c>
      <c r="AT44" s="757">
        <f t="shared" ca="1" si="69"/>
        <v>7005.5291104310591</v>
      </c>
      <c r="AU44" s="244">
        <f t="shared" ca="1" si="69"/>
        <v>1714.0661658855527</v>
      </c>
      <c r="AV44" s="244"/>
      <c r="AW44" s="244" t="str">
        <f t="shared" ref="AW44:BD46" ca="1" si="70">IFERROR(INDEX(INDIRECT("PR19_Comp"&amp;AW$28&amp;"_UnitValues"),MATCH($B44,INDIRECT("PR19_Comp"&amp;AW$28&amp;"_WTPCore_Options"),0)),"")</f>
        <v/>
      </c>
      <c r="AX44" s="244">
        <f t="shared" ca="1" si="70"/>
        <v>34706.112255622495</v>
      </c>
      <c r="AY44" s="244" t="str">
        <f t="shared" ca="1" si="70"/>
        <v/>
      </c>
      <c r="AZ44" s="244" t="str">
        <f t="shared" ca="1" si="70"/>
        <v/>
      </c>
      <c r="BA44" s="244" t="str">
        <f t="shared" ca="1" si="70"/>
        <v/>
      </c>
      <c r="BB44" s="244" t="str">
        <f t="shared" ca="1" si="70"/>
        <v/>
      </c>
      <c r="BC44" s="244" t="str">
        <f t="shared" ca="1" si="70"/>
        <v/>
      </c>
      <c r="BD44" s="244" t="str">
        <f t="shared" ca="1" si="70"/>
        <v/>
      </c>
      <c r="BE44" s="479">
        <f t="shared" ca="1" si="48"/>
        <v>5684.7330277583233</v>
      </c>
      <c r="BF44" s="400">
        <f t="shared" ca="1" si="18"/>
        <v>0</v>
      </c>
      <c r="BG44" s="400">
        <f t="shared" ca="1" si="19"/>
        <v>23078.283602964795</v>
      </c>
      <c r="BH44" s="10">
        <f t="shared" ca="1" si="49"/>
        <v>1136.9466055516648</v>
      </c>
      <c r="BI44" s="400">
        <f t="shared" ca="1" si="50"/>
        <v>19599.573487923502</v>
      </c>
      <c r="BJ44" s="400">
        <f t="shared" ca="1" si="64"/>
        <v>4547.7864222066582</v>
      </c>
      <c r="BK44" s="400">
        <f t="shared" ca="1" si="20"/>
        <v>13914.840460165178</v>
      </c>
      <c r="BL44" s="400"/>
      <c r="BM44" s="400"/>
      <c r="BN44" s="400"/>
      <c r="BO44" s="400"/>
      <c r="BP44" s="400"/>
      <c r="BQ44" s="400"/>
      <c r="BR44" s="400"/>
      <c r="BS44" s="400"/>
      <c r="BT44" s="400"/>
      <c r="BU44" s="688"/>
      <c r="BV44" s="244">
        <f t="shared" ca="1" si="65"/>
        <v>15354.666000000001</v>
      </c>
      <c r="BW44" s="244">
        <f t="shared" ca="1" si="21"/>
        <v>12637.026</v>
      </c>
      <c r="BX44" s="244">
        <f t="shared" ca="1" si="22"/>
        <v>18072.306</v>
      </c>
      <c r="BY44" s="244">
        <f t="shared" ca="1" si="23"/>
        <v>7201.746000000001</v>
      </c>
      <c r="BZ44" s="245">
        <f t="shared" ca="1" si="24"/>
        <v>36923.734604271165</v>
      </c>
      <c r="CA44" s="244">
        <f ca="1">INDEX(INDIRECT("CAM_WTPCore2_"&amp;$B44&amp;"_UnitValues"),1,MATCH("MEAN",LMH,0))</f>
        <v>2829.4955050473109</v>
      </c>
      <c r="CB44" s="244">
        <f ca="1">INDEX(INDIRECT("CAM_WTPCore2_"&amp;$B44&amp;"_UnitValues"),1,MATCH("LOW",LMH,0))</f>
        <v>2533.4300315637574</v>
      </c>
      <c r="CC44" s="244">
        <f ca="1">INDEX(INDIRECT("CAM_WTPCore2_"&amp;$B44&amp;"_UnitValues"),1,MATCH("HIGH",LMH,0))</f>
        <v>3125.5609785308643</v>
      </c>
      <c r="CD44" s="244">
        <f ca="1">INDEX(INDIRECT("CAM_WTPCore2_LowBill_"&amp;$B44&amp;"_UnitValues"),1,MATCH("MEAN",LMH,0))</f>
        <v>3910.6977978307964</v>
      </c>
      <c r="CE44" s="852">
        <f ca="1">IFERROR(INDEX('Customer priorities (2022)'!CAM_Priorities_output_WTP,MATCH($A44,'Customer priorities (2022)'!Priorities_WTP_options,0)),"x")</f>
        <v>10198.991008466774</v>
      </c>
      <c r="CF44" s="852" t="str">
        <f>IFERROR(INDEX('Contacts (2022)'!CAM_Contacts_output_WTP,MATCH($A44,'Contacts (2022)'!Contacts_WTP_options,0)),"x")</f>
        <v>x</v>
      </c>
      <c r="CG44" s="852" t="str">
        <f>IFERROR(INDEX('Satisfaction (2022)'!CAM_Satisfaction_output_WTP,MATCH($A44,'Satisfaction (2022)'!Satisfaction_WTP_options,0)),"x")</f>
        <v>x</v>
      </c>
      <c r="CH44" s="853" t="s">
        <v>128</v>
      </c>
      <c r="CI44" s="367" t="str">
        <f t="shared" si="52"/>
        <v>x</v>
      </c>
      <c r="CJ44" s="367" t="str">
        <f t="shared" si="53"/>
        <v>x</v>
      </c>
      <c r="CK44" s="853" t="s">
        <v>128</v>
      </c>
      <c r="CL44" s="244">
        <f t="shared" ca="1" si="67"/>
        <v>8927.1229065987827</v>
      </c>
      <c r="CM44" s="832">
        <f>'WRMP MCDA'!F6</f>
        <v>69952.12355212355</v>
      </c>
      <c r="CN44" s="832">
        <f>SRO!F6</f>
        <v>21657.177451737451</v>
      </c>
      <c r="CO44" s="854">
        <f t="shared" ca="1" si="28"/>
        <v>3761.133088588786</v>
      </c>
      <c r="CP44" s="852">
        <f t="shared" si="29"/>
        <v>0</v>
      </c>
      <c r="CQ44" s="854">
        <f t="shared" ca="1" si="30"/>
        <v>4284.8601154937251</v>
      </c>
      <c r="CR44" s="854">
        <f t="shared" ca="1" si="31"/>
        <v>3728.6291911395497</v>
      </c>
      <c r="CS44" s="400">
        <f ca="1">INDEX(CAM_PC_Slider_output_WTP,MATCH($A44,PC_Slider_WTP_options,0))</f>
        <v>1383.572496387641</v>
      </c>
      <c r="CT44" s="244" t="str">
        <f t="shared" ca="1" si="54"/>
        <v/>
      </c>
      <c r="CU44" s="244" t="str">
        <f t="shared" ca="1" si="54"/>
        <v/>
      </c>
      <c r="CV44" s="244" t="str">
        <f t="shared" ca="1" si="54"/>
        <v/>
      </c>
      <c r="CW44" s="244" t="str">
        <f t="shared" ca="1" si="54"/>
        <v/>
      </c>
      <c r="CX44" s="244" t="str">
        <f t="shared" ca="1" si="54"/>
        <v/>
      </c>
      <c r="CY44" s="244"/>
      <c r="CZ44" s="244" t="str">
        <f t="shared" ca="1" si="55"/>
        <v/>
      </c>
      <c r="DA44" s="244" t="str">
        <f t="shared" ca="1" si="55"/>
        <v/>
      </c>
      <c r="DB44" s="244" t="str">
        <f t="shared" ca="1" si="55"/>
        <v/>
      </c>
      <c r="DC44" s="244" t="str">
        <f t="shared" ca="1" si="55"/>
        <v/>
      </c>
      <c r="DD44" s="244" t="str">
        <f t="shared" ca="1" si="55"/>
        <v/>
      </c>
      <c r="DE44" s="244" t="str">
        <f t="shared" ca="1" si="55"/>
        <v/>
      </c>
      <c r="DF44" s="244" t="str">
        <f t="shared" ca="1" si="55"/>
        <v/>
      </c>
      <c r="DG44" s="244" t="str">
        <f t="shared" ca="1" si="55"/>
        <v/>
      </c>
      <c r="DH44" s="244" t="str">
        <f t="shared" ca="1" si="55"/>
        <v/>
      </c>
      <c r="DI44" s="244" t="str">
        <f t="shared" ca="1" si="68"/>
        <v/>
      </c>
      <c r="DJ44" s="244" t="str">
        <f t="shared" ca="1" si="68"/>
        <v/>
      </c>
      <c r="DK44" s="244">
        <f t="shared" ca="1" si="68"/>
        <v>16675.307310384887</v>
      </c>
      <c r="DL44" s="244">
        <f t="shared" ca="1" si="68"/>
        <v>13943.573350339862</v>
      </c>
      <c r="DM44" s="244">
        <f t="shared" ca="1" si="68"/>
        <v>3581.5256703257364</v>
      </c>
      <c r="DN44" s="244">
        <f t="shared" ca="1" si="68"/>
        <v>-6.2932297524285724E-2</v>
      </c>
      <c r="DO44" s="244" t="str">
        <f t="shared" ca="1" si="68"/>
        <v/>
      </c>
      <c r="DP44" s="244">
        <f t="shared" ca="1" si="68"/>
        <v>10435.271134240955</v>
      </c>
      <c r="DQ44" s="244" t="str">
        <f t="shared" ca="1" si="68"/>
        <v/>
      </c>
      <c r="DR44" s="244" t="str">
        <f t="shared" ca="1" si="68"/>
        <v/>
      </c>
      <c r="DS44" s="244" t="str">
        <f t="shared" ca="1" si="68"/>
        <v/>
      </c>
      <c r="DT44" s="244" t="str">
        <f t="shared" ca="1" si="68"/>
        <v/>
      </c>
      <c r="DU44" s="244" t="str">
        <f t="shared" ca="1" si="68"/>
        <v/>
      </c>
      <c r="DV44" s="244" t="str">
        <f t="shared" ca="1" si="68"/>
        <v/>
      </c>
      <c r="DW44" s="244"/>
      <c r="DX44" s="244"/>
      <c r="DY44" s="244"/>
      <c r="DZ44" s="244"/>
      <c r="EA44" s="244"/>
      <c r="EB44" s="244"/>
      <c r="EC44" s="244"/>
      <c r="ED44" s="244"/>
      <c r="EE44" s="244"/>
      <c r="EF44" s="244"/>
      <c r="EG44" s="244"/>
      <c r="EH44" s="244"/>
      <c r="EI44" s="244"/>
      <c r="EJ44" s="244"/>
      <c r="EK44" s="244"/>
      <c r="EL44" s="244"/>
      <c r="EM44" s="244"/>
      <c r="EN44" s="244"/>
      <c r="EO44" s="856">
        <f t="shared" ca="1" si="56"/>
        <v>11173.965899959267</v>
      </c>
      <c r="EP44" s="400">
        <f t="shared" ca="1" si="57"/>
        <v>0</v>
      </c>
      <c r="EQ44" s="400">
        <f t="shared" ca="1" si="58"/>
        <v>69952.12355212355</v>
      </c>
      <c r="ER44" s="10">
        <f t="shared" ca="1" si="59"/>
        <v>2234.7931799918533</v>
      </c>
      <c r="ES44" s="400">
        <f t="shared" ca="1" si="60"/>
        <v>58196.492021690698</v>
      </c>
      <c r="ET44" s="400">
        <f t="shared" ca="1" si="61"/>
        <v>8939.1727199674133</v>
      </c>
      <c r="EU44" s="400">
        <f t="shared" ca="1" si="62"/>
        <v>47022.526121731433</v>
      </c>
      <c r="EX44" s="479">
        <f t="shared" ca="1" si="34"/>
        <v>6789.2302226253551</v>
      </c>
      <c r="EY44" s="592">
        <f t="shared" ca="1" si="35"/>
        <v>0</v>
      </c>
      <c r="EZ44" s="244">
        <f t="shared" ca="1" si="36"/>
        <v>32509.842791987452</v>
      </c>
      <c r="FA44" s="244">
        <f t="shared" ca="1" si="37"/>
        <v>1357.8460445250712</v>
      </c>
      <c r="FB44" s="244">
        <f t="shared" ca="1" si="38"/>
        <v>27365.72027811503</v>
      </c>
      <c r="FC44" s="260">
        <f t="shared" ca="1" si="39"/>
        <v>5431.384178100283</v>
      </c>
      <c r="FD44" s="589">
        <f t="shared" ca="1" si="40"/>
        <v>20576.490055489678</v>
      </c>
      <c r="FE44" s="260"/>
      <c r="FF44" s="260"/>
      <c r="FG44" s="260"/>
      <c r="FH44" s="260"/>
    </row>
    <row r="45" spans="1:164" s="739" customFormat="1" x14ac:dyDescent="0.35">
      <c r="A45" s="770" t="s">
        <v>156</v>
      </c>
      <c r="B45" s="739" t="s">
        <v>157</v>
      </c>
      <c r="C45" s="739" t="s">
        <v>155</v>
      </c>
      <c r="D45" s="714">
        <f t="shared" ca="1" si="63"/>
        <v>1402.5362</v>
      </c>
      <c r="E45" s="714">
        <f t="shared" ca="1" si="6"/>
        <v>1213.73325</v>
      </c>
      <c r="F45" s="714">
        <f t="shared" ca="1" si="7"/>
        <v>1564.3673000000001</v>
      </c>
      <c r="G45" s="714">
        <f t="shared" ca="1" si="8"/>
        <v>1402.5362</v>
      </c>
      <c r="H45" s="771">
        <f t="shared" ca="1" si="9"/>
        <v>5868.452836244428</v>
      </c>
      <c r="I45" s="714">
        <f ca="1">INDEX(INDIRECT("SSW_WTPCore2_"&amp;$B45&amp;"_UnitValues"),1,MATCH("MEAN",LMH,0))</f>
        <v>7059.6638912984936</v>
      </c>
      <c r="J45" s="714">
        <f ca="1">INDEX(INDIRECT("SSW_WTPCore2_"&amp;$B45&amp;"_UnitValues"),1,MATCH("LOW",LMH,0))</f>
        <v>6389.9330398567126</v>
      </c>
      <c r="K45" s="714">
        <f ca="1">INDEX(INDIRECT("SSW_WTPCore2_"&amp;$B45&amp;"_UnitValues"),1,MATCH("HIGH",LMH,0))</f>
        <v>7729.3947427402736</v>
      </c>
      <c r="L45" s="714">
        <f ca="1">INDEX(INDIRECT("SSW_WTPCore2_LowBill_"&amp;$B45&amp;"_UnitValues"),1,MATCH("MEAN",LMH,0))</f>
        <v>4209.9800659098528</v>
      </c>
      <c r="M45" s="852" t="str">
        <f>IFERROR(INDEX('Customer priorities (2022)'!SSW_Priorities_output_WTP,MATCH($A45,'Customer priorities (2022)'!Priorities_WTP_options,0)),"x")</f>
        <v>x</v>
      </c>
      <c r="N45" s="852" t="str">
        <f>IFERROR(INDEX('Contacts (2022)'!SSW_Contacts_output_WTP,MATCH($A45,'Contacts (2022)'!Contacts_WTP_options,0)),"x")</f>
        <v>x</v>
      </c>
      <c r="O45" s="852" t="str">
        <f>IFERROR(INDEX('Satisfaction (2022)'!SSW_Satisfaction_output_WTP,MATCH($A45,'Satisfaction (2022)'!Satisfaction_WTP_options,0)),"x")</f>
        <v>x</v>
      </c>
      <c r="P45" s="367" t="str">
        <f t="shared" si="12"/>
        <v>x</v>
      </c>
      <c r="Q45" s="367" t="str">
        <f t="shared" si="43"/>
        <v>x</v>
      </c>
      <c r="R45" s="367" t="str">
        <f t="shared" si="44"/>
        <v>x</v>
      </c>
      <c r="S45" s="853" t="s">
        <v>128</v>
      </c>
      <c r="T45" s="853" t="s">
        <v>128</v>
      </c>
      <c r="U45" s="852" t="s">
        <v>128</v>
      </c>
      <c r="V45" s="852" t="s">
        <v>128</v>
      </c>
      <c r="W45" s="852" t="str">
        <f t="shared" si="45"/>
        <v>x</v>
      </c>
      <c r="X45" s="852" t="str">
        <f t="shared" si="13"/>
        <v>x</v>
      </c>
      <c r="Y45" s="852">
        <f t="shared" ca="1" si="14"/>
        <v>1433.9100780421329</v>
      </c>
      <c r="Z45" s="852">
        <f t="shared" ca="1" si="15"/>
        <v>1247.7697825244013</v>
      </c>
      <c r="AA45" s="853" t="s">
        <v>128</v>
      </c>
      <c r="AB45" s="714" t="str">
        <f t="shared" ca="1" si="46"/>
        <v/>
      </c>
      <c r="AC45" s="714" t="str">
        <f t="shared" ca="1" si="46"/>
        <v/>
      </c>
      <c r="AD45" s="714" t="str">
        <f t="shared" ca="1" si="46"/>
        <v/>
      </c>
      <c r="AE45" s="714" t="str">
        <f t="shared" ca="1" si="46"/>
        <v/>
      </c>
      <c r="AF45" s="714" t="str">
        <f t="shared" ca="1" si="46"/>
        <v/>
      </c>
      <c r="AG45" s="714"/>
      <c r="AH45" s="714" t="str">
        <f t="shared" ca="1" si="47"/>
        <v/>
      </c>
      <c r="AI45" s="714" t="str">
        <f t="shared" ca="1" si="47"/>
        <v/>
      </c>
      <c r="AJ45" s="714" t="str">
        <f t="shared" ca="1" si="47"/>
        <v/>
      </c>
      <c r="AK45" s="714" t="str">
        <f t="shared" ca="1" si="47"/>
        <v/>
      </c>
      <c r="AL45" s="714" t="str">
        <f t="shared" ca="1" si="47"/>
        <v/>
      </c>
      <c r="AM45" s="714" t="str">
        <f t="shared" ca="1" si="47"/>
        <v/>
      </c>
      <c r="AN45" s="714" t="str">
        <f t="shared" ca="1" si="47"/>
        <v/>
      </c>
      <c r="AO45" s="714" t="str">
        <f t="shared" ca="1" si="47"/>
        <v/>
      </c>
      <c r="AP45" s="714" t="str">
        <f t="shared" ca="1" si="47"/>
        <v/>
      </c>
      <c r="AQ45" s="714" t="str">
        <f t="shared" ca="1" si="69"/>
        <v/>
      </c>
      <c r="AR45" s="714" t="str">
        <f t="shared" ca="1" si="69"/>
        <v/>
      </c>
      <c r="AS45" s="772" t="str">
        <f t="shared" ca="1" si="69"/>
        <v/>
      </c>
      <c r="AT45" s="772" t="str">
        <f t="shared" ca="1" si="69"/>
        <v/>
      </c>
      <c r="AU45" s="714" t="str">
        <f t="shared" ca="1" si="69"/>
        <v/>
      </c>
      <c r="AV45" s="714" t="str">
        <f ca="1">IFERROR(INDEX(INDIRECT("PR19_Comp"&amp;AV$28&amp;"_UnitValues"),MATCH($B45,INDIRECT("PR19_Comp"&amp;AV$28&amp;"_WTPCore_Options"),0)),"")</f>
        <v/>
      </c>
      <c r="AW45" s="714" t="str">
        <f t="shared" ca="1" si="70"/>
        <v/>
      </c>
      <c r="AX45" s="714" t="str">
        <f t="shared" ca="1" si="70"/>
        <v/>
      </c>
      <c r="AY45" s="714" t="str">
        <f t="shared" ca="1" si="70"/>
        <v/>
      </c>
      <c r="AZ45" s="714" t="str">
        <f t="shared" ca="1" si="70"/>
        <v/>
      </c>
      <c r="BA45" s="714" t="str">
        <f t="shared" ca="1" si="70"/>
        <v/>
      </c>
      <c r="BB45" s="714" t="str">
        <f t="shared" ca="1" si="70"/>
        <v/>
      </c>
      <c r="BC45" s="714" t="str">
        <f t="shared" ca="1" si="70"/>
        <v/>
      </c>
      <c r="BD45" s="714" t="str">
        <f t="shared" ca="1" si="70"/>
        <v/>
      </c>
      <c r="BE45" s="773">
        <f t="shared" ca="1" si="48"/>
        <v>3335.7616640093811</v>
      </c>
      <c r="BF45" s="714">
        <f t="shared" ca="1" si="18"/>
        <v>1247.7697825244013</v>
      </c>
      <c r="BG45" s="714">
        <f t="shared" ca="1" si="19"/>
        <v>7059.6638912984936</v>
      </c>
      <c r="BH45" s="774">
        <f t="shared" ca="1" si="49"/>
        <v>1665.3681588213972</v>
      </c>
      <c r="BI45" s="714">
        <f t="shared" ca="1" si="50"/>
        <v>6314.8834458406718</v>
      </c>
      <c r="BJ45" s="714">
        <f t="shared" ca="1" si="64"/>
        <v>1670.3935051879839</v>
      </c>
      <c r="BK45" s="714">
        <f t="shared" ca="1" si="20"/>
        <v>2979.1217818312907</v>
      </c>
      <c r="BL45" s="714"/>
      <c r="BM45" s="714"/>
      <c r="BN45" s="714"/>
      <c r="BO45" s="714"/>
      <c r="BP45" s="714"/>
      <c r="BQ45" s="714"/>
      <c r="BR45" s="714"/>
      <c r="BS45" s="714"/>
      <c r="BT45" s="714"/>
      <c r="BU45" s="775"/>
      <c r="BV45" s="714">
        <f t="shared" ca="1" si="65"/>
        <v>1983.8771999999999</v>
      </c>
      <c r="BW45" s="714">
        <f t="shared" ca="1" si="21"/>
        <v>1630.5839999999998</v>
      </c>
      <c r="BX45" s="714">
        <f t="shared" ca="1" si="22"/>
        <v>2323.5821999999998</v>
      </c>
      <c r="BY45" s="714">
        <f t="shared" ca="1" si="23"/>
        <v>692.99820000000011</v>
      </c>
      <c r="BZ45" s="771">
        <f t="shared" ca="1" si="24"/>
        <v>3492.9994032609447</v>
      </c>
      <c r="CA45" s="714">
        <f ca="1">INDEX(INDIRECT("CAM_WTPCore2_"&amp;$B45&amp;"_UnitValues"),1,MATCH("MEAN",LMH,0))</f>
        <v>1814.3168952035446</v>
      </c>
      <c r="CB45" s="714">
        <f ca="1">INDEX(INDIRECT("CAM_WTPCore2_"&amp;$B45&amp;"_UnitValues"),1,MATCH("LOW",LMH,0))</f>
        <v>1624.7712249467284</v>
      </c>
      <c r="CC45" s="714">
        <f ca="1">INDEX(INDIRECT("CAM_WTPCore2_"&amp;$B45&amp;"_UnitValues"),1,MATCH("HIGH",LMH,0))</f>
        <v>2003.8625654603609</v>
      </c>
      <c r="CD45" s="714">
        <f ca="1">INDEX(INDIRECT("CAM_WTPCore2_LowBill_"&amp;$B45&amp;"_UnitValues"),1,MATCH("MEAN",LMH,0))</f>
        <v>1529.5517626987407</v>
      </c>
      <c r="CE45" s="852" t="str">
        <f>IFERROR(INDEX('Customer priorities (2022)'!CAM_Priorities_output_WTP,MATCH($A45,'Customer priorities (2022)'!Priorities_WTP_options,0)),"x")</f>
        <v>x</v>
      </c>
      <c r="CF45" s="852" t="str">
        <f>IFERROR(INDEX('Contacts (2022)'!CAM_Contacts_output_WTP,MATCH($A45,'Contacts (2022)'!Contacts_WTP_options,0)),"x")</f>
        <v>x</v>
      </c>
      <c r="CG45" s="852" t="str">
        <f>IFERROR(INDEX('Satisfaction (2022)'!CAM_Satisfaction_output_WTP,MATCH($A45,'Satisfaction (2022)'!Satisfaction_WTP_options,0)),"x")</f>
        <v>x</v>
      </c>
      <c r="CH45" s="853" t="s">
        <v>128</v>
      </c>
      <c r="CI45" s="367" t="str">
        <f t="shared" si="52"/>
        <v>x</v>
      </c>
      <c r="CJ45" s="367" t="str">
        <f t="shared" si="53"/>
        <v>x</v>
      </c>
      <c r="CK45" s="853" t="s">
        <v>128</v>
      </c>
      <c r="CL45" s="853" t="s">
        <v>128</v>
      </c>
      <c r="CM45" s="852" t="s">
        <v>128</v>
      </c>
      <c r="CN45" s="852" t="s">
        <v>128</v>
      </c>
      <c r="CO45" s="854" t="str">
        <f t="shared" si="28"/>
        <v>x</v>
      </c>
      <c r="CP45" s="852" t="str">
        <f t="shared" si="29"/>
        <v>x</v>
      </c>
      <c r="CQ45" s="854">
        <f t="shared" ca="1" si="30"/>
        <v>657.59458666764726</v>
      </c>
      <c r="CR45" s="854">
        <f t="shared" ca="1" si="31"/>
        <v>572.23020254928713</v>
      </c>
      <c r="CS45" s="853" t="s">
        <v>128</v>
      </c>
      <c r="CT45" s="714" t="str">
        <f t="shared" ca="1" si="54"/>
        <v/>
      </c>
      <c r="CU45" s="714" t="str">
        <f t="shared" ca="1" si="54"/>
        <v/>
      </c>
      <c r="CV45" s="714" t="str">
        <f t="shared" ca="1" si="54"/>
        <v/>
      </c>
      <c r="CW45" s="714" t="str">
        <f t="shared" ca="1" si="54"/>
        <v/>
      </c>
      <c r="CX45" s="714" t="str">
        <f t="shared" ca="1" si="54"/>
        <v/>
      </c>
      <c r="CY45" s="714"/>
      <c r="CZ45" s="714" t="str">
        <f t="shared" ca="1" si="55"/>
        <v/>
      </c>
      <c r="DA45" s="714" t="str">
        <f t="shared" ca="1" si="55"/>
        <v/>
      </c>
      <c r="DB45" s="714" t="str">
        <f t="shared" ca="1" si="55"/>
        <v/>
      </c>
      <c r="DC45" s="714" t="str">
        <f t="shared" ca="1" si="55"/>
        <v/>
      </c>
      <c r="DD45" s="714" t="str">
        <f t="shared" ca="1" si="55"/>
        <v/>
      </c>
      <c r="DE45" s="714" t="str">
        <f t="shared" ca="1" si="55"/>
        <v/>
      </c>
      <c r="DF45" s="714" t="str">
        <f t="shared" ca="1" si="55"/>
        <v/>
      </c>
      <c r="DG45" s="714" t="str">
        <f t="shared" ca="1" si="55"/>
        <v/>
      </c>
      <c r="DH45" s="714" t="str">
        <f t="shared" ca="1" si="55"/>
        <v/>
      </c>
      <c r="DI45" s="714" t="str">
        <f t="shared" ca="1" si="68"/>
        <v/>
      </c>
      <c r="DJ45" s="714" t="str">
        <f t="shared" ca="1" si="68"/>
        <v/>
      </c>
      <c r="DK45" s="714" t="str">
        <f t="shared" ca="1" si="68"/>
        <v/>
      </c>
      <c r="DL45" s="714" t="str">
        <f t="shared" ca="1" si="68"/>
        <v/>
      </c>
      <c r="DM45" s="714" t="str">
        <f t="shared" ca="1" si="68"/>
        <v/>
      </c>
      <c r="DN45" s="714" t="str">
        <f t="shared" ca="1" si="68"/>
        <v/>
      </c>
      <c r="DO45" s="714" t="str">
        <f t="shared" ca="1" si="68"/>
        <v/>
      </c>
      <c r="DP45" s="714" t="str">
        <f t="shared" ca="1" si="68"/>
        <v/>
      </c>
      <c r="DQ45" s="714" t="str">
        <f t="shared" ca="1" si="68"/>
        <v/>
      </c>
      <c r="DR45" s="714" t="str">
        <f t="shared" ca="1" si="68"/>
        <v/>
      </c>
      <c r="DS45" s="714" t="str">
        <f t="shared" ca="1" si="68"/>
        <v/>
      </c>
      <c r="DT45" s="714" t="str">
        <f t="shared" ca="1" si="68"/>
        <v/>
      </c>
      <c r="DU45" s="714" t="str">
        <f t="shared" ca="1" si="68"/>
        <v/>
      </c>
      <c r="DV45" s="714" t="str">
        <f t="shared" ca="1" si="68"/>
        <v/>
      </c>
      <c r="DW45" s="714"/>
      <c r="DX45" s="714"/>
      <c r="DY45" s="714"/>
      <c r="DZ45" s="714"/>
      <c r="EA45" s="714"/>
      <c r="EB45" s="714"/>
      <c r="EC45" s="714"/>
      <c r="ED45" s="714"/>
      <c r="EE45" s="714"/>
      <c r="EF45" s="714"/>
      <c r="EG45" s="714"/>
      <c r="EH45" s="714"/>
      <c r="EI45" s="714"/>
      <c r="EJ45" s="714"/>
      <c r="EK45" s="714"/>
      <c r="EL45" s="714"/>
      <c r="EM45" s="714"/>
      <c r="EN45" s="714"/>
      <c r="EO45" s="857">
        <f t="shared" ca="1" si="56"/>
        <v>1563.4560238067857</v>
      </c>
      <c r="EP45" s="714">
        <f t="shared" ca="1" si="57"/>
        <v>572.23020254928713</v>
      </c>
      <c r="EQ45" s="714">
        <f t="shared" ca="1" si="58"/>
        <v>3492.9994032609447</v>
      </c>
      <c r="ER45" s="774">
        <f t="shared" ca="1" si="59"/>
        <v>770.47536680078679</v>
      </c>
      <c r="ES45" s="714">
        <f t="shared" ca="1" si="60"/>
        <v>3107.0907273701132</v>
      </c>
      <c r="ET45" s="714">
        <f t="shared" ca="1" si="61"/>
        <v>792.98065700599886</v>
      </c>
      <c r="EU45" s="714">
        <f t="shared" ca="1" si="62"/>
        <v>1543.6347035633275</v>
      </c>
      <c r="EV45" s="776"/>
      <c r="EX45" s="773">
        <f t="shared" ca="1" si="34"/>
        <v>2979.1532537588046</v>
      </c>
      <c r="EY45" s="777">
        <f t="shared" ca="1" si="35"/>
        <v>1111.8433992800701</v>
      </c>
      <c r="EZ45" s="714">
        <f t="shared" ca="1" si="36"/>
        <v>6342.0097101433385</v>
      </c>
      <c r="FA45" s="714">
        <f t="shared" ca="1" si="37"/>
        <v>1485.305370175817</v>
      </c>
      <c r="FB45" s="714">
        <f t="shared" ca="1" si="38"/>
        <v>5669.4384188664317</v>
      </c>
      <c r="FC45" s="740">
        <f t="shared" ca="1" si="39"/>
        <v>1493.8478835829878</v>
      </c>
      <c r="FD45" s="778">
        <f t="shared" ca="1" si="40"/>
        <v>2690.2851651076276</v>
      </c>
      <c r="FE45" s="740"/>
      <c r="FF45" s="740"/>
      <c r="FG45" s="740"/>
      <c r="FH45" s="740"/>
    </row>
    <row r="46" spans="1:164" s="739" customFormat="1" ht="15" thickBot="1" x14ac:dyDescent="0.4">
      <c r="A46" s="770" t="s">
        <v>158</v>
      </c>
      <c r="B46" s="739" t="s">
        <v>159</v>
      </c>
      <c r="C46" s="739" t="s">
        <v>160</v>
      </c>
      <c r="D46" s="714">
        <f ca="1">INDEX(INDIRECT("SSW_WTPCore_DCE_"&amp;$B46&amp;"_UnitValues"),MATCH("COMBINED-HH",WTPCore_Group,0),MATCH("MEAN",LMH,0))</f>
        <v>768.51298630136989</v>
      </c>
      <c r="E46" s="714">
        <f t="shared" ca="1" si="6"/>
        <v>679.83841095890409</v>
      </c>
      <c r="F46" s="714">
        <f t="shared" ca="1" si="7"/>
        <v>857.18756164383569</v>
      </c>
      <c r="G46" s="853" t="s">
        <v>128</v>
      </c>
      <c r="H46" s="771">
        <f t="shared" ca="1" si="9"/>
        <v>618.46767233356525</v>
      </c>
      <c r="I46" s="853" t="s">
        <v>128</v>
      </c>
      <c r="J46" s="853" t="s">
        <v>128</v>
      </c>
      <c r="K46" s="853" t="s">
        <v>128</v>
      </c>
      <c r="L46" s="853" t="s">
        <v>128</v>
      </c>
      <c r="M46" s="852" t="str">
        <f>IFERROR(INDEX('Customer priorities (2022)'!SSW_Priorities_output_WTP,MATCH($A46,'Customer priorities (2022)'!Priorities_WTP_options,0)),"x")</f>
        <v>x</v>
      </c>
      <c r="N46" s="852" t="str">
        <f>IFERROR(INDEX('Contacts (2022)'!SSW_Contacts_output_WTP,MATCH($A46,'Contacts (2022)'!Contacts_WTP_options,0)),"x")</f>
        <v>x</v>
      </c>
      <c r="O46" s="852" t="str">
        <f>IFERROR(INDEX('Satisfaction (2022)'!SSW_Satisfaction_output_WTP,MATCH($A46,'Satisfaction (2022)'!Satisfaction_WTP_options,0)),"x")</f>
        <v>x</v>
      </c>
      <c r="P46" s="367" t="str">
        <f t="shared" si="12"/>
        <v>x</v>
      </c>
      <c r="Q46" s="367" t="str">
        <f t="shared" si="43"/>
        <v>x</v>
      </c>
      <c r="R46" s="367" t="str">
        <f t="shared" si="44"/>
        <v>x</v>
      </c>
      <c r="S46" s="853" t="s">
        <v>128</v>
      </c>
      <c r="T46" s="714">
        <f ca="1">AVERAGE($AQ46:$BD46)</f>
        <v>340.099320190485</v>
      </c>
      <c r="U46" s="852" t="s">
        <v>128</v>
      </c>
      <c r="V46" s="852" t="s">
        <v>128</v>
      </c>
      <c r="W46" s="852" t="str">
        <f t="shared" si="45"/>
        <v>x</v>
      </c>
      <c r="X46" s="852" t="str">
        <f t="shared" si="13"/>
        <v>x</v>
      </c>
      <c r="Y46" s="852" t="str">
        <f t="shared" si="14"/>
        <v>x</v>
      </c>
      <c r="Z46" s="852" t="str">
        <f t="shared" si="15"/>
        <v>x</v>
      </c>
      <c r="AA46" s="853" t="s">
        <v>128</v>
      </c>
      <c r="AB46" s="714" t="str">
        <f t="shared" ca="1" si="46"/>
        <v/>
      </c>
      <c r="AC46" s="714" t="str">
        <f t="shared" ca="1" si="46"/>
        <v/>
      </c>
      <c r="AD46" s="714" t="str">
        <f t="shared" ca="1" si="46"/>
        <v/>
      </c>
      <c r="AE46" s="714" t="str">
        <f t="shared" ca="1" si="46"/>
        <v/>
      </c>
      <c r="AF46" s="714" t="str">
        <f t="shared" ca="1" si="46"/>
        <v/>
      </c>
      <c r="AG46" s="714"/>
      <c r="AH46" s="714" t="str">
        <f t="shared" ca="1" si="47"/>
        <v/>
      </c>
      <c r="AI46" s="714" t="str">
        <f t="shared" ca="1" si="47"/>
        <v/>
      </c>
      <c r="AJ46" s="714" t="str">
        <f t="shared" ca="1" si="47"/>
        <v/>
      </c>
      <c r="AK46" s="714" t="str">
        <f t="shared" ca="1" si="47"/>
        <v/>
      </c>
      <c r="AL46" s="714" t="str">
        <f t="shared" ca="1" si="47"/>
        <v/>
      </c>
      <c r="AM46" s="714" t="str">
        <f t="shared" ca="1" si="47"/>
        <v/>
      </c>
      <c r="AN46" s="714" t="str">
        <f t="shared" ca="1" si="47"/>
        <v/>
      </c>
      <c r="AO46" s="714" t="str">
        <f t="shared" ca="1" si="47"/>
        <v/>
      </c>
      <c r="AP46" s="714" t="str">
        <f t="shared" ca="1" si="47"/>
        <v/>
      </c>
      <c r="AQ46" s="714" t="str">
        <f t="shared" ca="1" si="69"/>
        <v/>
      </c>
      <c r="AR46" s="714" t="str">
        <f t="shared" ca="1" si="69"/>
        <v/>
      </c>
      <c r="AS46" s="772">
        <f t="shared" ca="1" si="69"/>
        <v>714.15211446320734</v>
      </c>
      <c r="AT46" s="772">
        <f t="shared" ca="1" si="69"/>
        <v>249.62023746473142</v>
      </c>
      <c r="AU46" s="714" t="str">
        <f t="shared" ca="1" si="69"/>
        <v/>
      </c>
      <c r="AV46" s="714" t="str">
        <f ca="1">IFERROR(INDEX(INDIRECT("PR19_Comp"&amp;AV$28&amp;"_UnitValues"),MATCH($B46,INDIRECT("PR19_Comp"&amp;AV$28&amp;"_WTPCore_Options"),0)),"")</f>
        <v/>
      </c>
      <c r="AW46" s="714" t="str">
        <f t="shared" ca="1" si="70"/>
        <v/>
      </c>
      <c r="AX46" s="714" t="str">
        <f t="shared" ca="1" si="70"/>
        <v/>
      </c>
      <c r="AY46" s="714" t="str">
        <f t="shared" ca="1" si="70"/>
        <v/>
      </c>
      <c r="AZ46" s="714">
        <f t="shared" ca="1" si="70"/>
        <v>56.5256086435163</v>
      </c>
      <c r="BA46" s="714" t="str">
        <f t="shared" ca="1" si="70"/>
        <v/>
      </c>
      <c r="BB46" s="714" t="str">
        <f t="shared" ca="1" si="70"/>
        <v/>
      </c>
      <c r="BC46" s="714" t="str">
        <f t="shared" ca="1" si="70"/>
        <v/>
      </c>
      <c r="BD46" s="714" t="str">
        <f t="shared" ca="1" si="70"/>
        <v/>
      </c>
      <c r="BE46" s="779">
        <f t="shared" ca="1" si="48"/>
        <v>672.10315628825492</v>
      </c>
      <c r="BF46" s="714">
        <f t="shared" ca="1" si="18"/>
        <v>340.099320190485</v>
      </c>
      <c r="BG46" s="714">
        <f t="shared" ca="1" si="19"/>
        <v>768.51298630136989</v>
      </c>
      <c r="BH46" s="774">
        <f t="shared" ca="1" si="49"/>
        <v>406.50008741003899</v>
      </c>
      <c r="BI46" s="714">
        <f t="shared" ca="1" si="50"/>
        <v>749.2310202987469</v>
      </c>
      <c r="BJ46" s="714">
        <f t="shared" ca="1" si="64"/>
        <v>265.60306887821594</v>
      </c>
      <c r="BK46" s="714">
        <f t="shared" ca="1" si="20"/>
        <v>77.127864010491976</v>
      </c>
      <c r="BL46" s="714"/>
      <c r="BM46" s="714"/>
      <c r="BN46" s="714"/>
      <c r="BO46" s="714"/>
      <c r="BP46" s="714"/>
      <c r="BQ46" s="714"/>
      <c r="BR46" s="714"/>
      <c r="BS46" s="714"/>
      <c r="BT46" s="714"/>
      <c r="BU46" s="775"/>
      <c r="BV46" s="714">
        <f t="shared" ca="1" si="65"/>
        <v>402.06180821917809</v>
      </c>
      <c r="BW46" s="714">
        <f t="shared" ca="1" si="21"/>
        <v>351.80408219178088</v>
      </c>
      <c r="BX46" s="714">
        <f t="shared" ca="1" si="22"/>
        <v>446.73534246575343</v>
      </c>
      <c r="BY46" s="853" t="s">
        <v>128</v>
      </c>
      <c r="BZ46" s="771">
        <f t="shared" ca="1" si="24"/>
        <v>273.47381095501731</v>
      </c>
      <c r="CA46" s="853" t="s">
        <v>128</v>
      </c>
      <c r="CB46" s="853" t="s">
        <v>128</v>
      </c>
      <c r="CC46" s="853" t="s">
        <v>128</v>
      </c>
      <c r="CD46" s="853" t="s">
        <v>128</v>
      </c>
      <c r="CE46" s="852" t="str">
        <f>IFERROR(INDEX('Customer priorities (2022)'!CAM_Priorities_output_WTP,MATCH($A46,'Customer priorities (2022)'!Priorities_WTP_options,0)),"x")</f>
        <v>x</v>
      </c>
      <c r="CF46" s="852" t="str">
        <f>IFERROR(INDEX('Contacts (2022)'!CAM_Contacts_output_WTP,MATCH($A46,'Contacts (2022)'!Contacts_WTP_options,0)),"x")</f>
        <v>x</v>
      </c>
      <c r="CG46" s="852" t="str">
        <f>IFERROR(INDEX('Satisfaction (2022)'!CAM_Satisfaction_output_WTP,MATCH($A46,'Satisfaction (2022)'!Satisfaction_WTP_options,0)),"x")</f>
        <v>x</v>
      </c>
      <c r="CH46" s="853" t="s">
        <v>128</v>
      </c>
      <c r="CI46" s="367" t="str">
        <f t="shared" si="52"/>
        <v>x</v>
      </c>
      <c r="CJ46" s="367" t="str">
        <f t="shared" si="53"/>
        <v>x</v>
      </c>
      <c r="CK46" s="853" t="s">
        <v>128</v>
      </c>
      <c r="CL46" s="714">
        <f t="shared" ca="1" si="67"/>
        <v>590.51876095905584</v>
      </c>
      <c r="CM46" s="852" t="s">
        <v>128</v>
      </c>
      <c r="CN46" s="852" t="s">
        <v>128</v>
      </c>
      <c r="CO46" s="854" t="str">
        <f t="shared" si="28"/>
        <v>x</v>
      </c>
      <c r="CP46" s="852" t="str">
        <f t="shared" si="29"/>
        <v>x</v>
      </c>
      <c r="CQ46" s="854" t="str">
        <f t="shared" si="30"/>
        <v>x</v>
      </c>
      <c r="CR46" s="854" t="str">
        <f t="shared" si="31"/>
        <v>x</v>
      </c>
      <c r="CS46" s="853" t="s">
        <v>128</v>
      </c>
      <c r="CT46" s="714" t="str">
        <f t="shared" ca="1" si="54"/>
        <v/>
      </c>
      <c r="CU46" s="714" t="str">
        <f t="shared" ca="1" si="54"/>
        <v/>
      </c>
      <c r="CV46" s="714" t="str">
        <f t="shared" ca="1" si="54"/>
        <v/>
      </c>
      <c r="CW46" s="714" t="str">
        <f t="shared" ca="1" si="54"/>
        <v/>
      </c>
      <c r="CX46" s="714" t="str">
        <f t="shared" ca="1" si="54"/>
        <v/>
      </c>
      <c r="CY46" s="714"/>
      <c r="CZ46" s="714" t="str">
        <f t="shared" ca="1" si="55"/>
        <v/>
      </c>
      <c r="DA46" s="714" t="str">
        <f t="shared" ca="1" si="55"/>
        <v/>
      </c>
      <c r="DB46" s="714" t="str">
        <f t="shared" ca="1" si="55"/>
        <v/>
      </c>
      <c r="DC46" s="714" t="str">
        <f t="shared" ca="1" si="55"/>
        <v/>
      </c>
      <c r="DD46" s="714" t="str">
        <f t="shared" ca="1" si="55"/>
        <v/>
      </c>
      <c r="DE46" s="714" t="str">
        <f t="shared" ca="1" si="55"/>
        <v/>
      </c>
      <c r="DF46" s="714" t="str">
        <f t="shared" ca="1" si="55"/>
        <v/>
      </c>
      <c r="DG46" s="714" t="str">
        <f t="shared" ca="1" si="55"/>
        <v/>
      </c>
      <c r="DH46" s="714" t="str">
        <f t="shared" ca="1" si="55"/>
        <v/>
      </c>
      <c r="DI46" s="714" t="str">
        <f t="shared" ca="1" si="68"/>
        <v/>
      </c>
      <c r="DJ46" s="714" t="str">
        <f t="shared" ca="1" si="68"/>
        <v/>
      </c>
      <c r="DK46" s="714">
        <f t="shared" ca="1" si="68"/>
        <v>1207.7505899009773</v>
      </c>
      <c r="DL46" s="714">
        <f t="shared" ca="1" si="68"/>
        <v>496.83586149634476</v>
      </c>
      <c r="DM46" s="714" t="str">
        <f t="shared" ca="1" si="68"/>
        <v/>
      </c>
      <c r="DN46" s="714" t="str">
        <f t="shared" ca="1" si="68"/>
        <v/>
      </c>
      <c r="DO46" s="714" t="str">
        <f t="shared" ca="1" si="68"/>
        <v/>
      </c>
      <c r="DP46" s="714" t="str">
        <f t="shared" ca="1" si="68"/>
        <v/>
      </c>
      <c r="DQ46" s="714" t="str">
        <f t="shared" ca="1" si="68"/>
        <v/>
      </c>
      <c r="DR46" s="714">
        <f t="shared" ca="1" si="68"/>
        <v>66.969831479845425</v>
      </c>
      <c r="DS46" s="714" t="str">
        <f t="shared" ca="1" si="68"/>
        <v/>
      </c>
      <c r="DT46" s="714" t="str">
        <f t="shared" ca="1" si="68"/>
        <v/>
      </c>
      <c r="DU46" s="714" t="str">
        <f t="shared" ca="1" si="68"/>
        <v/>
      </c>
      <c r="DV46" s="714" t="str">
        <f t="shared" ca="1" si="68"/>
        <v/>
      </c>
      <c r="DW46" s="714"/>
      <c r="DX46" s="714"/>
      <c r="DY46" s="714"/>
      <c r="DZ46" s="714"/>
      <c r="EA46" s="714"/>
      <c r="EB46" s="714"/>
      <c r="EC46" s="714"/>
      <c r="ED46" s="714"/>
      <c r="EE46" s="714"/>
      <c r="EF46" s="714"/>
      <c r="EG46" s="714"/>
      <c r="EH46" s="714"/>
      <c r="EI46" s="714"/>
      <c r="EJ46" s="714"/>
      <c r="EK46" s="714"/>
      <c r="EL46" s="714"/>
      <c r="EM46" s="714"/>
      <c r="EN46" s="714"/>
      <c r="EO46" s="858">
        <f t="shared" ca="1" si="56"/>
        <v>412.03996746513093</v>
      </c>
      <c r="EP46" s="714">
        <f t="shared" ca="1" si="57"/>
        <v>273.47381095501731</v>
      </c>
      <c r="EQ46" s="714">
        <f t="shared" ca="1" si="58"/>
        <v>590.51876095905584</v>
      </c>
      <c r="ER46" s="774">
        <f t="shared" ca="1" si="59"/>
        <v>301.18704225704005</v>
      </c>
      <c r="ES46" s="714">
        <f t="shared" ca="1" si="60"/>
        <v>554.82300226027087</v>
      </c>
      <c r="ET46" s="714">
        <f t="shared" ca="1" si="61"/>
        <v>110.85292520809088</v>
      </c>
      <c r="EU46" s="714">
        <f t="shared" ca="1" si="62"/>
        <v>142.78303479513994</v>
      </c>
      <c r="EV46" s="776"/>
      <c r="EX46" s="779">
        <f t="shared" ca="1" si="34"/>
        <v>619.77543231830339</v>
      </c>
      <c r="EY46" s="780">
        <f t="shared" ca="1" si="35"/>
        <v>326.69349650429547</v>
      </c>
      <c r="EZ46" s="781">
        <f t="shared" ca="1" si="36"/>
        <v>732.69848777850234</v>
      </c>
      <c r="FA46" s="781">
        <f t="shared" ca="1" si="37"/>
        <v>385.30988366709704</v>
      </c>
      <c r="FB46" s="781">
        <f t="shared" ca="1" si="38"/>
        <v>710.11387668646262</v>
      </c>
      <c r="FC46" s="782">
        <f t="shared" ca="1" si="39"/>
        <v>234.46554865120626</v>
      </c>
      <c r="FD46" s="783">
        <f t="shared" ca="1" si="40"/>
        <v>90.338444368159287</v>
      </c>
      <c r="FE46" s="740"/>
      <c r="FF46" s="740"/>
      <c r="FG46" s="740"/>
      <c r="FH46" s="740"/>
    </row>
    <row r="47" spans="1:164" x14ac:dyDescent="0.35">
      <c r="A47" s="50"/>
      <c r="B47" s="50"/>
      <c r="C47" s="50"/>
      <c r="D47" s="50"/>
      <c r="E47" s="50"/>
      <c r="F47" s="50"/>
      <c r="G47" s="50"/>
      <c r="H47" s="242"/>
      <c r="I47" s="242"/>
      <c r="J47" s="242"/>
      <c r="K47" s="242"/>
      <c r="L47" s="242"/>
      <c r="M47" s="831"/>
      <c r="N47" s="831"/>
      <c r="O47" s="831"/>
      <c r="P47" s="50"/>
      <c r="Q47" s="50"/>
      <c r="R47" s="50"/>
      <c r="S47" s="50"/>
      <c r="T47" s="50"/>
      <c r="U47" s="831"/>
      <c r="V47" s="831"/>
      <c r="W47" s="831"/>
      <c r="X47" s="831"/>
      <c r="Y47" s="831"/>
      <c r="Z47" s="831"/>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V47" s="50"/>
      <c r="BW47" s="50"/>
      <c r="BX47" s="50"/>
      <c r="BY47" s="50"/>
      <c r="BZ47" s="50"/>
      <c r="CA47" s="242"/>
      <c r="CB47" s="242"/>
      <c r="CC47" s="242"/>
      <c r="CD47" s="242"/>
      <c r="CE47" s="831"/>
      <c r="CF47" s="831"/>
      <c r="CG47" s="831"/>
      <c r="CH47" s="50"/>
      <c r="CI47" s="50"/>
      <c r="CJ47" s="50"/>
      <c r="CK47" s="50"/>
      <c r="CL47" s="50"/>
      <c r="CM47" s="831"/>
      <c r="CN47" s="831"/>
      <c r="CO47" s="831"/>
      <c r="CP47" s="831"/>
      <c r="CQ47" s="831"/>
      <c r="CR47" s="831"/>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X47" s="50"/>
      <c r="EY47" s="50"/>
      <c r="EZ47" s="50"/>
      <c r="FA47" s="50"/>
      <c r="FB47" s="50"/>
      <c r="FC47" s="50"/>
    </row>
    <row r="48" spans="1:164" x14ac:dyDescent="0.35">
      <c r="C48" s="43"/>
      <c r="M48" s="831"/>
      <c r="N48" s="831"/>
      <c r="O48" s="831"/>
      <c r="U48" s="831"/>
      <c r="V48" s="831"/>
      <c r="W48" s="831"/>
      <c r="X48" s="831"/>
      <c r="Y48" s="831"/>
      <c r="Z48" s="831"/>
      <c r="AG48" s="123" t="s">
        <v>161</v>
      </c>
      <c r="AV48" s="123" t="s">
        <v>161</v>
      </c>
      <c r="CE48" s="831"/>
      <c r="CF48" s="831"/>
      <c r="CG48" s="831"/>
      <c r="CH48" s="7" t="s">
        <v>162</v>
      </c>
      <c r="CM48" s="831"/>
      <c r="CN48" s="831"/>
      <c r="CO48" s="831"/>
      <c r="CP48" s="831"/>
      <c r="CQ48" s="831"/>
      <c r="CR48" s="831"/>
      <c r="CY48" s="123" t="s">
        <v>161</v>
      </c>
    </row>
    <row r="49" spans="1:164" x14ac:dyDescent="0.35">
      <c r="C49" s="43"/>
      <c r="M49" s="831"/>
      <c r="N49" s="831"/>
      <c r="O49" s="831"/>
      <c r="U49" s="831"/>
      <c r="V49" s="831"/>
      <c r="W49" s="831"/>
      <c r="X49" s="831"/>
      <c r="Y49" s="831"/>
      <c r="Z49" s="831"/>
      <c r="AG49" s="5"/>
      <c r="CE49" s="831"/>
      <c r="CF49" s="831"/>
      <c r="CG49" s="831"/>
      <c r="CM49" s="831"/>
      <c r="CN49" s="831"/>
      <c r="CO49" s="831"/>
      <c r="CP49" s="831"/>
      <c r="CQ49" s="831"/>
      <c r="CR49" s="831"/>
      <c r="CY49" s="5"/>
    </row>
    <row r="50" spans="1:164" ht="19.5" x14ac:dyDescent="0.45">
      <c r="A50" s="85" t="s">
        <v>163</v>
      </c>
      <c r="B50" s="137"/>
      <c r="C50" s="98"/>
      <c r="D50" s="98"/>
      <c r="E50" s="98"/>
      <c r="F50" s="98"/>
      <c r="G50" s="98"/>
      <c r="H50" s="98"/>
      <c r="I50" s="98"/>
      <c r="J50" s="98"/>
      <c r="K50" s="98"/>
      <c r="L50" s="98"/>
      <c r="M50" s="827"/>
      <c r="N50" s="827"/>
      <c r="O50" s="827"/>
      <c r="P50" s="98"/>
      <c r="Q50" s="98"/>
      <c r="R50" s="98"/>
      <c r="S50" s="98"/>
      <c r="T50" s="98"/>
      <c r="U50" s="827"/>
      <c r="V50" s="827"/>
      <c r="W50" s="827"/>
      <c r="X50" s="827"/>
      <c r="Y50" s="827"/>
      <c r="Z50" s="827"/>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196"/>
      <c r="BF50" s="196"/>
      <c r="BG50" s="196"/>
      <c r="BH50" s="196"/>
      <c r="BI50" s="196"/>
      <c r="BJ50" s="196"/>
      <c r="BK50" s="196"/>
      <c r="BL50" s="196"/>
      <c r="BM50" s="196"/>
      <c r="BN50" s="196"/>
      <c r="BO50" s="196"/>
      <c r="BP50" s="196"/>
      <c r="BQ50" s="196"/>
      <c r="BR50" s="196"/>
      <c r="BS50" s="196"/>
      <c r="BT50" s="196"/>
      <c r="BU50" s="685"/>
      <c r="BV50" s="98"/>
      <c r="BW50" s="98"/>
      <c r="BX50" s="98"/>
      <c r="BY50" s="98"/>
      <c r="BZ50" s="98"/>
      <c r="CA50" s="98"/>
      <c r="CB50" s="98"/>
      <c r="CC50" s="98"/>
      <c r="CD50" s="98"/>
      <c r="CE50" s="827"/>
      <c r="CF50" s="827"/>
      <c r="CG50" s="827"/>
      <c r="CH50" s="98"/>
      <c r="CI50" s="98"/>
      <c r="CJ50" s="98"/>
      <c r="CK50" s="98"/>
      <c r="CL50" s="98"/>
      <c r="CM50" s="827"/>
      <c r="CN50" s="827"/>
      <c r="CO50" s="827"/>
      <c r="CP50" s="827"/>
      <c r="CQ50" s="827"/>
      <c r="CR50" s="827"/>
      <c r="CS50" s="98"/>
      <c r="CT50" s="98"/>
      <c r="CU50" s="98"/>
      <c r="CV50" s="98"/>
      <c r="CW50" s="98"/>
      <c r="CX50" s="98"/>
      <c r="CY50" s="98"/>
      <c r="CZ50" s="98"/>
      <c r="DA50" s="98"/>
      <c r="DB50" s="98"/>
      <c r="DC50" s="98"/>
      <c r="DD50" s="98"/>
      <c r="DE50" s="98"/>
      <c r="DF50" s="98"/>
      <c r="DG50" s="98"/>
      <c r="DH50" s="98"/>
      <c r="DI50" s="98"/>
      <c r="DJ50" s="98"/>
      <c r="DK50" s="98"/>
      <c r="DL50" s="98"/>
      <c r="DM50" s="98"/>
      <c r="DN50" s="98"/>
      <c r="DO50" s="98"/>
      <c r="DP50" s="98"/>
      <c r="DQ50" s="98"/>
      <c r="DR50" s="98"/>
      <c r="DS50" s="98"/>
      <c r="DT50" s="98"/>
      <c r="DU50" s="98"/>
      <c r="DV50" s="98"/>
      <c r="DW50" s="98"/>
      <c r="DX50" s="98"/>
      <c r="DY50" s="98"/>
      <c r="DZ50" s="98"/>
      <c r="EA50" s="98"/>
      <c r="EB50" s="98"/>
      <c r="EC50" s="98"/>
      <c r="ED50" s="98"/>
      <c r="EE50" s="98"/>
      <c r="EF50" s="98"/>
      <c r="EG50" s="98"/>
      <c r="EH50" s="98"/>
      <c r="EI50" s="98"/>
      <c r="EJ50" s="98"/>
      <c r="EK50" s="98"/>
      <c r="EL50" s="98"/>
      <c r="EM50" s="98"/>
      <c r="EN50" s="98"/>
      <c r="EO50" s="50"/>
      <c r="EP50" s="196"/>
      <c r="EQ50" s="196"/>
      <c r="ER50" s="196"/>
      <c r="ES50" s="196"/>
      <c r="ET50" s="196"/>
      <c r="EU50" s="196"/>
      <c r="EX50" s="50"/>
      <c r="EY50" s="50"/>
      <c r="EZ50" s="50"/>
      <c r="FA50" s="50"/>
      <c r="FB50" s="50"/>
      <c r="FC50" s="50"/>
      <c r="FD50" s="50"/>
      <c r="FE50" s="50"/>
      <c r="FF50" s="50"/>
      <c r="FG50" s="50"/>
      <c r="FH50" s="50"/>
    </row>
    <row r="51" spans="1:164" ht="20" thickBot="1" x14ac:dyDescent="0.5">
      <c r="A51" s="85"/>
      <c r="B51" s="137"/>
      <c r="C51" s="137"/>
      <c r="D51" s="137"/>
      <c r="E51" s="137"/>
      <c r="F51" s="137"/>
      <c r="G51" s="137"/>
      <c r="H51" s="137"/>
      <c r="I51" s="137"/>
      <c r="J51" s="137"/>
      <c r="K51" s="137"/>
      <c r="L51" s="137"/>
      <c r="M51" s="828"/>
      <c r="N51" s="828"/>
      <c r="O51" s="828"/>
      <c r="P51" s="241"/>
      <c r="Q51" s="137"/>
      <c r="R51" s="137"/>
      <c r="S51" s="137"/>
      <c r="T51" s="137"/>
      <c r="U51" s="827"/>
      <c r="V51" s="827"/>
      <c r="W51" s="827"/>
      <c r="X51" s="827"/>
      <c r="Y51" s="827"/>
      <c r="Z51" s="827"/>
      <c r="AA51" s="98"/>
      <c r="AB51" s="679" t="s">
        <v>82</v>
      </c>
      <c r="AC51" s="679"/>
      <c r="AD51" s="679"/>
      <c r="AE51" s="679"/>
      <c r="AF51" s="679"/>
      <c r="AG51" s="679"/>
      <c r="AH51" s="679"/>
      <c r="AI51" s="679"/>
      <c r="AJ51" s="679"/>
      <c r="AK51" s="679"/>
      <c r="AL51" s="679"/>
      <c r="AM51" s="679"/>
      <c r="AN51" s="679"/>
      <c r="AO51" s="679"/>
      <c r="AP51" s="682"/>
      <c r="AQ51" s="682" t="s">
        <v>83</v>
      </c>
      <c r="AR51" s="682"/>
      <c r="AS51" s="682"/>
      <c r="AT51" s="682"/>
      <c r="AU51" s="682"/>
      <c r="AV51" s="682"/>
      <c r="AW51" s="682"/>
      <c r="AX51" s="682"/>
      <c r="AY51" s="682"/>
      <c r="AZ51" s="682"/>
      <c r="BA51" s="682"/>
      <c r="BB51" s="682"/>
      <c r="BC51" s="682"/>
      <c r="BD51" s="682"/>
      <c r="BE51" s="137"/>
      <c r="BF51" s="137"/>
      <c r="BG51" s="137"/>
      <c r="BH51" s="137"/>
      <c r="BI51" s="137"/>
      <c r="BJ51" s="137"/>
      <c r="BK51" s="137"/>
      <c r="BL51" s="137"/>
      <c r="BM51" s="137"/>
      <c r="BN51" s="137"/>
      <c r="BO51" s="137"/>
      <c r="BP51" s="137"/>
      <c r="BQ51" s="137"/>
      <c r="BR51" s="137"/>
      <c r="BS51" s="137"/>
      <c r="BT51" s="137"/>
      <c r="BU51" s="686"/>
      <c r="BV51" s="137"/>
      <c r="BW51" s="137"/>
      <c r="BX51" s="137"/>
      <c r="BY51" s="137"/>
      <c r="BZ51" s="137"/>
      <c r="CA51" s="137"/>
      <c r="CB51" s="137"/>
      <c r="CC51" s="137"/>
      <c r="CD51" s="137"/>
      <c r="CE51" s="828"/>
      <c r="CF51" s="828"/>
      <c r="CG51" s="828"/>
      <c r="CH51" s="241"/>
      <c r="CI51" s="137"/>
      <c r="CJ51" s="137"/>
      <c r="CK51" s="137"/>
      <c r="CL51" s="137"/>
      <c r="CM51" s="827"/>
      <c r="CN51" s="827"/>
      <c r="CO51" s="828"/>
      <c r="CP51" s="827"/>
      <c r="CQ51" s="827"/>
      <c r="CR51" s="827"/>
      <c r="CS51" s="98"/>
      <c r="CT51" s="679" t="s">
        <v>84</v>
      </c>
      <c r="CU51" s="679"/>
      <c r="CV51" s="679"/>
      <c r="CW51" s="679"/>
      <c r="CX51" s="679"/>
      <c r="CY51" s="679"/>
      <c r="CZ51" s="679"/>
      <c r="DA51" s="679"/>
      <c r="DB51" s="679"/>
      <c r="DC51" s="679"/>
      <c r="DD51" s="679"/>
      <c r="DE51" s="679"/>
      <c r="DF51" s="679"/>
      <c r="DG51" s="679"/>
      <c r="DH51" s="679"/>
      <c r="DI51" s="679" t="s">
        <v>83</v>
      </c>
      <c r="DJ51" s="679"/>
      <c r="DK51" s="679"/>
      <c r="DL51" s="679"/>
      <c r="DM51" s="679"/>
      <c r="DN51" s="679"/>
      <c r="DO51" s="679"/>
      <c r="DP51" s="679"/>
      <c r="DQ51" s="679"/>
      <c r="DR51" s="679"/>
      <c r="DS51" s="679"/>
      <c r="DT51" s="679"/>
      <c r="DU51" s="679"/>
      <c r="DV51" s="679"/>
      <c r="DW51" s="679"/>
      <c r="DX51" s="679"/>
      <c r="DY51" s="679"/>
      <c r="DZ51" s="679"/>
      <c r="EA51" s="679"/>
      <c r="EB51" s="679"/>
      <c r="EC51" s="679"/>
      <c r="ED51" s="679"/>
      <c r="EE51" s="679"/>
      <c r="EF51" s="679"/>
      <c r="EG51" s="679"/>
      <c r="EH51" s="679"/>
      <c r="EI51" s="679"/>
      <c r="EJ51" s="679"/>
      <c r="EK51" s="679"/>
      <c r="EL51" s="679"/>
      <c r="EM51" s="679"/>
      <c r="EN51" s="679"/>
      <c r="EO51" s="50"/>
      <c r="EP51" s="137"/>
      <c r="EQ51" s="137"/>
      <c r="ER51" s="137"/>
      <c r="ES51" s="137"/>
      <c r="ET51" s="137"/>
      <c r="EU51" s="137"/>
      <c r="EX51" s="50"/>
      <c r="EY51" s="50"/>
      <c r="EZ51" s="50"/>
      <c r="FA51" s="50"/>
      <c r="FB51" s="50"/>
      <c r="FC51" s="50"/>
      <c r="FD51" s="50"/>
      <c r="FE51" s="50"/>
      <c r="FF51" s="50"/>
      <c r="FG51" s="50"/>
      <c r="FH51" s="50"/>
    </row>
    <row r="52" spans="1:164" s="53" customFormat="1" ht="54.75" customHeight="1" x14ac:dyDescent="0.35">
      <c r="A52" s="54"/>
      <c r="B52" s="54"/>
      <c r="C52" s="249"/>
      <c r="D52" s="249" t="s">
        <v>52</v>
      </c>
      <c r="E52" s="584" t="s">
        <v>85</v>
      </c>
      <c r="F52" s="584" t="s">
        <v>86</v>
      </c>
      <c r="G52" s="584" t="s">
        <v>62</v>
      </c>
      <c r="H52" s="584" t="s">
        <v>54</v>
      </c>
      <c r="I52" s="584" t="s">
        <v>56</v>
      </c>
      <c r="J52" s="584" t="s">
        <v>87</v>
      </c>
      <c r="K52" s="584" t="s">
        <v>88</v>
      </c>
      <c r="L52" s="581" t="s">
        <v>60</v>
      </c>
      <c r="M52" s="829" t="s">
        <v>63</v>
      </c>
      <c r="N52" s="829" t="s">
        <v>65</v>
      </c>
      <c r="O52" s="829" t="s">
        <v>66</v>
      </c>
      <c r="P52" s="249" t="s">
        <v>67</v>
      </c>
      <c r="Q52" s="249" t="s">
        <v>68</v>
      </c>
      <c r="R52" s="249" t="s">
        <v>70</v>
      </c>
      <c r="S52" s="249" t="s">
        <v>71</v>
      </c>
      <c r="T52" s="249" t="s">
        <v>72</v>
      </c>
      <c r="U52" s="829" t="s">
        <v>74</v>
      </c>
      <c r="V52" s="829" t="s">
        <v>75</v>
      </c>
      <c r="W52" s="829" t="s">
        <v>76</v>
      </c>
      <c r="X52" s="829" t="s">
        <v>78</v>
      </c>
      <c r="Y52" s="829" t="s">
        <v>79</v>
      </c>
      <c r="Z52" s="829" t="s">
        <v>80</v>
      </c>
      <c r="AA52" s="694" t="s">
        <v>73</v>
      </c>
      <c r="AB52" s="676" t="s">
        <v>89</v>
      </c>
      <c r="AC52" s="676" t="s">
        <v>90</v>
      </c>
      <c r="AD52" s="676" t="s">
        <v>91</v>
      </c>
      <c r="AE52" s="676" t="s">
        <v>92</v>
      </c>
      <c r="AF52" s="676" t="s">
        <v>93</v>
      </c>
      <c r="AG52" s="677" t="s">
        <v>94</v>
      </c>
      <c r="AH52" s="676" t="s">
        <v>95</v>
      </c>
      <c r="AI52" s="676" t="s">
        <v>96</v>
      </c>
      <c r="AJ52" s="676" t="s">
        <v>97</v>
      </c>
      <c r="AK52" s="676" t="s">
        <v>98</v>
      </c>
      <c r="AL52" s="676" t="s">
        <v>99</v>
      </c>
      <c r="AM52" s="676" t="s">
        <v>100</v>
      </c>
      <c r="AN52" s="676" t="s">
        <v>101</v>
      </c>
      <c r="AO52" s="676" t="s">
        <v>102</v>
      </c>
      <c r="AP52" s="676" t="s">
        <v>103</v>
      </c>
      <c r="AQ52" s="676" t="s">
        <v>89</v>
      </c>
      <c r="AR52" s="676" t="s">
        <v>90</v>
      </c>
      <c r="AS52" s="676" t="s">
        <v>91</v>
      </c>
      <c r="AT52" s="676" t="s">
        <v>92</v>
      </c>
      <c r="AU52" s="676" t="s">
        <v>93</v>
      </c>
      <c r="AV52" s="676" t="s">
        <v>94</v>
      </c>
      <c r="AW52" s="676" t="s">
        <v>95</v>
      </c>
      <c r="AX52" s="676" t="s">
        <v>97</v>
      </c>
      <c r="AY52" s="676" t="s">
        <v>98</v>
      </c>
      <c r="AZ52" s="676" t="s">
        <v>100</v>
      </c>
      <c r="BA52" s="676" t="s">
        <v>101</v>
      </c>
      <c r="BB52" s="676" t="s">
        <v>104</v>
      </c>
      <c r="BC52" s="676" t="s">
        <v>105</v>
      </c>
      <c r="BD52" s="676" t="s">
        <v>106</v>
      </c>
      <c r="BE52" s="583" t="s">
        <v>107</v>
      </c>
      <c r="BF52" s="88" t="s">
        <v>108</v>
      </c>
      <c r="BG52" s="88" t="s">
        <v>109</v>
      </c>
      <c r="BH52" s="88" t="s">
        <v>110</v>
      </c>
      <c r="BI52" s="88" t="s">
        <v>111</v>
      </c>
      <c r="BJ52" s="88" t="s">
        <v>112</v>
      </c>
      <c r="BK52" s="88" t="s">
        <v>113</v>
      </c>
      <c r="BL52" s="88"/>
      <c r="BM52" s="88"/>
      <c r="BN52" s="88"/>
      <c r="BO52" s="88"/>
      <c r="BP52" s="88"/>
      <c r="BQ52" s="88"/>
      <c r="BR52" s="88"/>
      <c r="BS52" s="88"/>
      <c r="BT52" s="88"/>
      <c r="BU52" s="687"/>
      <c r="BV52" s="249" t="s">
        <v>52</v>
      </c>
      <c r="BW52" s="581" t="s">
        <v>85</v>
      </c>
      <c r="BX52" s="249" t="s">
        <v>86</v>
      </c>
      <c r="BY52" s="584" t="s">
        <v>62</v>
      </c>
      <c r="BZ52" s="581" t="s">
        <v>54</v>
      </c>
      <c r="CA52" s="645" t="s">
        <v>58</v>
      </c>
      <c r="CB52" s="249" t="s">
        <v>87</v>
      </c>
      <c r="CC52" s="249" t="s">
        <v>88</v>
      </c>
      <c r="CD52" s="581" t="s">
        <v>60</v>
      </c>
      <c r="CE52" s="829" t="s">
        <v>63</v>
      </c>
      <c r="CF52" s="829" t="s">
        <v>65</v>
      </c>
      <c r="CG52" s="829" t="s">
        <v>66</v>
      </c>
      <c r="CH52" s="249" t="s">
        <v>67</v>
      </c>
      <c r="CI52" s="249" t="s">
        <v>68</v>
      </c>
      <c r="CJ52" s="249" t="s">
        <v>70</v>
      </c>
      <c r="CK52" s="249" t="s">
        <v>71</v>
      </c>
      <c r="CL52" s="249" t="s">
        <v>72</v>
      </c>
      <c r="CM52" s="829" t="s">
        <v>74</v>
      </c>
      <c r="CN52" s="829" t="s">
        <v>75</v>
      </c>
      <c r="CO52" s="829" t="s">
        <v>76</v>
      </c>
      <c r="CP52" s="829" t="s">
        <v>78</v>
      </c>
      <c r="CQ52" s="829" t="s">
        <v>79</v>
      </c>
      <c r="CR52" s="829" t="s">
        <v>80</v>
      </c>
      <c r="CS52" s="694" t="s">
        <v>73</v>
      </c>
      <c r="CT52" s="676" t="s">
        <v>89</v>
      </c>
      <c r="CU52" s="676" t="s">
        <v>90</v>
      </c>
      <c r="CV52" s="676" t="s">
        <v>91</v>
      </c>
      <c r="CW52" s="676" t="s">
        <v>92</v>
      </c>
      <c r="CX52" s="676" t="s">
        <v>93</v>
      </c>
      <c r="CY52" s="677" t="s">
        <v>94</v>
      </c>
      <c r="CZ52" s="676" t="s">
        <v>95</v>
      </c>
      <c r="DA52" s="676" t="s">
        <v>96</v>
      </c>
      <c r="DB52" s="676" t="s">
        <v>97</v>
      </c>
      <c r="DC52" s="676" t="s">
        <v>98</v>
      </c>
      <c r="DD52" s="676" t="s">
        <v>99</v>
      </c>
      <c r="DE52" s="676" t="s">
        <v>100</v>
      </c>
      <c r="DF52" s="676" t="s">
        <v>101</v>
      </c>
      <c r="DG52" s="676" t="s">
        <v>102</v>
      </c>
      <c r="DH52" s="676" t="s">
        <v>103</v>
      </c>
      <c r="DI52" s="676" t="s">
        <v>89</v>
      </c>
      <c r="DJ52" s="676" t="s">
        <v>90</v>
      </c>
      <c r="DK52" s="676" t="s">
        <v>91</v>
      </c>
      <c r="DL52" s="676" t="s">
        <v>92</v>
      </c>
      <c r="DM52" s="676" t="s">
        <v>93</v>
      </c>
      <c r="DN52" s="676" t="s">
        <v>94</v>
      </c>
      <c r="DO52" s="676" t="s">
        <v>95</v>
      </c>
      <c r="DP52" s="676" t="s">
        <v>97</v>
      </c>
      <c r="DQ52" s="676" t="s">
        <v>98</v>
      </c>
      <c r="DR52" s="676" t="s">
        <v>100</v>
      </c>
      <c r="DS52" s="676" t="s">
        <v>101</v>
      </c>
      <c r="DT52" s="676" t="s">
        <v>104</v>
      </c>
      <c r="DU52" s="676" t="s">
        <v>105</v>
      </c>
      <c r="DV52" s="676" t="s">
        <v>106</v>
      </c>
      <c r="DW52" s="676"/>
      <c r="DX52" s="676"/>
      <c r="DY52" s="676"/>
      <c r="DZ52" s="676"/>
      <c r="EA52" s="676"/>
      <c r="EB52" s="676"/>
      <c r="EC52" s="676"/>
      <c r="ED52" s="676"/>
      <c r="EE52" s="676"/>
      <c r="EF52" s="676"/>
      <c r="EG52" s="676"/>
      <c r="EH52" s="676"/>
      <c r="EI52" s="676"/>
      <c r="EJ52" s="676"/>
      <c r="EK52" s="676"/>
      <c r="EL52" s="676"/>
      <c r="EM52" s="676"/>
      <c r="EN52" s="676"/>
      <c r="EO52" s="397" t="s">
        <v>107</v>
      </c>
      <c r="EP52" s="88" t="s">
        <v>108</v>
      </c>
      <c r="EQ52" s="88" t="s">
        <v>109</v>
      </c>
      <c r="ER52" s="88" t="s">
        <v>110</v>
      </c>
      <c r="ES52" s="88" t="s">
        <v>111</v>
      </c>
      <c r="ET52" s="88" t="s">
        <v>112</v>
      </c>
      <c r="EU52" s="88" t="s">
        <v>113</v>
      </c>
      <c r="EV52" s="693"/>
      <c r="EX52" s="583" t="s">
        <v>164</v>
      </c>
      <c r="EY52" s="591" t="s">
        <v>115</v>
      </c>
      <c r="EZ52" s="647" t="s">
        <v>116</v>
      </c>
      <c r="FA52" s="647" t="s">
        <v>117</v>
      </c>
      <c r="FB52" s="647" t="s">
        <v>118</v>
      </c>
      <c r="FC52" s="648" t="s">
        <v>119</v>
      </c>
      <c r="FD52" s="594" t="s">
        <v>120</v>
      </c>
      <c r="FE52" s="54"/>
      <c r="FF52" s="54"/>
      <c r="FG52" s="54"/>
      <c r="FH52" s="54"/>
    </row>
    <row r="53" spans="1:164" x14ac:dyDescent="0.35">
      <c r="A53" s="54"/>
      <c r="B53" s="54"/>
      <c r="C53" s="205" t="s">
        <v>121</v>
      </c>
      <c r="D53" s="247">
        <f ca="1">VLOOKUP(D$28,$A$4:$C$15,3,0)</f>
        <v>1</v>
      </c>
      <c r="E53" s="247">
        <v>0</v>
      </c>
      <c r="F53" s="247">
        <v>0</v>
      </c>
      <c r="G53" s="247">
        <v>0</v>
      </c>
      <c r="H53" s="247">
        <f ca="1">VLOOKUP(H$28,$A$4:$C$15,3,0)</f>
        <v>0.25</v>
      </c>
      <c r="I53" s="247">
        <f ca="1">VLOOKUP(I$28,$A$4:$C$24,3,0)</f>
        <v>1</v>
      </c>
      <c r="J53" s="247">
        <v>0</v>
      </c>
      <c r="K53" s="247">
        <v>0</v>
      </c>
      <c r="L53" s="247">
        <v>0</v>
      </c>
      <c r="M53" s="830">
        <f t="shared" ref="M53:R53" ca="1" si="71">VLOOKUP(M$28,$A$4:$C$15,3,0)</f>
        <v>0.25</v>
      </c>
      <c r="N53" s="830">
        <f t="shared" ca="1" si="71"/>
        <v>0.25</v>
      </c>
      <c r="O53" s="830">
        <f t="shared" ca="1" si="71"/>
        <v>0.25</v>
      </c>
      <c r="P53" s="247">
        <f t="shared" ca="1" si="71"/>
        <v>0</v>
      </c>
      <c r="Q53" s="247">
        <f t="shared" ca="1" si="71"/>
        <v>0.25</v>
      </c>
      <c r="R53" s="247">
        <f t="shared" ca="1" si="71"/>
        <v>0.25</v>
      </c>
      <c r="S53" s="247">
        <f ca="1">VLOOKUP($S$28,$A$4:$C$24,3,0)</f>
        <v>0</v>
      </c>
      <c r="T53" s="247">
        <f ca="1">VLOOKUP($T$28,$A$4:$C$24,3,0)</f>
        <v>0.25</v>
      </c>
      <c r="U53" s="830">
        <f ca="1">VLOOKUP(U52,$A$4:$C$24,3,0)</f>
        <v>0.25</v>
      </c>
      <c r="V53" s="830">
        <f ca="1">VLOOKUP(V52,$A$4:$C$24,3,0)</f>
        <v>0.5</v>
      </c>
      <c r="W53" s="830">
        <f ca="1">VLOOKUP(W$28,$A$4:$C$24,3,0)</f>
        <v>1</v>
      </c>
      <c r="X53" s="830">
        <f t="shared" ref="X53:AA53" ca="1" si="72">VLOOKUP(X$28,$A$4:$C$24,3,0)</f>
        <v>0.25</v>
      </c>
      <c r="Y53" s="830">
        <f t="shared" ca="1" si="72"/>
        <v>1</v>
      </c>
      <c r="Z53" s="830">
        <f t="shared" ca="1" si="72"/>
        <v>0.25</v>
      </c>
      <c r="AA53" s="247">
        <f t="shared" ca="1" si="72"/>
        <v>0.25</v>
      </c>
      <c r="AB53" s="248">
        <v>0</v>
      </c>
      <c r="AC53" s="248">
        <v>0</v>
      </c>
      <c r="AD53" s="248">
        <v>0</v>
      </c>
      <c r="AE53" s="248">
        <v>0</v>
      </c>
      <c r="AF53" s="248">
        <v>0</v>
      </c>
      <c r="AG53" s="248">
        <v>0</v>
      </c>
      <c r="AH53" s="248">
        <v>0</v>
      </c>
      <c r="AI53" s="248">
        <v>0</v>
      </c>
      <c r="AJ53" s="248">
        <v>0</v>
      </c>
      <c r="AK53" s="248">
        <v>0</v>
      </c>
      <c r="AL53" s="248">
        <v>0</v>
      </c>
      <c r="AM53" s="248">
        <v>0</v>
      </c>
      <c r="AN53" s="248">
        <v>0</v>
      </c>
      <c r="AO53" s="248">
        <v>0</v>
      </c>
      <c r="AP53" s="248">
        <v>0</v>
      </c>
      <c r="AQ53" s="248">
        <v>0</v>
      </c>
      <c r="AR53" s="248">
        <v>0</v>
      </c>
      <c r="AS53" s="248">
        <v>0</v>
      </c>
      <c r="AT53" s="248">
        <v>0</v>
      </c>
      <c r="AU53" s="248">
        <v>0</v>
      </c>
      <c r="AV53" s="248">
        <v>0</v>
      </c>
      <c r="AW53" s="248">
        <v>0</v>
      </c>
      <c r="AX53" s="248">
        <v>0</v>
      </c>
      <c r="AY53" s="248">
        <v>0</v>
      </c>
      <c r="AZ53" s="248">
        <v>0</v>
      </c>
      <c r="BA53" s="248">
        <v>0</v>
      </c>
      <c r="BB53" s="248">
        <v>0</v>
      </c>
      <c r="BC53" s="248">
        <v>0</v>
      </c>
      <c r="BD53" s="248">
        <v>0</v>
      </c>
      <c r="BE53" s="425"/>
      <c r="BV53" s="247">
        <f ca="1">VLOOKUP(BV$28,$A$4:$C$15,3,0)</f>
        <v>1</v>
      </c>
      <c r="BW53" s="247">
        <v>0</v>
      </c>
      <c r="BX53" s="247">
        <v>0</v>
      </c>
      <c r="BY53" s="247">
        <v>0</v>
      </c>
      <c r="BZ53" s="247">
        <f ca="1">VLOOKUP(BZ$28,$A$4:$C$15,3,0)</f>
        <v>0.25</v>
      </c>
      <c r="CA53" s="646">
        <f ca="1">VLOOKUP(CA$52,$A$4:$C$24,3,0)</f>
        <v>0</v>
      </c>
      <c r="CB53" s="247">
        <v>0</v>
      </c>
      <c r="CC53" s="247">
        <v>0</v>
      </c>
      <c r="CD53" s="247">
        <v>0</v>
      </c>
      <c r="CE53" s="830">
        <f ca="1">VLOOKUP(CE$28,$A$4:$C$15,3,0)</f>
        <v>0.25</v>
      </c>
      <c r="CF53" s="830">
        <f ca="1">VLOOKUP(CF$28,$A$4:$C$15,3,0)</f>
        <v>0.25</v>
      </c>
      <c r="CG53" s="830">
        <f ca="1">VLOOKUP(CG$28,$A$4:$C$15,3,0)</f>
        <v>0.25</v>
      </c>
      <c r="CH53" s="247"/>
      <c r="CI53" s="247">
        <f ca="1">VLOOKUP(CI52,$A$4:$C$15,3,0)</f>
        <v>0.25</v>
      </c>
      <c r="CJ53" s="247">
        <f ca="1">VLOOKUP(CJ52,$A$4:$C$24,3,0)</f>
        <v>0.25</v>
      </c>
      <c r="CK53" s="247">
        <f ca="1">VLOOKUP($S$28,$A$4:$C$24,3,0)</f>
        <v>0</v>
      </c>
      <c r="CL53" s="247">
        <f ca="1">VLOOKUP($T$28,$A$4:$C$24,3,0)</f>
        <v>0.25</v>
      </c>
      <c r="CM53" s="830">
        <f ca="1">VLOOKUP(CM52,$A$4:$C$24,3,0)</f>
        <v>0.25</v>
      </c>
      <c r="CN53" s="830">
        <f ca="1">VLOOKUP(CN52,$A$4:$C$24,3,0)</f>
        <v>0.5</v>
      </c>
      <c r="CO53" s="830">
        <f ca="1">VLOOKUP(CO$28,$A$4:$C$24,3,0)</f>
        <v>1</v>
      </c>
      <c r="CP53" s="830">
        <f t="shared" ref="CP53" ca="1" si="73">VLOOKUP(CP$28,$A$4:$C$24,3,0)</f>
        <v>0.25</v>
      </c>
      <c r="CQ53" s="830">
        <f ca="1">VLOOKUP(CQ$28,$A$4:$C$24,3,0)</f>
        <v>1</v>
      </c>
      <c r="CR53" s="830">
        <f ca="1">VLOOKUP(CR$28,$A$4:$C$24,3,0)</f>
        <v>0.25</v>
      </c>
      <c r="CS53" s="247">
        <f ca="1">VLOOKUP(CS$28,$A$4:$C$24,3,0)</f>
        <v>0.25</v>
      </c>
      <c r="CT53" s="247">
        <v>0</v>
      </c>
      <c r="CU53" s="247">
        <v>0</v>
      </c>
      <c r="CV53" s="247">
        <v>0</v>
      </c>
      <c r="CW53" s="247">
        <v>0</v>
      </c>
      <c r="CX53" s="247">
        <v>0</v>
      </c>
      <c r="CY53" s="247">
        <v>0</v>
      </c>
      <c r="CZ53" s="247">
        <v>0</v>
      </c>
      <c r="DA53" s="247">
        <v>0</v>
      </c>
      <c r="DB53" s="247">
        <v>0</v>
      </c>
      <c r="DC53" s="247">
        <v>0</v>
      </c>
      <c r="DD53" s="247">
        <v>0</v>
      </c>
      <c r="DE53" s="247">
        <v>0</v>
      </c>
      <c r="DF53" s="247">
        <v>0</v>
      </c>
      <c r="DG53" s="247">
        <v>0</v>
      </c>
      <c r="DH53" s="247">
        <v>0</v>
      </c>
      <c r="DI53" s="247">
        <v>0</v>
      </c>
      <c r="DJ53" s="247">
        <v>0</v>
      </c>
      <c r="DK53" s="247">
        <v>0</v>
      </c>
      <c r="DL53" s="247">
        <v>0</v>
      </c>
      <c r="DM53" s="247">
        <v>0</v>
      </c>
      <c r="DN53" s="247">
        <v>0</v>
      </c>
      <c r="DO53" s="247">
        <v>0</v>
      </c>
      <c r="DP53" s="247">
        <v>0</v>
      </c>
      <c r="DQ53" s="247">
        <v>0</v>
      </c>
      <c r="DR53" s="247">
        <v>0</v>
      </c>
      <c r="DS53" s="247">
        <v>0</v>
      </c>
      <c r="DT53" s="247">
        <v>0</v>
      </c>
      <c r="DU53" s="247">
        <v>0</v>
      </c>
      <c r="DV53" s="247">
        <v>0</v>
      </c>
      <c r="DW53" s="247"/>
      <c r="DX53" s="247"/>
      <c r="DY53" s="247"/>
      <c r="DZ53" s="247"/>
      <c r="EA53" s="247"/>
      <c r="EB53" s="247"/>
      <c r="EC53" s="247"/>
      <c r="ED53" s="247"/>
      <c r="EE53" s="247"/>
      <c r="EF53" s="247"/>
      <c r="EG53" s="247"/>
      <c r="EH53" s="247"/>
      <c r="EI53" s="247"/>
      <c r="EJ53" s="247"/>
      <c r="EK53" s="247"/>
      <c r="EL53" s="247"/>
      <c r="EM53" s="247"/>
      <c r="EN53" s="247"/>
      <c r="EO53" s="398"/>
      <c r="EX53" s="398"/>
      <c r="EY53" s="587"/>
      <c r="FD53" s="588"/>
    </row>
    <row r="54" spans="1:164" x14ac:dyDescent="0.35">
      <c r="A54" s="54" t="s">
        <v>122</v>
      </c>
      <c r="B54" s="54" t="s">
        <v>123</v>
      </c>
      <c r="C54" s="54" t="s">
        <v>124</v>
      </c>
      <c r="M54" s="831"/>
      <c r="N54" s="831"/>
      <c r="O54" s="831"/>
      <c r="U54" s="831"/>
      <c r="V54" s="831"/>
      <c r="W54" s="831"/>
      <c r="X54" s="831"/>
      <c r="Y54" s="843" t="str">
        <f>IFERROR(INDEX(SSW_HH_ODI,MATCH($A54,ODI_Options,0)),"")</f>
        <v/>
      </c>
      <c r="Z54" s="843"/>
      <c r="BE54" s="399"/>
      <c r="CE54" s="831"/>
      <c r="CF54" s="831"/>
      <c r="CG54" s="831"/>
      <c r="CM54" s="831"/>
      <c r="CN54" s="831"/>
      <c r="CO54" s="844"/>
      <c r="CP54" s="831"/>
      <c r="CQ54" s="843" t="str">
        <f>IFERROR(INDEX(CAM_HH_ODI,MATCH($A54,ODI_Options,0)),"")</f>
        <v/>
      </c>
      <c r="CR54" s="843"/>
      <c r="EO54" s="399"/>
      <c r="EX54" s="399"/>
      <c r="EY54" s="587"/>
      <c r="FD54" s="588"/>
    </row>
    <row r="55" spans="1:164" x14ac:dyDescent="0.35">
      <c r="A55" s="200" t="s">
        <v>125</v>
      </c>
      <c r="B55" s="7" t="s">
        <v>126</v>
      </c>
      <c r="C55" s="7" t="s">
        <v>127</v>
      </c>
      <c r="D55" s="244">
        <f ca="1">INDEX(INDIRECT("SSW_WTPCore_DCE_"&amp;$B55&amp;"_UnitValues"),MATCH("COMBINED-NHH",WTPCore_Group,0),MATCH("MEAN",LMH,0))</f>
        <v>670.99390887298591</v>
      </c>
      <c r="E55" s="244">
        <f t="shared" ref="E55:E65" ca="1" si="74">INDEX(INDIRECT("SSW_WTPCore_DCE_"&amp;$B55&amp;"_UnitValues"),MATCH("COMBINED-NHH",WTPCore_Group,0),MATCH("LOW",LMH,0))</f>
        <v>559.16159072748826</v>
      </c>
      <c r="F55" s="244">
        <f t="shared" ref="F55:F65" ca="1" si="75">INDEX(INDIRECT("SSW_WTPCore_DCE_"&amp;$B55&amp;"_UnitValues"),MATCH("COMBINED-NHH",WTPCore_Group,0),MATCH("HIGH",LMH,0))</f>
        <v>782.82622701848345</v>
      </c>
      <c r="G55" s="244">
        <f t="shared" ref="G55:G65" ca="1" si="76">INDEX(INDIRECT("SSW_WTPCore_DCE_"&amp;$B31&amp;"_UnitValues"),3,MATCH("MEAN",LMH,0))</f>
        <v>1286.0716586732228</v>
      </c>
      <c r="H55" s="245">
        <f ca="1">INDEX(SSW_WTPMaxdiff_WTP_NHH_Unitvalues,MATCH($B55,WTPMaxdiff_WTP_options,0))</f>
        <v>437.86379102101603</v>
      </c>
      <c r="I55" s="244">
        <f ca="1">INDEX(INDIRECT("SSW_WTPCore2_"&amp;$B55&amp;"_UnitValues"),2,MATCH("MEAN",LMH,0))</f>
        <v>47.605134837061335</v>
      </c>
      <c r="J55" s="244">
        <f t="shared" ref="J55:J63" ca="1" si="77">INDEX(INDIRECT("SSW_WTPCore2_"&amp;$B55&amp;"_UnitValues"),2,MATCH("LOW",LMH,0))</f>
        <v>40.602919984804799</v>
      </c>
      <c r="K55" s="244">
        <f t="shared" ref="K55:K63" ca="1" si="78">INDEX(INDIRECT("SSW_WTPCore2_"&amp;$B55&amp;"_UnitValues"),2,MATCH("HIGH",LMH,0))</f>
        <v>54.607349689317864</v>
      </c>
      <c r="L55" s="367" t="s">
        <v>128</v>
      </c>
      <c r="M55" s="852" t="s">
        <v>128</v>
      </c>
      <c r="N55" s="852" t="s">
        <v>128</v>
      </c>
      <c r="O55" s="852" t="s">
        <v>128</v>
      </c>
      <c r="P55" s="367" t="str">
        <f t="shared" ref="P55:P70" si="79">IFERROR(INDEX(SSW_PR14_WTPCore_NHH_UnitValues,MATCH($B55,SSW_PR14_WTPCore_Options,0)),"x")</f>
        <v>x</v>
      </c>
      <c r="Q55" s="367" t="s">
        <v>128</v>
      </c>
      <c r="R55" s="367" t="s">
        <v>128</v>
      </c>
      <c r="S55" s="853" t="s">
        <v>128</v>
      </c>
      <c r="T55" s="244">
        <f ca="1">AVERAGE($AQ55:$BD55)</f>
        <v>387.45832826120522</v>
      </c>
      <c r="U55" s="852" t="s">
        <v>128</v>
      </c>
      <c r="V55" s="852" t="s">
        <v>128</v>
      </c>
      <c r="W55" s="852">
        <f t="shared" ref="W55:W70" si="80">IFERROR(INDEX(SSW_NHH_PR24,MATCH($A55,PR24_NHHOptions,0)),"x")</f>
        <v>17539.595465620605</v>
      </c>
      <c r="X55" s="852" t="str">
        <f t="shared" ref="X55:X70" si="81">IFERROR(INDEX(SSW_NHH_PR24_WWYW,MATCH($A55,PR24_NHHOptions_WWYW,0)),"x")</f>
        <v>x</v>
      </c>
      <c r="Y55" s="852">
        <f t="shared" ref="Y55:Y70" si="82">IFERROR(INDEX(SSW_NHH_ODI,MATCH($A55,ODI_Options,0)),"x")</f>
        <v>14669.2265625</v>
      </c>
      <c r="Z55" s="852">
        <f t="shared" ref="Z55:Z70" si="83">IFERROR(INDEX(SSW_NHH_ODI_National,MATCH($A55,ODI_National_Options,0)),"x")</f>
        <v>12294.57586229472</v>
      </c>
      <c r="AA55" s="853" t="s">
        <v>128</v>
      </c>
      <c r="AB55" s="244" t="str">
        <f t="shared" ref="AB55:AI59" ca="1" si="84">IFERROR(INDEX(INDIRECT("PR14_Comp"&amp;AB$28&amp;"_NHH_UnitValues"),MATCH($B55,INDIRECT("PR14_Comp"&amp;AB$28&amp;"_WTPCore_Options"),0)),"")</f>
        <v/>
      </c>
      <c r="AC55" s="244" t="str">
        <f t="shared" ca="1" si="84"/>
        <v/>
      </c>
      <c r="AD55" s="244" t="str">
        <f t="shared" ca="1" si="84"/>
        <v/>
      </c>
      <c r="AE55" s="244" t="str">
        <f t="shared" ca="1" si="84"/>
        <v/>
      </c>
      <c r="AF55" s="244" t="str">
        <f t="shared" ca="1" si="84"/>
        <v/>
      </c>
      <c r="AG55" s="244" t="str">
        <f t="shared" ca="1" si="84"/>
        <v/>
      </c>
      <c r="AH55" s="244" t="str">
        <f t="shared" ca="1" si="84"/>
        <v/>
      </c>
      <c r="AI55" s="244" t="str">
        <f t="shared" ca="1" si="84"/>
        <v/>
      </c>
      <c r="AJ55" s="244"/>
      <c r="AK55" s="244" t="str">
        <f t="shared" ref="AK55:AP64" ca="1" si="85">IFERROR(INDEX(INDIRECT("PR14_Comp"&amp;AK$28&amp;"_NHH_UnitValues"),MATCH($B55,INDIRECT("PR14_Comp"&amp;AK$28&amp;"_WTPCore_Options"),0)),"")</f>
        <v/>
      </c>
      <c r="AL55" s="244" t="str">
        <f t="shared" ca="1" si="85"/>
        <v/>
      </c>
      <c r="AM55" s="244" t="str">
        <f t="shared" ca="1" si="85"/>
        <v/>
      </c>
      <c r="AN55" s="244" t="str">
        <f t="shared" ca="1" si="85"/>
        <v/>
      </c>
      <c r="AO55" s="244" t="str">
        <f t="shared" ca="1" si="85"/>
        <v/>
      </c>
      <c r="AP55" s="244" t="str">
        <f t="shared" ca="1" si="85"/>
        <v/>
      </c>
      <c r="AQ55" s="244" t="str">
        <f t="shared" ref="AQ55:AU65" ca="1" si="86">IFERROR(INDEX(INDIRECT("PR19_Comp"&amp;AQ$52&amp;"_UnitValues_NHH"),MATCH($B55,INDIRECT("PR19_Comp"&amp;AQ$52&amp;"_WTPCore_Options"),0)),"")</f>
        <v/>
      </c>
      <c r="AR55" s="244" t="str">
        <f t="shared" ca="1" si="86"/>
        <v/>
      </c>
      <c r="AS55" s="244">
        <f t="shared" ca="1" si="86"/>
        <v>232.89558338042497</v>
      </c>
      <c r="AT55" s="244">
        <f t="shared" ca="1" si="86"/>
        <v>422.66536449852345</v>
      </c>
      <c r="AU55" s="244" t="str">
        <f t="shared" ca="1" si="86"/>
        <v/>
      </c>
      <c r="AV55" s="244"/>
      <c r="AW55" s="244" t="str">
        <f t="shared" ref="AW55:BD65" ca="1" si="87">IFERROR(INDEX(INDIRECT("PR19_Comp"&amp;AW$52&amp;"_UnitValues_NHH"),MATCH($B55,INDIRECT("PR19_Comp"&amp;AW$52&amp;"_WTPCore_Options"),0)),"")</f>
        <v/>
      </c>
      <c r="AX55" s="244" t="str">
        <f t="shared" ca="1" si="87"/>
        <v/>
      </c>
      <c r="AY55" s="244" t="str">
        <f t="shared" ca="1" si="87"/>
        <v/>
      </c>
      <c r="AZ55" s="244" t="str">
        <f t="shared" ca="1" si="87"/>
        <v/>
      </c>
      <c r="BA55" s="244" t="str">
        <f t="shared" ca="1" si="87"/>
        <v/>
      </c>
      <c r="BB55" s="244" t="str">
        <f t="shared" ca="1" si="87"/>
        <v/>
      </c>
      <c r="BC55" s="244">
        <f t="shared" ca="1" si="87"/>
        <v>506.81403690466738</v>
      </c>
      <c r="BD55" s="244" t="str">
        <f t="shared" ca="1" si="87"/>
        <v/>
      </c>
      <c r="BE55" s="479">
        <f ca="1">SUMPRODUCT($D$53:$AA$53,D55:AA55)/SUMIF($D55:$AA55,"&lt;&gt;x",$D$53:$AA$53)</f>
        <v>7622.6095930999772</v>
      </c>
      <c r="BF55" s="400">
        <f t="shared" ref="BF55:BF70" ca="1" si="88">_xlfn.MINIFS($D55:$AA55,$D$29:$AA$29,"&gt;0")</f>
        <v>47.605134837061335</v>
      </c>
      <c r="BG55" s="400">
        <f t="shared" ref="BG55:BG70" ca="1" si="89">_xlfn.MAXIFS($D55:$AA55,$D$29:$AA$29,"&gt;0")</f>
        <v>17539.595465620605</v>
      </c>
      <c r="BH55" s="10">
        <f ca="1">0.8*BF55+0.2*BE55</f>
        <v>1562.6060264896446</v>
      </c>
      <c r="BI55" s="400">
        <f ca="1">0.8*BG55+0.2*BE55</f>
        <v>15556.19829111648</v>
      </c>
      <c r="BJ55" s="400">
        <f ca="1">BE55-BH55</f>
        <v>6060.0035666103322</v>
      </c>
      <c r="BK55" s="400">
        <f t="shared" ref="BK55:BK65" ca="1" si="90">BI55-BE55</f>
        <v>7933.5886980165023</v>
      </c>
      <c r="BL55" s="400"/>
      <c r="BM55" s="400"/>
      <c r="BN55" s="400"/>
      <c r="BO55" s="400"/>
      <c r="BP55" s="400"/>
      <c r="BQ55" s="400"/>
      <c r="BR55" s="400"/>
      <c r="BS55" s="400"/>
      <c r="BT55" s="400"/>
      <c r="BU55" s="688"/>
      <c r="BV55" s="244">
        <f ca="1">INDEX(INDIRECT("CAM_WTPCore_"&amp;$B55&amp;"_UnitValues"),MATCH("COMBINED-NHH",WTPCore_Group,0),MATCH("MEAN",LMH,0))</f>
        <v>657.70066863241811</v>
      </c>
      <c r="BW55" s="244">
        <f t="shared" ref="BW55:BW65" ca="1" si="91">INDEX(INDIRECT("CAM_WTPCore_"&amp;$B55&amp;"_UnitValues"),MATCH("COMBINED-NHH",WTPCore_Group,0),MATCH("LOW",LMH,0))</f>
        <v>438.46711242161206</v>
      </c>
      <c r="BX55" s="244">
        <f t="shared" ref="BX55:BX65" ca="1" si="92">INDEX(INDIRECT("CAM_WTPCore_"&amp;$B55&amp;"_UnitValues"),MATCH("COMBINED-NHH",WTPCore_Group,0),MATCH("HIGH",LMH,0))</f>
        <v>876.93422484322411</v>
      </c>
      <c r="BY55" s="244">
        <f t="shared" ref="BY55:BY65" ca="1" si="93">INDEX(INDIRECT("CAM_WTPCore_"&amp;$B55&amp;"_UnitValues"),3,MATCH("MEAN",LMH,0))</f>
        <v>7965.4858756592866</v>
      </c>
      <c r="BZ55" s="245">
        <f ca="1">INDEX(CAM_WTPMaxdiff_WTP_NHH_Unitvalues,MATCH($B55,WTPMaxdiff_WTP_options,0))</f>
        <v>2436.8849864826743</v>
      </c>
      <c r="CA55" s="244">
        <f ca="1">INDEX(INDIRECT("CAM_WTPCore2_"&amp;$B55&amp;"_UnitValues"),2,MATCH("MEAN",LMH,0))</f>
        <v>122.71155623456495</v>
      </c>
      <c r="CB55" s="244">
        <f t="shared" ref="CB55:CB63" ca="1" si="94">INDEX(INDIRECT("CAM_WTPCore2_"&amp;$B55&amp;"_UnitValues"),2,MATCH("LOW",LMH,0))</f>
        <v>0</v>
      </c>
      <c r="CC55" s="244">
        <f t="shared" ref="CC55:CC63" ca="1" si="95">INDEX(INDIRECT("CAM_WTPCore2_"&amp;$B55&amp;"_UnitValues"),2,MATCH("HIGH",LMH,0))</f>
        <v>4238.0723066904939</v>
      </c>
      <c r="CD55" s="853" t="s">
        <v>128</v>
      </c>
      <c r="CE55" s="852" t="s">
        <v>128</v>
      </c>
      <c r="CF55" s="852" t="s">
        <v>128</v>
      </c>
      <c r="CG55" s="852" t="s">
        <v>128</v>
      </c>
      <c r="CH55" s="853" t="s">
        <v>128</v>
      </c>
      <c r="CI55" s="853" t="s">
        <v>128</v>
      </c>
      <c r="CJ55" s="853" t="s">
        <v>128</v>
      </c>
      <c r="CK55" s="853" t="s">
        <v>128</v>
      </c>
      <c r="CL55" s="244">
        <f t="shared" ref="CL55:CL70" ca="1" si="96">AVERAGE($DI55:$DV55)</f>
        <v>1407.2443989049395</v>
      </c>
      <c r="CM55" s="852" t="s">
        <v>128</v>
      </c>
      <c r="CN55" s="852" t="s">
        <v>128</v>
      </c>
      <c r="CO55" s="852">
        <f t="shared" ref="CO55:CO70" si="97">IFERROR(INDEX(CAM_NHH_PR24,MATCH($A55,PR24_NHHOptions,0)),"x")</f>
        <v>6784.9706277194809</v>
      </c>
      <c r="CP55" s="852" t="str">
        <f t="shared" ref="CP55:CP70" si="98">IFERROR(INDEX(CAM_NHH_PR24_WWYW,MATCH($A55,PR24_NHHOptions_WWYW,0)),"x")</f>
        <v>x</v>
      </c>
      <c r="CQ55" s="852">
        <f t="shared" ref="CQ55:CQ70" si="99">IFERROR(INDEX(CAM_NHH_ODI,MATCH($A55,ODI_Options,0)),"x")</f>
        <v>14669.2265625</v>
      </c>
      <c r="CR55" s="852">
        <f t="shared" ref="CR55:CR70" si="100">IFERROR(INDEX(CAM_NHH_ODI_National,MATCH($A55,ODI_National_Options,0)),"x")</f>
        <v>12294.57586229472</v>
      </c>
      <c r="CS55" s="853" t="s">
        <v>128</v>
      </c>
      <c r="CT55" s="244" t="str">
        <f t="shared" ref="CT55:DA59" ca="1" si="101">IFERROR(INDEX(INDIRECT("PR14_Comp"&amp;CT$28&amp;"_NHH_UnitValues_CAM"),MATCH($B55,INDIRECT("PR14_Comp"&amp;CT$28&amp;"_WTPCore_Options"),0)),"")</f>
        <v/>
      </c>
      <c r="CU55" s="244" t="str">
        <f t="shared" ca="1" si="101"/>
        <v/>
      </c>
      <c r="CV55" s="244" t="str">
        <f t="shared" ca="1" si="101"/>
        <v/>
      </c>
      <c r="CW55" s="244" t="str">
        <f t="shared" ca="1" si="101"/>
        <v/>
      </c>
      <c r="CX55" s="244" t="str">
        <f t="shared" ca="1" si="101"/>
        <v/>
      </c>
      <c r="CY55" s="244" t="str">
        <f t="shared" ca="1" si="101"/>
        <v/>
      </c>
      <c r="CZ55" s="244" t="str">
        <f t="shared" ca="1" si="101"/>
        <v/>
      </c>
      <c r="DA55" s="244" t="str">
        <f t="shared" ca="1" si="101"/>
        <v/>
      </c>
      <c r="DB55" s="244"/>
      <c r="DC55" s="244" t="str">
        <f t="shared" ref="DC55:DH64" ca="1" si="102">IFERROR(INDEX(INDIRECT("PR14_Comp"&amp;DC$28&amp;"_NHH_UnitValues_CAM"),MATCH($B55,INDIRECT("PR14_Comp"&amp;DC$28&amp;"_WTPCore_Options"),0)),"")</f>
        <v/>
      </c>
      <c r="DD55" s="244" t="str">
        <f t="shared" ca="1" si="102"/>
        <v/>
      </c>
      <c r="DE55" s="244" t="str">
        <f t="shared" ca="1" si="102"/>
        <v/>
      </c>
      <c r="DF55" s="244" t="str">
        <f t="shared" ca="1" si="102"/>
        <v/>
      </c>
      <c r="DG55" s="244" t="str">
        <f t="shared" ca="1" si="102"/>
        <v/>
      </c>
      <c r="DH55" s="244" t="str">
        <f t="shared" ca="1" si="102"/>
        <v/>
      </c>
      <c r="DI55" s="244" t="str">
        <f t="shared" ref="DI55:DM65" ca="1" si="103">IFERROR(INDEX(INDIRECT("PR19_Comp"&amp;DI$52&amp;"_UnitValues_NHH_CAM"),MATCH($B55,INDIRECT("PR19_Comp"&amp;DI$52&amp;"_WTPCore_Options"),0)),"")</f>
        <v/>
      </c>
      <c r="DJ55" s="244" t="str">
        <f t="shared" ca="1" si="103"/>
        <v/>
      </c>
      <c r="DK55" s="244">
        <f t="shared" ca="1" si="103"/>
        <v>256.62138317872552</v>
      </c>
      <c r="DL55" s="244">
        <f t="shared" ca="1" si="103"/>
        <v>2682.1319565209878</v>
      </c>
      <c r="DM55" s="244" t="str">
        <f t="shared" ca="1" si="103"/>
        <v/>
      </c>
      <c r="DN55" s="244"/>
      <c r="DO55" s="244" t="str">
        <f t="shared" ref="DO55:DV65" ca="1" si="104">IFERROR(INDEX(INDIRECT("PR19_Comp"&amp;DO$52&amp;"_UnitValues_NHH_CAM"),MATCH($B55,INDIRECT("PR19_Comp"&amp;DO$52&amp;"_WTPCore_Options"),0)),"")</f>
        <v/>
      </c>
      <c r="DP55" s="244" t="str">
        <f t="shared" ca="1" si="104"/>
        <v/>
      </c>
      <c r="DQ55" s="244" t="str">
        <f t="shared" ca="1" si="104"/>
        <v/>
      </c>
      <c r="DR55" s="244" t="str">
        <f t="shared" ca="1" si="104"/>
        <v/>
      </c>
      <c r="DS55" s="244" t="str">
        <f t="shared" ca="1" si="104"/>
        <v/>
      </c>
      <c r="DT55" s="244" t="str">
        <f t="shared" ca="1" si="104"/>
        <v/>
      </c>
      <c r="DU55" s="244">
        <f t="shared" ca="1" si="104"/>
        <v>1282.9798570151054</v>
      </c>
      <c r="DV55" s="244" t="str">
        <f t="shared" ca="1" si="104"/>
        <v/>
      </c>
      <c r="DW55" s="244"/>
      <c r="DX55" s="244"/>
      <c r="DY55" s="244"/>
      <c r="DZ55" s="244"/>
      <c r="EA55" s="244"/>
      <c r="EB55" s="244"/>
      <c r="EC55" s="244"/>
      <c r="ED55" s="244"/>
      <c r="EE55" s="244"/>
      <c r="EF55" s="244"/>
      <c r="EG55" s="244"/>
      <c r="EH55" s="244"/>
      <c r="EI55" s="244"/>
      <c r="EJ55" s="244"/>
      <c r="EK55" s="244"/>
      <c r="EL55" s="244"/>
      <c r="EM55" s="244"/>
      <c r="EN55" s="244"/>
      <c r="EO55" s="479">
        <f ca="1">SUMPRODUCT($BV$53:$CS$53,BV55:CS55)/SUMIF($BV55:$CS55,"&lt;&gt;x",$BV$53:$CS$53)</f>
        <v>6972.4197788726624</v>
      </c>
      <c r="EP55" s="400">
        <f t="shared" ref="EP55:EP65" ca="1" si="105">_xlfn.MINIFS($BV55:$CS55,$BV$29:$CS$29,"&gt;0")</f>
        <v>122.71155623456495</v>
      </c>
      <c r="EQ55" s="400">
        <f t="shared" ref="EQ55:EQ65" ca="1" si="106">_xlfn.MAXIFS($BV55:$CS55,$BV$29:$CS$29,"&gt;0")</f>
        <v>14669.2265625</v>
      </c>
      <c r="ER55" s="10">
        <f ca="1">0.8*EP55+0.2*EO55</f>
        <v>1492.6532007621847</v>
      </c>
      <c r="ES55" s="400">
        <f ca="1">0.8*EQ55+0.2*EO55</f>
        <v>13129.865205774533</v>
      </c>
      <c r="ET55" s="400">
        <f ca="1">EO55-ER55</f>
        <v>5479.7665781104779</v>
      </c>
      <c r="EU55" s="400">
        <f ca="1">ES55-EO55</f>
        <v>6157.4454269018706</v>
      </c>
      <c r="EX55" s="479">
        <f t="shared" ref="EX55:EX65" ca="1" si="107">(BE55*NHHProps_SSW+EO55*NHHProps_CAM)/NHHProps_All</f>
        <v>7477.808377863038</v>
      </c>
      <c r="EY55" s="592">
        <f t="shared" ref="EY55:EY65" ca="1" si="108">(BF55*NHHProps_SSW+EP55*NHHProps_CAM)/NHHProps_All</f>
        <v>64.331790426676449</v>
      </c>
      <c r="EZ55" s="244">
        <f t="shared" ref="EZ55:EZ65" ca="1" si="109">(BG55*NHHProps_SSW+EQ55*NHHProps_CAM)/NHHProps_All</f>
        <v>16900.346901193123</v>
      </c>
      <c r="FA55" s="244">
        <f t="shared" ref="FA55:FA65" ca="1" si="110">(BH55*HHProps_SSW+ER55*HHProps_CAM)/HHProps_All</f>
        <v>1548.5307082096929</v>
      </c>
      <c r="FB55" s="244">
        <f t="shared" ref="FB55:FB65" ca="1" si="111">(BI55*HHProps_SSW+ES55*HHProps_CAM)/HHProps_All</f>
        <v>15067.991988165673</v>
      </c>
      <c r="FC55" s="260">
        <f t="shared" ref="FC55:FC65" ca="1" si="112">(BJ55*HHProps_SSW+ET55*HHProps_CAM)/HHProps_All</f>
        <v>5943.2531679523099</v>
      </c>
      <c r="FD55" s="589">
        <f t="shared" ref="FD55:FD65" ca="1" si="113">(BK55*HHProps_SSW+EU55*HHProps_CAM)/HHProps_All</f>
        <v>7576.2081120036719</v>
      </c>
      <c r="FE55" s="260"/>
      <c r="FF55" s="260"/>
      <c r="FG55" s="260"/>
      <c r="FH55" s="260"/>
    </row>
    <row r="56" spans="1:164" x14ac:dyDescent="0.35">
      <c r="A56" s="200" t="s">
        <v>129</v>
      </c>
      <c r="B56" s="7" t="s">
        <v>130</v>
      </c>
      <c r="C56" s="7" t="s">
        <v>127</v>
      </c>
      <c r="D56" s="244">
        <f t="shared" ref="D56:D70" ca="1" si="114">INDEX(INDIRECT("SSW_WTPCore_DCE_"&amp;$B56&amp;"_UnitValues"),MATCH("COMBINED-NHH",WTPCore_Group,0),MATCH("MEAN",LMH,0))</f>
        <v>37.156930418313699</v>
      </c>
      <c r="E56" s="244">
        <f t="shared" ca="1" si="74"/>
        <v>37.156930418313699</v>
      </c>
      <c r="F56" s="244">
        <f t="shared" ca="1" si="75"/>
        <v>44.588316501976436</v>
      </c>
      <c r="G56" s="244">
        <f t="shared" ca="1" si="76"/>
        <v>43.684499275585026</v>
      </c>
      <c r="H56" s="245">
        <f t="shared" ref="H56:H65" ca="1" si="115">INDEX(SSW_WTPMaxdiff_WTP_NHH_Unitvalues,MATCH($B56,WTPMaxdiff_WTP_options,0))</f>
        <v>58.005053837702548</v>
      </c>
      <c r="I56" s="244">
        <f t="shared" ref="I56:I63" ca="1" si="116">INDEX(INDIRECT("SSW_WTPCore2_"&amp;$B56&amp;"_UnitValues"),2,MATCH("MEAN",LMH,0))</f>
        <v>173.64881354494736</v>
      </c>
      <c r="J56" s="244">
        <f t="shared" ca="1" si="77"/>
        <v>148.13493144945809</v>
      </c>
      <c r="K56" s="244">
        <f t="shared" ca="1" si="78"/>
        <v>199.16269564043657</v>
      </c>
      <c r="L56" s="367" t="s">
        <v>128</v>
      </c>
      <c r="M56" s="852" t="s">
        <v>128</v>
      </c>
      <c r="N56" s="852" t="s">
        <v>128</v>
      </c>
      <c r="O56" s="852" t="s">
        <v>128</v>
      </c>
      <c r="P56" s="367">
        <f t="shared" ca="1" si="79"/>
        <v>97.155651993089919</v>
      </c>
      <c r="Q56" s="367" t="s">
        <v>128</v>
      </c>
      <c r="R56" s="367" t="s">
        <v>128</v>
      </c>
      <c r="S56" s="244">
        <f ca="1">AVERAGE( $AB56:$AP56)</f>
        <v>112.66464149650764</v>
      </c>
      <c r="T56" s="244">
        <f ca="1">AVERAGE($AQ56:$BD56)</f>
        <v>79.326027416999338</v>
      </c>
      <c r="U56" s="852" t="s">
        <v>128</v>
      </c>
      <c r="V56" s="852" t="s">
        <v>128</v>
      </c>
      <c r="W56" s="852" t="str">
        <f t="shared" si="80"/>
        <v>x</v>
      </c>
      <c r="X56" s="852">
        <f t="shared" si="81"/>
        <v>0</v>
      </c>
      <c r="Y56" s="852">
        <f t="shared" si="82"/>
        <v>5540.083984375</v>
      </c>
      <c r="Z56" s="852">
        <f t="shared" si="83"/>
        <v>4857.280586828474</v>
      </c>
      <c r="AA56" s="853" t="s">
        <v>128</v>
      </c>
      <c r="AB56" s="244" t="str">
        <f t="shared" ca="1" si="84"/>
        <v/>
      </c>
      <c r="AC56" s="244" t="str">
        <f t="shared" ca="1" si="84"/>
        <v/>
      </c>
      <c r="AD56" s="244">
        <f t="shared" ca="1" si="84"/>
        <v>84.372143309034797</v>
      </c>
      <c r="AE56" s="244">
        <f t="shared" ca="1" si="84"/>
        <v>119.48274968649763</v>
      </c>
      <c r="AF56" s="244">
        <f t="shared" ca="1" si="84"/>
        <v>63.570345119434585</v>
      </c>
      <c r="AG56" s="244" t="str">
        <f t="shared" ca="1" si="84"/>
        <v/>
      </c>
      <c r="AH56" s="244">
        <f t="shared" ca="1" si="84"/>
        <v>124.60020046662694</v>
      </c>
      <c r="AI56" s="244" t="str">
        <f t="shared" ca="1" si="84"/>
        <v/>
      </c>
      <c r="AJ56" s="244" t="str">
        <f ca="1">IFERROR(INDEX(INDIRECT("PR14_Comp"&amp;AJ$28&amp;"_NHH_UnitValues"),MATCH($B56,INDIRECT("PR14_Comp"&amp;AJ$28&amp;"_WTPCore_Options"),0)),"")</f>
        <v/>
      </c>
      <c r="AK56" s="244">
        <f t="shared" ca="1" si="85"/>
        <v>137.75251650397612</v>
      </c>
      <c r="AL56" s="244" t="str">
        <f t="shared" ca="1" si="85"/>
        <v/>
      </c>
      <c r="AM56" s="244">
        <f t="shared" ca="1" si="85"/>
        <v>95.029184646400907</v>
      </c>
      <c r="AN56" s="244">
        <f t="shared" ca="1" si="85"/>
        <v>102.88075617452554</v>
      </c>
      <c r="AO56" s="244" t="str">
        <f t="shared" ca="1" si="85"/>
        <v/>
      </c>
      <c r="AP56" s="244">
        <f t="shared" ca="1" si="85"/>
        <v>173.62923606556453</v>
      </c>
      <c r="AQ56" s="244">
        <f t="shared" ca="1" si="86"/>
        <v>104.0129853827026</v>
      </c>
      <c r="AR56" s="244" t="str">
        <f t="shared" ca="1" si="86"/>
        <v/>
      </c>
      <c r="AS56" s="244">
        <f t="shared" ca="1" si="86"/>
        <v>33.354914752431469</v>
      </c>
      <c r="AT56" s="244">
        <f t="shared" ca="1" si="86"/>
        <v>154.14590964621195</v>
      </c>
      <c r="AU56" s="244" t="str">
        <f t="shared" ca="1" si="86"/>
        <v/>
      </c>
      <c r="AV56" s="244"/>
      <c r="AW56" s="244" t="str">
        <f t="shared" ca="1" si="87"/>
        <v/>
      </c>
      <c r="AX56" s="244" t="str">
        <f t="shared" ca="1" si="87"/>
        <v/>
      </c>
      <c r="AY56" s="244" t="str">
        <f t="shared" ca="1" si="87"/>
        <v/>
      </c>
      <c r="AZ56" s="244">
        <f t="shared" ca="1" si="87"/>
        <v>43.313829601973239</v>
      </c>
      <c r="BA56" s="244">
        <f t="shared" ca="1" si="87"/>
        <v>61.802497701677432</v>
      </c>
      <c r="BB56" s="244" t="str">
        <f t="shared" ca="1" si="87"/>
        <v/>
      </c>
      <c r="BC56" s="244" t="str">
        <f t="shared" ca="1" si="87"/>
        <v/>
      </c>
      <c r="BD56" s="244" t="str">
        <f t="shared" ca="1" si="87"/>
        <v/>
      </c>
      <c r="BE56" s="479">
        <f t="shared" ref="BE56:BE70" ca="1" si="117">SUMPRODUCT($D$53:$AA$53,D56:AA56)/SUMIF($D56:$AA56,"&lt;&gt;x",$D$53:$AA$53)</f>
        <v>1749.8856613397638</v>
      </c>
      <c r="BF56" s="400">
        <f t="shared" ca="1" si="88"/>
        <v>0</v>
      </c>
      <c r="BG56" s="400">
        <f t="shared" ca="1" si="89"/>
        <v>5540.083984375</v>
      </c>
      <c r="BH56" s="10">
        <f t="shared" ref="BH56:BH70" ca="1" si="118">0.8*BF56+0.2*BE56</f>
        <v>349.97713226795281</v>
      </c>
      <c r="BI56" s="400">
        <f t="shared" ref="BI56:BI70" ca="1" si="119">0.8*BG56+0.2*BE56</f>
        <v>4782.0443197679524</v>
      </c>
      <c r="BJ56" s="400">
        <f t="shared" ref="BJ56:BJ70" ca="1" si="120">BE56-BH56</f>
        <v>1399.908529071811</v>
      </c>
      <c r="BK56" s="400">
        <f t="shared" ca="1" si="90"/>
        <v>3032.1586584281886</v>
      </c>
      <c r="BL56" s="400"/>
      <c r="BM56" s="400"/>
      <c r="BN56" s="400"/>
      <c r="BO56" s="400"/>
      <c r="BP56" s="400"/>
      <c r="BQ56" s="400"/>
      <c r="BR56" s="400"/>
      <c r="BS56" s="400"/>
      <c r="BT56" s="400"/>
      <c r="BU56" s="688"/>
      <c r="BV56" s="244">
        <f t="shared" ref="BV56:BV70" ca="1" si="121">INDEX(INDIRECT("CAM_WTPCore_"&amp;$B56&amp;"_UnitValues"),MATCH("COMBINED-NHH",WTPCore_Group,0),MATCH("MEAN",LMH,0))</f>
        <v>243.59284023422896</v>
      </c>
      <c r="BW56" s="244">
        <f t="shared" ca="1" si="91"/>
        <v>182.6946301756717</v>
      </c>
      <c r="BX56" s="244">
        <f t="shared" ca="1" si="92"/>
        <v>274.04194526350756</v>
      </c>
      <c r="BY56" s="244">
        <f t="shared" ca="1" si="93"/>
        <v>1469.5499314755596</v>
      </c>
      <c r="BZ56" s="245">
        <f t="shared" ref="BZ56:BZ65" ca="1" si="122">INDEX(CAM_WTPMaxdiff_WTP_NHH_Unitvalues,MATCH($B56,WTPMaxdiff_WTP_options,0))</f>
        <v>1311.8369796608804</v>
      </c>
      <c r="CA56" s="244">
        <f t="shared" ref="CA56:CA63" ca="1" si="123">INDEX(INDIRECT("CAM_WTPCore2_"&amp;$B56&amp;"_UnitValues"),2,MATCH("MEAN",LMH,0))</f>
        <v>2518.7889835624424</v>
      </c>
      <c r="CB56" s="244">
        <f t="shared" ca="1" si="94"/>
        <v>2483.1736811345572</v>
      </c>
      <c r="CC56" s="244">
        <f t="shared" ca="1" si="95"/>
        <v>2554.404285990327</v>
      </c>
      <c r="CD56" s="853" t="s">
        <v>128</v>
      </c>
      <c r="CE56" s="852" t="s">
        <v>128</v>
      </c>
      <c r="CF56" s="852" t="s">
        <v>128</v>
      </c>
      <c r="CG56" s="852" t="s">
        <v>128</v>
      </c>
      <c r="CH56" s="853" t="s">
        <v>128</v>
      </c>
      <c r="CI56" s="367" t="str">
        <f t="shared" ref="CI56:CI70" si="124">IFERROR(INDEX(CAM_WRMP_Online_UnitValues,MATCH($A56,WRMP_Online_WTPAtts,0)),"x")</f>
        <v>x</v>
      </c>
      <c r="CJ56" s="367" t="str">
        <f t="shared" ref="CJ56:CJ70" si="125">IFERROR(INDEX(CAM_WRMP_Workshop_UnitValues,MATCH($A56,WRMP_Workshop_WTPAtts,0)),"x")</f>
        <v>x</v>
      </c>
      <c r="CK56" s="244">
        <f ca="1">AVERAGE($CT56:$DH56)</f>
        <v>831.36816229618285</v>
      </c>
      <c r="CL56" s="244">
        <f t="shared" ca="1" si="96"/>
        <v>407.06597202824906</v>
      </c>
      <c r="CM56" s="852" t="s">
        <v>128</v>
      </c>
      <c r="CN56" s="852" t="s">
        <v>128</v>
      </c>
      <c r="CO56" s="852" t="str">
        <f t="shared" si="97"/>
        <v>x</v>
      </c>
      <c r="CP56" s="852">
        <f t="shared" si="98"/>
        <v>0</v>
      </c>
      <c r="CQ56" s="852">
        <f t="shared" si="99"/>
        <v>5540.083984375</v>
      </c>
      <c r="CR56" s="852">
        <f t="shared" si="100"/>
        <v>4857.280586828474</v>
      </c>
      <c r="CS56" s="853" t="s">
        <v>128</v>
      </c>
      <c r="CT56" s="244" t="str">
        <f t="shared" ca="1" si="101"/>
        <v/>
      </c>
      <c r="CU56" s="244" t="str">
        <f t="shared" ca="1" si="101"/>
        <v/>
      </c>
      <c r="CV56" s="244">
        <f t="shared" ca="1" si="101"/>
        <v>760.28674499946908</v>
      </c>
      <c r="CW56" s="244">
        <f t="shared" ca="1" si="101"/>
        <v>1553.1157885772957</v>
      </c>
      <c r="CX56" s="244">
        <f t="shared" ca="1" si="101"/>
        <v>191.81074171185395</v>
      </c>
      <c r="CY56" s="244" t="str">
        <f t="shared" ca="1" si="101"/>
        <v/>
      </c>
      <c r="CZ56" s="244">
        <f t="shared" ca="1" si="101"/>
        <v>1468.5605540509973</v>
      </c>
      <c r="DA56" s="244" t="str">
        <f t="shared" ca="1" si="101"/>
        <v/>
      </c>
      <c r="DB56" s="244"/>
      <c r="DC56" s="244">
        <f t="shared" ca="1" si="102"/>
        <v>1263.7767734487493</v>
      </c>
      <c r="DD56" s="244" t="str">
        <f t="shared" ca="1" si="102"/>
        <v/>
      </c>
      <c r="DE56" s="244">
        <f t="shared" ca="1" si="102"/>
        <v>728.76124743472997</v>
      </c>
      <c r="DF56" s="244">
        <f t="shared" ca="1" si="102"/>
        <v>684.58060494888457</v>
      </c>
      <c r="DG56" s="244" t="str">
        <f t="shared" ca="1" si="102"/>
        <v/>
      </c>
      <c r="DH56" s="244">
        <f t="shared" ca="1" si="102"/>
        <v>5.2843197482237363E-2</v>
      </c>
      <c r="DI56" s="244">
        <f t="shared" ca="1" si="103"/>
        <v>558.72953870988295</v>
      </c>
      <c r="DJ56" s="244" t="str">
        <f t="shared" ca="1" si="103"/>
        <v/>
      </c>
      <c r="DK56" s="244">
        <f t="shared" ca="1" si="103"/>
        <v>144.85658990849052</v>
      </c>
      <c r="DL56" s="244">
        <f t="shared" ca="1" si="103"/>
        <v>978.17258038077568</v>
      </c>
      <c r="DM56" s="244" t="str">
        <f t="shared" ca="1" si="103"/>
        <v/>
      </c>
      <c r="DN56" s="244"/>
      <c r="DO56" s="244" t="str">
        <f t="shared" ca="1" si="104"/>
        <v/>
      </c>
      <c r="DP56" s="244" t="str">
        <f t="shared" ca="1" si="104"/>
        <v/>
      </c>
      <c r="DQ56" s="244" t="str">
        <f t="shared" ca="1" si="104"/>
        <v/>
      </c>
      <c r="DR56" s="244">
        <f t="shared" ca="1" si="104"/>
        <v>129.46038922754434</v>
      </c>
      <c r="DS56" s="244">
        <f t="shared" ca="1" si="104"/>
        <v>224.11076191455194</v>
      </c>
      <c r="DT56" s="244" t="str">
        <f t="shared" ca="1" si="104"/>
        <v/>
      </c>
      <c r="DU56" s="244" t="str">
        <f t="shared" ca="1" si="104"/>
        <v/>
      </c>
      <c r="DV56" s="244" t="str">
        <f t="shared" ca="1" si="104"/>
        <v/>
      </c>
      <c r="DW56" s="244"/>
      <c r="DX56" s="244"/>
      <c r="DY56" s="244"/>
      <c r="DZ56" s="244"/>
      <c r="EA56" s="244"/>
      <c r="EB56" s="244"/>
      <c r="EC56" s="244"/>
      <c r="ED56" s="244"/>
      <c r="EE56" s="244"/>
      <c r="EF56" s="244"/>
      <c r="EG56" s="244"/>
      <c r="EH56" s="244"/>
      <c r="EI56" s="244"/>
      <c r="EJ56" s="244"/>
      <c r="EK56" s="244"/>
      <c r="EL56" s="244"/>
      <c r="EM56" s="244"/>
      <c r="EN56" s="244"/>
      <c r="EO56" s="479">
        <f t="shared" ref="EO56:EO70" ca="1" si="126">SUMPRODUCT($BV$53:$CS$53,BV56:CS56)/SUMIF($BV56:$CS56,"&lt;&gt;x",$BV$53:$CS$53)</f>
        <v>2475.9075697462099</v>
      </c>
      <c r="EP56" s="400">
        <f t="shared" ca="1" si="105"/>
        <v>0</v>
      </c>
      <c r="EQ56" s="400">
        <f t="shared" ca="1" si="106"/>
        <v>5540.083984375</v>
      </c>
      <c r="ER56" s="10">
        <f t="shared" ref="ER56:ER70" ca="1" si="127">0.8*EP56+0.2*EO56</f>
        <v>495.181513949242</v>
      </c>
      <c r="ES56" s="400">
        <f t="shared" ref="ES56:ES70" ca="1" si="128">0.8*EQ56+0.2*EO56</f>
        <v>4927.2487014492417</v>
      </c>
      <c r="ET56" s="400">
        <f t="shared" ref="ET56:ET65" ca="1" si="129">EO56-ER56</f>
        <v>1980.726055796968</v>
      </c>
      <c r="EU56" s="400">
        <f t="shared" ref="EU56:EU65" ca="1" si="130">ES56-EO56</f>
        <v>2451.3411317030318</v>
      </c>
      <c r="EX56" s="479">
        <f t="shared" ca="1" si="107"/>
        <v>1911.5751438962229</v>
      </c>
      <c r="EY56" s="592">
        <f t="shared" ca="1" si="108"/>
        <v>0</v>
      </c>
      <c r="EZ56" s="244">
        <f t="shared" ca="1" si="109"/>
        <v>5540.083984375</v>
      </c>
      <c r="FA56" s="244">
        <f t="shared" ca="1" si="110"/>
        <v>379.19393468520587</v>
      </c>
      <c r="FB56" s="244">
        <f t="shared" ca="1" si="111"/>
        <v>4811.2611221852057</v>
      </c>
      <c r="FC56" s="260">
        <f t="shared" ca="1" si="112"/>
        <v>1516.7757387408235</v>
      </c>
      <c r="FD56" s="589">
        <f t="shared" ca="1" si="113"/>
        <v>2915.2914487591761</v>
      </c>
      <c r="FE56" s="260"/>
      <c r="FF56" s="260"/>
      <c r="FG56" s="260"/>
      <c r="FH56" s="260"/>
    </row>
    <row r="57" spans="1:164" x14ac:dyDescent="0.35">
      <c r="A57" s="200" t="s">
        <v>131</v>
      </c>
      <c r="B57" s="7" t="s">
        <v>132</v>
      </c>
      <c r="C57" s="7" t="s">
        <v>127</v>
      </c>
      <c r="D57" s="244">
        <f t="shared" ca="1" si="114"/>
        <v>59.451088669301917</v>
      </c>
      <c r="E57" s="244">
        <f t="shared" ca="1" si="74"/>
        <v>44.588316501976436</v>
      </c>
      <c r="F57" s="244">
        <f t="shared" ca="1" si="75"/>
        <v>66.88247475296464</v>
      </c>
      <c r="G57" s="244">
        <f t="shared" ca="1" si="76"/>
        <v>293.55983513193138</v>
      </c>
      <c r="H57" s="245">
        <f t="shared" ca="1" si="115"/>
        <v>346.24555213890142</v>
      </c>
      <c r="I57" s="244">
        <f t="shared" ca="1" si="116"/>
        <v>154.81769077846621</v>
      </c>
      <c r="J57" s="244">
        <f t="shared" ca="1" si="77"/>
        <v>132.05751259962224</v>
      </c>
      <c r="K57" s="244">
        <f t="shared" ca="1" si="78"/>
        <v>177.57786895731019</v>
      </c>
      <c r="L57" s="367" t="s">
        <v>128</v>
      </c>
      <c r="M57" s="852" t="s">
        <v>128</v>
      </c>
      <c r="N57" s="852" t="s">
        <v>128</v>
      </c>
      <c r="O57" s="852" t="s">
        <v>128</v>
      </c>
      <c r="P57" s="367">
        <f t="shared" ca="1" si="79"/>
        <v>106.22351284577832</v>
      </c>
      <c r="Q57" s="367" t="s">
        <v>128</v>
      </c>
      <c r="R57" s="367" t="s">
        <v>128</v>
      </c>
      <c r="S57" s="244">
        <f t="shared" ref="S57:S65" ca="1" si="131">AVERAGE( $AB57:$AP57)</f>
        <v>169.63504879521832</v>
      </c>
      <c r="T57" s="244">
        <f t="shared" ref="T57:T70" ca="1" si="132">AVERAGE($AQ57:$BD57)</f>
        <v>249.6432533843672</v>
      </c>
      <c r="U57" s="852" t="s">
        <v>128</v>
      </c>
      <c r="V57" s="852" t="s">
        <v>128</v>
      </c>
      <c r="W57" s="852">
        <f t="shared" si="80"/>
        <v>0</v>
      </c>
      <c r="X57" s="852">
        <f t="shared" si="81"/>
        <v>0</v>
      </c>
      <c r="Y57" s="852">
        <f t="shared" si="82"/>
        <v>7756.318359375</v>
      </c>
      <c r="Z57" s="852">
        <f t="shared" si="83"/>
        <v>4813.2581104638666</v>
      </c>
      <c r="AA57" s="853" t="s">
        <v>128</v>
      </c>
      <c r="AB57" s="244">
        <f t="shared" ca="1" si="84"/>
        <v>214.59285343248379</v>
      </c>
      <c r="AC57" s="244" t="str">
        <f t="shared" ca="1" si="84"/>
        <v/>
      </c>
      <c r="AD57" s="244">
        <f t="shared" ca="1" si="84"/>
        <v>306.96345210893776</v>
      </c>
      <c r="AE57" s="244">
        <f t="shared" ca="1" si="84"/>
        <v>118.62808051849693</v>
      </c>
      <c r="AF57" s="244" t="str">
        <f t="shared" ca="1" si="84"/>
        <v/>
      </c>
      <c r="AG57" s="244" t="str">
        <f t="shared" ca="1" si="84"/>
        <v/>
      </c>
      <c r="AH57" s="244">
        <f t="shared" ca="1" si="84"/>
        <v>160.54477442612398</v>
      </c>
      <c r="AI57" s="244" t="str">
        <f t="shared" ca="1" si="84"/>
        <v/>
      </c>
      <c r="AJ57" s="244" t="str">
        <f ca="1">IFERROR(INDEX(INDIRECT("PR14_Comp"&amp;AJ$28&amp;"_NHH_UnitValues"),MATCH($B57,INDIRECT("PR14_Comp"&amp;AJ$28&amp;"_WTPCore_Options"),0)),"")</f>
        <v/>
      </c>
      <c r="AK57" s="244" t="str">
        <f t="shared" ca="1" si="85"/>
        <v/>
      </c>
      <c r="AL57" s="244" t="str">
        <f t="shared" ca="1" si="85"/>
        <v/>
      </c>
      <c r="AM57" s="244">
        <f t="shared" ca="1" si="85"/>
        <v>205.2159741271513</v>
      </c>
      <c r="AN57" s="244">
        <f t="shared" ca="1" si="85"/>
        <v>64.300472609078454</v>
      </c>
      <c r="AO57" s="244" t="str">
        <f t="shared" ca="1" si="85"/>
        <v/>
      </c>
      <c r="AP57" s="244">
        <f t="shared" ca="1" si="85"/>
        <v>117.19973434425607</v>
      </c>
      <c r="AQ57" s="244" t="str">
        <f t="shared" ca="1" si="86"/>
        <v/>
      </c>
      <c r="AR57" s="244" t="str">
        <f t="shared" ca="1" si="86"/>
        <v/>
      </c>
      <c r="AS57" s="244">
        <f t="shared" ca="1" si="86"/>
        <v>97.397736535656577</v>
      </c>
      <c r="AT57" s="244">
        <f t="shared" ca="1" si="86"/>
        <v>239.22613253137595</v>
      </c>
      <c r="AU57" s="244" t="str">
        <f t="shared" ca="1" si="86"/>
        <v/>
      </c>
      <c r="AV57" s="244"/>
      <c r="AW57" s="244">
        <f t="shared" ca="1" si="87"/>
        <v>804.13627828103608</v>
      </c>
      <c r="AX57" s="244" t="str">
        <f t="shared" ca="1" si="87"/>
        <v/>
      </c>
      <c r="AY57" s="244">
        <f t="shared" ca="1" si="87"/>
        <v>151.89758935095301</v>
      </c>
      <c r="AZ57" s="244">
        <f t="shared" ca="1" si="87"/>
        <v>98.652461756335668</v>
      </c>
      <c r="BA57" s="244">
        <f t="shared" ca="1" si="87"/>
        <v>106.54932185084579</v>
      </c>
      <c r="BB57" s="244" t="str">
        <f t="shared" ca="1" si="87"/>
        <v/>
      </c>
      <c r="BC57" s="244" t="str">
        <f t="shared" ca="1" si="87"/>
        <v/>
      </c>
      <c r="BD57" s="244" t="str">
        <f t="shared" ca="1" si="87"/>
        <v/>
      </c>
      <c r="BE57" s="479">
        <f t="shared" ca="1" si="117"/>
        <v>1864.5747735639102</v>
      </c>
      <c r="BF57" s="400">
        <f t="shared" ca="1" si="88"/>
        <v>0</v>
      </c>
      <c r="BG57" s="400">
        <f t="shared" ca="1" si="89"/>
        <v>7756.318359375</v>
      </c>
      <c r="BH57" s="10">
        <f t="shared" ca="1" si="118"/>
        <v>372.91495471278205</v>
      </c>
      <c r="BI57" s="400">
        <f t="shared" ca="1" si="119"/>
        <v>6577.9696422127818</v>
      </c>
      <c r="BJ57" s="400">
        <f t="shared" ca="1" si="120"/>
        <v>1491.6598188511282</v>
      </c>
      <c r="BK57" s="400">
        <f t="shared" ca="1" si="90"/>
        <v>4713.3948686488711</v>
      </c>
      <c r="BL57" s="400"/>
      <c r="BM57" s="400"/>
      <c r="BN57" s="400"/>
      <c r="BO57" s="400"/>
      <c r="BP57" s="400"/>
      <c r="BQ57" s="400"/>
      <c r="BR57" s="400"/>
      <c r="BS57" s="400"/>
      <c r="BT57" s="400"/>
      <c r="BU57" s="688"/>
      <c r="BV57" s="244">
        <f t="shared" ca="1" si="121"/>
        <v>152.24552514639311</v>
      </c>
      <c r="BW57" s="244">
        <f t="shared" ca="1" si="91"/>
        <v>121.79642011711448</v>
      </c>
      <c r="BX57" s="244">
        <f t="shared" ca="1" si="92"/>
        <v>152.24552514639311</v>
      </c>
      <c r="BY57" s="244">
        <f t="shared" ca="1" si="93"/>
        <v>1563.0540581696362</v>
      </c>
      <c r="BZ57" s="245">
        <f t="shared" ca="1" si="122"/>
        <v>2309.3550135865971</v>
      </c>
      <c r="CA57" s="244">
        <f t="shared" ca="1" si="123"/>
        <v>3804.1888084146854</v>
      </c>
      <c r="CB57" s="244">
        <f t="shared" ca="1" si="94"/>
        <v>3774.2641217055425</v>
      </c>
      <c r="CC57" s="244">
        <f t="shared" ca="1" si="95"/>
        <v>104463.55973918781</v>
      </c>
      <c r="CD57" s="853" t="s">
        <v>128</v>
      </c>
      <c r="CE57" s="852" t="s">
        <v>128</v>
      </c>
      <c r="CF57" s="852" t="s">
        <v>128</v>
      </c>
      <c r="CG57" s="852" t="s">
        <v>128</v>
      </c>
      <c r="CH57" s="853" t="s">
        <v>128</v>
      </c>
      <c r="CI57" s="367" t="str">
        <f t="shared" si="124"/>
        <v>x</v>
      </c>
      <c r="CJ57" s="367" t="str">
        <f t="shared" si="125"/>
        <v>x</v>
      </c>
      <c r="CK57" s="244">
        <f t="shared" ref="CK57:CK65" ca="1" si="133">AVERAGE($CT57:$DH57)</f>
        <v>1453.7143548064109</v>
      </c>
      <c r="CL57" s="244">
        <f t="shared" ca="1" si="96"/>
        <v>1532.179761600968</v>
      </c>
      <c r="CM57" s="852" t="s">
        <v>128</v>
      </c>
      <c r="CN57" s="852" t="s">
        <v>128</v>
      </c>
      <c r="CO57" s="852">
        <f t="shared" si="97"/>
        <v>0</v>
      </c>
      <c r="CP57" s="852">
        <f t="shared" si="98"/>
        <v>0</v>
      </c>
      <c r="CQ57" s="852">
        <f t="shared" si="99"/>
        <v>7756.318359375</v>
      </c>
      <c r="CR57" s="852">
        <f t="shared" si="100"/>
        <v>4813.2581104638666</v>
      </c>
      <c r="CS57" s="853" t="s">
        <v>128</v>
      </c>
      <c r="CT57" s="244">
        <f t="shared" ca="1" si="101"/>
        <v>1974.0407924738458</v>
      </c>
      <c r="CU57" s="244" t="str">
        <f t="shared" ca="1" si="101"/>
        <v/>
      </c>
      <c r="CV57" s="244">
        <f t="shared" ca="1" si="101"/>
        <v>2766.0817265586006</v>
      </c>
      <c r="CW57" s="244">
        <f t="shared" ca="1" si="101"/>
        <v>1542.0062335803191</v>
      </c>
      <c r="CX57" s="244" t="str">
        <f t="shared" ca="1" si="101"/>
        <v/>
      </c>
      <c r="CY57" s="244" t="str">
        <f t="shared" ca="1" si="101"/>
        <v/>
      </c>
      <c r="CZ57" s="244">
        <f t="shared" ca="1" si="101"/>
        <v>1892.2098198740041</v>
      </c>
      <c r="DA57" s="244" t="str">
        <f t="shared" ca="1" si="101"/>
        <v/>
      </c>
      <c r="DB57" s="244"/>
      <c r="DC57" s="244" t="str">
        <f t="shared" ca="1" si="102"/>
        <v/>
      </c>
      <c r="DD57" s="244" t="str">
        <f t="shared" ca="1" si="102"/>
        <v/>
      </c>
      <c r="DE57" s="244">
        <f t="shared" ca="1" si="102"/>
        <v>1573.7633639067551</v>
      </c>
      <c r="DF57" s="244">
        <f t="shared" ca="1" si="102"/>
        <v>427.86287809305287</v>
      </c>
      <c r="DG57" s="244" t="str">
        <f t="shared" ca="1" si="102"/>
        <v/>
      </c>
      <c r="DH57" s="244">
        <f t="shared" ca="1" si="102"/>
        <v>3.566915830051022E-2</v>
      </c>
      <c r="DI57" s="244" t="str">
        <f t="shared" ca="1" si="103"/>
        <v/>
      </c>
      <c r="DJ57" s="244" t="str">
        <f t="shared" ca="1" si="103"/>
        <v/>
      </c>
      <c r="DK57" s="244">
        <f t="shared" ca="1" si="103"/>
        <v>422.98725942126208</v>
      </c>
      <c r="DL57" s="244">
        <f t="shared" ca="1" si="103"/>
        <v>1518.0710528732477</v>
      </c>
      <c r="DM57" s="244" t="str">
        <f t="shared" ca="1" si="103"/>
        <v/>
      </c>
      <c r="DN57" s="244"/>
      <c r="DO57" s="244">
        <f t="shared" ca="1" si="104"/>
        <v>5925.7697126268658</v>
      </c>
      <c r="DP57" s="244" t="str">
        <f t="shared" ca="1" si="104"/>
        <v/>
      </c>
      <c r="DQ57" s="244">
        <f t="shared" ca="1" si="104"/>
        <v>645.01538351081501</v>
      </c>
      <c r="DR57" s="244">
        <f t="shared" ca="1" si="104"/>
        <v>294.86162305650333</v>
      </c>
      <c r="DS57" s="244">
        <f t="shared" ca="1" si="104"/>
        <v>386.37353811711313</v>
      </c>
      <c r="DT57" s="244" t="str">
        <f t="shared" ca="1" si="104"/>
        <v/>
      </c>
      <c r="DU57" s="244" t="str">
        <f t="shared" ca="1" si="104"/>
        <v/>
      </c>
      <c r="DV57" s="244" t="str">
        <f t="shared" ca="1" si="104"/>
        <v/>
      </c>
      <c r="DW57" s="244"/>
      <c r="DX57" s="244"/>
      <c r="DY57" s="244"/>
      <c r="DZ57" s="244"/>
      <c r="EA57" s="244"/>
      <c r="EB57" s="244"/>
      <c r="EC57" s="244"/>
      <c r="ED57" s="244"/>
      <c r="EE57" s="244"/>
      <c r="EF57" s="244"/>
      <c r="EG57" s="244"/>
      <c r="EH57" s="244"/>
      <c r="EI57" s="244"/>
      <c r="EJ57" s="244"/>
      <c r="EK57" s="244"/>
      <c r="EL57" s="244"/>
      <c r="EM57" s="244"/>
      <c r="EN57" s="244"/>
      <c r="EO57" s="479">
        <f t="shared" ca="1" si="126"/>
        <v>2518.0655264835627</v>
      </c>
      <c r="EP57" s="400">
        <f t="shared" ca="1" si="105"/>
        <v>0</v>
      </c>
      <c r="EQ57" s="400">
        <f t="shared" ca="1" si="106"/>
        <v>7756.318359375</v>
      </c>
      <c r="ER57" s="10">
        <f t="shared" ca="1" si="127"/>
        <v>503.61310529671255</v>
      </c>
      <c r="ES57" s="400">
        <f t="shared" ca="1" si="128"/>
        <v>6708.6677927967121</v>
      </c>
      <c r="ET57" s="400">
        <f t="shared" ca="1" si="129"/>
        <v>2014.4524211868502</v>
      </c>
      <c r="EU57" s="400">
        <f t="shared" ca="1" si="130"/>
        <v>4190.6022663131498</v>
      </c>
      <c r="EX57" s="479">
        <f t="shared" ca="1" si="107"/>
        <v>2010.1111278688779</v>
      </c>
      <c r="EY57" s="592">
        <f t="shared" ca="1" si="108"/>
        <v>0</v>
      </c>
      <c r="EZ57" s="244">
        <f t="shared" ca="1" si="109"/>
        <v>7756.318359375</v>
      </c>
      <c r="FA57" s="244">
        <f t="shared" ca="1" si="110"/>
        <v>399.21293551540373</v>
      </c>
      <c r="FB57" s="244">
        <f t="shared" ca="1" si="111"/>
        <v>6604.2676230154029</v>
      </c>
      <c r="FC57" s="260">
        <f t="shared" ca="1" si="112"/>
        <v>1596.8517420616149</v>
      </c>
      <c r="FD57" s="589">
        <f t="shared" ca="1" si="113"/>
        <v>4608.2029454383855</v>
      </c>
      <c r="FE57" s="260"/>
      <c r="FF57" s="260"/>
      <c r="FG57" s="260"/>
      <c r="FH57" s="260"/>
    </row>
    <row r="58" spans="1:164" x14ac:dyDescent="0.35">
      <c r="A58" s="200" t="s">
        <v>133</v>
      </c>
      <c r="B58" s="7" t="s">
        <v>134</v>
      </c>
      <c r="C58" s="7" t="s">
        <v>127</v>
      </c>
      <c r="D58" s="244">
        <f t="shared" ca="1" si="114"/>
        <v>25.861223571146333</v>
      </c>
      <c r="E58" s="244">
        <f t="shared" ca="1" si="74"/>
        <v>23.065415617508894</v>
      </c>
      <c r="F58" s="244">
        <f t="shared" ca="1" si="75"/>
        <v>28.657031524783775</v>
      </c>
      <c r="G58" s="244">
        <f t="shared" ca="1" si="76"/>
        <v>30.054935501602493</v>
      </c>
      <c r="H58" s="245">
        <f t="shared" ca="1" si="115"/>
        <v>12.047203489368993</v>
      </c>
      <c r="I58" s="244">
        <f t="shared" ca="1" si="116"/>
        <v>12.961619104875577</v>
      </c>
      <c r="J58" s="244">
        <f t="shared" ca="1" si="77"/>
        <v>11.061087781702666</v>
      </c>
      <c r="K58" s="244">
        <f t="shared" ca="1" si="78"/>
        <v>14.862150428048491</v>
      </c>
      <c r="L58" s="367" t="s">
        <v>128</v>
      </c>
      <c r="M58" s="852" t="s">
        <v>128</v>
      </c>
      <c r="N58" s="852" t="s">
        <v>128</v>
      </c>
      <c r="O58" s="852" t="s">
        <v>128</v>
      </c>
      <c r="P58" s="367" t="str">
        <f t="shared" si="79"/>
        <v>x</v>
      </c>
      <c r="Q58" s="367" t="s">
        <v>128</v>
      </c>
      <c r="R58" s="367" t="s">
        <v>128</v>
      </c>
      <c r="S58" s="853" t="s">
        <v>128</v>
      </c>
      <c r="T58" s="853" t="s">
        <v>128</v>
      </c>
      <c r="U58" s="852" t="s">
        <v>128</v>
      </c>
      <c r="V58" s="852" t="s">
        <v>128</v>
      </c>
      <c r="W58" s="852">
        <f t="shared" si="80"/>
        <v>0</v>
      </c>
      <c r="X58" s="852" t="str">
        <f t="shared" si="81"/>
        <v>x</v>
      </c>
      <c r="Y58" s="852">
        <f t="shared" ca="1" si="82"/>
        <v>63.365269422269094</v>
      </c>
      <c r="Z58" s="852">
        <f t="shared" ca="1" si="83"/>
        <v>53.107715572296812</v>
      </c>
      <c r="AA58" s="853" t="s">
        <v>128</v>
      </c>
      <c r="AB58" s="244" t="str">
        <f t="shared" ca="1" si="84"/>
        <v/>
      </c>
      <c r="AC58" s="244" t="str">
        <f t="shared" ca="1" si="84"/>
        <v/>
      </c>
      <c r="AD58" s="244" t="str">
        <f t="shared" ca="1" si="84"/>
        <v/>
      </c>
      <c r="AE58" s="244" t="str">
        <f t="shared" ca="1" si="84"/>
        <v/>
      </c>
      <c r="AF58" s="244" t="str">
        <f t="shared" ca="1" si="84"/>
        <v/>
      </c>
      <c r="AG58" s="244" t="str">
        <f t="shared" ca="1" si="84"/>
        <v/>
      </c>
      <c r="AH58" s="244" t="str">
        <f t="shared" ca="1" si="84"/>
        <v/>
      </c>
      <c r="AI58" s="244" t="str">
        <f t="shared" ca="1" si="84"/>
        <v/>
      </c>
      <c r="AJ58" s="244" t="str">
        <f ca="1">IFERROR(INDEX(INDIRECT("PR14_Comp"&amp;AJ$28&amp;"_NHH_UnitValues"),MATCH($B58,INDIRECT("PR14_Comp"&amp;AJ$28&amp;"_WTPCore_Options"),0)),"")</f>
        <v/>
      </c>
      <c r="AK58" s="244" t="str">
        <f t="shared" ca="1" si="85"/>
        <v/>
      </c>
      <c r="AL58" s="244" t="str">
        <f t="shared" ca="1" si="85"/>
        <v/>
      </c>
      <c r="AM58" s="244" t="str">
        <f t="shared" ca="1" si="85"/>
        <v/>
      </c>
      <c r="AN58" s="244" t="str">
        <f t="shared" ca="1" si="85"/>
        <v/>
      </c>
      <c r="AO58" s="244" t="str">
        <f t="shared" ca="1" si="85"/>
        <v/>
      </c>
      <c r="AP58" s="244" t="str">
        <f t="shared" ca="1" si="85"/>
        <v/>
      </c>
      <c r="AQ58" s="244" t="str">
        <f t="shared" ca="1" si="86"/>
        <v/>
      </c>
      <c r="AR58" s="244" t="str">
        <f t="shared" ca="1" si="86"/>
        <v/>
      </c>
      <c r="AS58" s="244" t="str">
        <f t="shared" ca="1" si="86"/>
        <v/>
      </c>
      <c r="AT58" s="244" t="str">
        <f t="shared" ca="1" si="86"/>
        <v/>
      </c>
      <c r="AU58" s="244" t="str">
        <f t="shared" ca="1" si="86"/>
        <v/>
      </c>
      <c r="AV58" s="244"/>
      <c r="AW58" s="244" t="str">
        <f t="shared" ca="1" si="87"/>
        <v/>
      </c>
      <c r="AX58" s="244" t="str">
        <f t="shared" ca="1" si="87"/>
        <v/>
      </c>
      <c r="AY58" s="244" t="str">
        <f t="shared" ca="1" si="87"/>
        <v/>
      </c>
      <c r="AZ58" s="244" t="str">
        <f t="shared" ca="1" si="87"/>
        <v/>
      </c>
      <c r="BA58" s="244" t="str">
        <f t="shared" ca="1" si="87"/>
        <v/>
      </c>
      <c r="BB58" s="244" t="str">
        <f t="shared" ca="1" si="87"/>
        <v/>
      </c>
      <c r="BC58" s="244" t="str">
        <f t="shared" ca="1" si="87"/>
        <v/>
      </c>
      <c r="BD58" s="244" t="str">
        <f t="shared" ca="1" si="87"/>
        <v/>
      </c>
      <c r="BE58" s="479">
        <f t="shared" ca="1" si="117"/>
        <v>26.328187080823877</v>
      </c>
      <c r="BF58" s="400">
        <f t="shared" ca="1" si="88"/>
        <v>0</v>
      </c>
      <c r="BG58" s="400">
        <f t="shared" ca="1" si="89"/>
        <v>63.365269422269094</v>
      </c>
      <c r="BH58" s="10">
        <f t="shared" ca="1" si="118"/>
        <v>5.2656374161647754</v>
      </c>
      <c r="BI58" s="400">
        <f t="shared" ca="1" si="119"/>
        <v>55.957852953980051</v>
      </c>
      <c r="BJ58" s="400">
        <f t="shared" ca="1" si="120"/>
        <v>21.062549664659102</v>
      </c>
      <c r="BK58" s="400">
        <f t="shared" ca="1" si="90"/>
        <v>29.629665873156174</v>
      </c>
      <c r="BL58" s="400"/>
      <c r="BM58" s="400"/>
      <c r="BN58" s="400"/>
      <c r="BO58" s="400"/>
      <c r="BP58" s="400"/>
      <c r="BQ58" s="400"/>
      <c r="BR58" s="400"/>
      <c r="BS58" s="400"/>
      <c r="BT58" s="400"/>
      <c r="BU58" s="688"/>
      <c r="BV58" s="244">
        <f t="shared" ca="1" si="121"/>
        <v>19.182936168445536</v>
      </c>
      <c r="BW58" s="244">
        <f t="shared" ca="1" si="91"/>
        <v>16.442516715810459</v>
      </c>
      <c r="BX58" s="244">
        <f t="shared" ca="1" si="92"/>
        <v>22.836828771958967</v>
      </c>
      <c r="BY58" s="244">
        <f t="shared" ca="1" si="93"/>
        <v>158.94432825283445</v>
      </c>
      <c r="BZ58" s="245">
        <f t="shared" ca="1" si="122"/>
        <v>51.710182841878989</v>
      </c>
      <c r="CA58" s="244">
        <f t="shared" ca="1" si="123"/>
        <v>123.17277606712938</v>
      </c>
      <c r="CB58" s="244">
        <f t="shared" ca="1" si="94"/>
        <v>122.08664550282214</v>
      </c>
      <c r="CC58" s="244">
        <f t="shared" ca="1" si="95"/>
        <v>124.25890663143659</v>
      </c>
      <c r="CD58" s="853" t="s">
        <v>128</v>
      </c>
      <c r="CE58" s="852" t="s">
        <v>128</v>
      </c>
      <c r="CF58" s="852" t="s">
        <v>128</v>
      </c>
      <c r="CG58" s="852" t="s">
        <v>128</v>
      </c>
      <c r="CH58" s="853" t="s">
        <v>128</v>
      </c>
      <c r="CI58" s="367" t="str">
        <f t="shared" si="124"/>
        <v>x</v>
      </c>
      <c r="CJ58" s="367" t="str">
        <f t="shared" si="125"/>
        <v>x</v>
      </c>
      <c r="CK58" s="853" t="s">
        <v>128</v>
      </c>
      <c r="CL58" s="853" t="s">
        <v>128</v>
      </c>
      <c r="CM58" s="852" t="s">
        <v>128</v>
      </c>
      <c r="CN58" s="852" t="s">
        <v>128</v>
      </c>
      <c r="CO58" s="852">
        <f t="shared" si="97"/>
        <v>0</v>
      </c>
      <c r="CP58" s="852" t="str">
        <f t="shared" si="98"/>
        <v>x</v>
      </c>
      <c r="CQ58" s="852">
        <f t="shared" ca="1" si="99"/>
        <v>46.804017666993559</v>
      </c>
      <c r="CR58" s="852">
        <f t="shared" ca="1" si="100"/>
        <v>39.227395078760459</v>
      </c>
      <c r="CS58" s="853" t="s">
        <v>128</v>
      </c>
      <c r="CT58" s="244" t="str">
        <f t="shared" ca="1" si="101"/>
        <v/>
      </c>
      <c r="CU58" s="244" t="str">
        <f t="shared" ca="1" si="101"/>
        <v/>
      </c>
      <c r="CV58" s="244" t="str">
        <f t="shared" ca="1" si="101"/>
        <v/>
      </c>
      <c r="CW58" s="244" t="str">
        <f t="shared" ca="1" si="101"/>
        <v/>
      </c>
      <c r="CX58" s="244" t="str">
        <f t="shared" ca="1" si="101"/>
        <v/>
      </c>
      <c r="CY58" s="244" t="str">
        <f t="shared" ca="1" si="101"/>
        <v/>
      </c>
      <c r="CZ58" s="244" t="str">
        <f t="shared" ca="1" si="101"/>
        <v/>
      </c>
      <c r="DA58" s="244" t="str">
        <f t="shared" ca="1" si="101"/>
        <v/>
      </c>
      <c r="DB58" s="244"/>
      <c r="DC58" s="244" t="str">
        <f t="shared" ca="1" si="102"/>
        <v/>
      </c>
      <c r="DD58" s="244" t="str">
        <f t="shared" ca="1" si="102"/>
        <v/>
      </c>
      <c r="DE58" s="244" t="str">
        <f t="shared" ca="1" si="102"/>
        <v/>
      </c>
      <c r="DF58" s="244" t="str">
        <f t="shared" ca="1" si="102"/>
        <v/>
      </c>
      <c r="DG58" s="244" t="str">
        <f t="shared" ca="1" si="102"/>
        <v/>
      </c>
      <c r="DH58" s="244" t="str">
        <f t="shared" ca="1" si="102"/>
        <v/>
      </c>
      <c r="DI58" s="244" t="str">
        <f t="shared" ca="1" si="103"/>
        <v/>
      </c>
      <c r="DJ58" s="244" t="str">
        <f t="shared" ca="1" si="103"/>
        <v/>
      </c>
      <c r="DK58" s="244" t="str">
        <f t="shared" ca="1" si="103"/>
        <v/>
      </c>
      <c r="DL58" s="244" t="str">
        <f t="shared" ca="1" si="103"/>
        <v/>
      </c>
      <c r="DM58" s="244" t="str">
        <f t="shared" ca="1" si="103"/>
        <v/>
      </c>
      <c r="DN58" s="244"/>
      <c r="DO58" s="244" t="str">
        <f t="shared" ca="1" si="104"/>
        <v/>
      </c>
      <c r="DP58" s="244" t="str">
        <f t="shared" ca="1" si="104"/>
        <v/>
      </c>
      <c r="DQ58" s="244" t="str">
        <f t="shared" ca="1" si="104"/>
        <v/>
      </c>
      <c r="DR58" s="244" t="str">
        <f t="shared" ca="1" si="104"/>
        <v/>
      </c>
      <c r="DS58" s="244" t="str">
        <f t="shared" ca="1" si="104"/>
        <v/>
      </c>
      <c r="DT58" s="244" t="str">
        <f t="shared" ca="1" si="104"/>
        <v/>
      </c>
      <c r="DU58" s="244" t="str">
        <f t="shared" ca="1" si="104"/>
        <v/>
      </c>
      <c r="DV58" s="244" t="str">
        <f t="shared" ca="1" si="104"/>
        <v/>
      </c>
      <c r="DW58" s="244"/>
      <c r="DX58" s="244"/>
      <c r="DY58" s="244"/>
      <c r="DZ58" s="244"/>
      <c r="EA58" s="244"/>
      <c r="EB58" s="244"/>
      <c r="EC58" s="244"/>
      <c r="ED58" s="244"/>
      <c r="EE58" s="244"/>
      <c r="EF58" s="244"/>
      <c r="EG58" s="244"/>
      <c r="EH58" s="244"/>
      <c r="EI58" s="244"/>
      <c r="EJ58" s="244"/>
      <c r="EK58" s="244"/>
      <c r="EL58" s="244"/>
      <c r="EM58" s="244"/>
      <c r="EN58" s="244"/>
      <c r="EO58" s="479">
        <f t="shared" ca="1" si="126"/>
        <v>25.348956661599704</v>
      </c>
      <c r="EP58" s="400">
        <f t="shared" ca="1" si="105"/>
        <v>0</v>
      </c>
      <c r="EQ58" s="400">
        <f t="shared" ca="1" si="106"/>
        <v>123.17277606712938</v>
      </c>
      <c r="ER58" s="10">
        <f t="shared" ca="1" si="127"/>
        <v>5.0697913323199408</v>
      </c>
      <c r="ES58" s="400">
        <f t="shared" ca="1" si="128"/>
        <v>103.60801218602344</v>
      </c>
      <c r="ET58" s="400">
        <f t="shared" ca="1" si="129"/>
        <v>20.279165329279763</v>
      </c>
      <c r="EU58" s="400">
        <f t="shared" ca="1" si="130"/>
        <v>78.259055524423744</v>
      </c>
      <c r="EX58" s="479">
        <f t="shared" ca="1" si="107"/>
        <v>26.110106527117964</v>
      </c>
      <c r="EY58" s="592">
        <f t="shared" ca="1" si="108"/>
        <v>0</v>
      </c>
      <c r="EZ58" s="244">
        <f t="shared" ca="1" si="109"/>
        <v>76.684763903674991</v>
      </c>
      <c r="FA58" s="244">
        <f t="shared" ca="1" si="110"/>
        <v>5.2262309170658252</v>
      </c>
      <c r="FB58" s="244">
        <f t="shared" ca="1" si="111"/>
        <v>65.545616569054587</v>
      </c>
      <c r="FC58" s="260">
        <f t="shared" ca="1" si="112"/>
        <v>20.904923668263301</v>
      </c>
      <c r="FD58" s="589">
        <f t="shared" ca="1" si="113"/>
        <v>39.414461983725452</v>
      </c>
      <c r="FE58" s="260"/>
      <c r="FF58" s="260"/>
      <c r="FG58" s="260"/>
      <c r="FH58" s="260"/>
    </row>
    <row r="59" spans="1:164" x14ac:dyDescent="0.35">
      <c r="A59" s="200" t="s">
        <v>135</v>
      </c>
      <c r="B59" s="7" t="s">
        <v>136</v>
      </c>
      <c r="C59" s="7" t="s">
        <v>127</v>
      </c>
      <c r="D59" s="244">
        <f t="shared" ca="1" si="114"/>
        <v>8.1544398647758722</v>
      </c>
      <c r="E59" s="244">
        <f t="shared" ca="1" si="74"/>
        <v>7.2225038802300565</v>
      </c>
      <c r="F59" s="244">
        <f t="shared" ca="1" si="75"/>
        <v>9.0863758493216835</v>
      </c>
      <c r="G59" s="244">
        <f t="shared" ca="1" si="76"/>
        <v>7.4554878763665107</v>
      </c>
      <c r="H59" s="723">
        <f ca="1">INDEX(SSW_WTPMaxdiff_WTP_NHH_Unitvalues,MATCH($B59,WTPMaxdiff_WTP_options,0))</f>
        <v>172.20523031397946</v>
      </c>
      <c r="I59" s="244">
        <f t="shared" ca="1" si="116"/>
        <v>155.04854008821499</v>
      </c>
      <c r="J59" s="244">
        <f t="shared" ca="1" si="77"/>
        <v>132.25264464346142</v>
      </c>
      <c r="K59" s="244">
        <f t="shared" ca="1" si="78"/>
        <v>177.84443553296859</v>
      </c>
      <c r="L59" s="367" t="s">
        <v>128</v>
      </c>
      <c r="M59" s="855" t="s">
        <v>128</v>
      </c>
      <c r="N59" s="855" t="s">
        <v>128</v>
      </c>
      <c r="O59" s="852" t="s">
        <v>128</v>
      </c>
      <c r="P59" s="367">
        <f t="shared" ca="1" si="79"/>
        <v>46.672450063537354</v>
      </c>
      <c r="Q59" s="367" t="s">
        <v>128</v>
      </c>
      <c r="R59" s="367" t="s">
        <v>128</v>
      </c>
      <c r="S59" s="244">
        <f t="shared" ca="1" si="131"/>
        <v>55.928404178913581</v>
      </c>
      <c r="T59" s="853" t="s">
        <v>128</v>
      </c>
      <c r="U59" s="852" t="s">
        <v>128</v>
      </c>
      <c r="V59" s="852" t="s">
        <v>128</v>
      </c>
      <c r="W59" s="852">
        <f t="shared" si="80"/>
        <v>0</v>
      </c>
      <c r="X59" s="852" t="str">
        <f t="shared" si="81"/>
        <v>x</v>
      </c>
      <c r="Y59" s="852">
        <f t="shared" ca="1" si="82"/>
        <v>312.40515970505493</v>
      </c>
      <c r="Z59" s="852">
        <f t="shared" ca="1" si="83"/>
        <v>261.83309115865973</v>
      </c>
      <c r="AA59" s="853" t="s">
        <v>128</v>
      </c>
      <c r="AB59" s="244" t="str">
        <f t="shared" ca="1" si="84"/>
        <v/>
      </c>
      <c r="AC59" s="244" t="str">
        <f t="shared" ca="1" si="84"/>
        <v/>
      </c>
      <c r="AD59" s="244" t="str">
        <f t="shared" ca="1" si="84"/>
        <v/>
      </c>
      <c r="AE59" s="244" t="str">
        <f t="shared" ca="1" si="84"/>
        <v/>
      </c>
      <c r="AF59" s="244" t="str">
        <f t="shared" ca="1" si="84"/>
        <v/>
      </c>
      <c r="AG59" s="244" t="str">
        <f t="shared" ca="1" si="84"/>
        <v/>
      </c>
      <c r="AH59" s="244" t="str">
        <f t="shared" ca="1" si="84"/>
        <v/>
      </c>
      <c r="AI59" s="244" t="str">
        <f t="shared" ca="1" si="84"/>
        <v/>
      </c>
      <c r="AJ59" s="244" t="str">
        <f ca="1">IFERROR(INDEX(INDIRECT("PR14_Comp"&amp;AJ$28&amp;"_NHH_UnitValues"),MATCH($B59,INDIRECT("PR14_Comp"&amp;AJ$28&amp;"_WTPCore_Options"),0)),"")</f>
        <v/>
      </c>
      <c r="AK59" s="244" t="str">
        <f t="shared" ca="1" si="85"/>
        <v/>
      </c>
      <c r="AL59" s="244">
        <f t="shared" ca="1" si="85"/>
        <v>4.3246812075623531</v>
      </c>
      <c r="AM59" s="244" t="str">
        <f t="shared" ca="1" si="85"/>
        <v/>
      </c>
      <c r="AN59" s="244" t="str">
        <f t="shared" ca="1" si="85"/>
        <v/>
      </c>
      <c r="AO59" s="244">
        <f t="shared" ca="1" si="85"/>
        <v>60.430957263474959</v>
      </c>
      <c r="AP59" s="244">
        <f t="shared" ca="1" si="85"/>
        <v>103.02957406570344</v>
      </c>
      <c r="AQ59" s="244" t="str">
        <f t="shared" ca="1" si="86"/>
        <v/>
      </c>
      <c r="AR59" s="244" t="str">
        <f t="shared" ca="1" si="86"/>
        <v/>
      </c>
      <c r="AS59" s="244" t="str">
        <f t="shared" ca="1" si="86"/>
        <v/>
      </c>
      <c r="AT59" s="244" t="str">
        <f t="shared" ca="1" si="86"/>
        <v/>
      </c>
      <c r="AU59" s="244" t="str">
        <f t="shared" ca="1" si="86"/>
        <v/>
      </c>
      <c r="AV59" s="244"/>
      <c r="AW59" s="244" t="str">
        <f t="shared" ca="1" si="87"/>
        <v/>
      </c>
      <c r="AX59" s="244" t="str">
        <f t="shared" ca="1" si="87"/>
        <v/>
      </c>
      <c r="AY59" s="244" t="str">
        <f t="shared" ca="1" si="87"/>
        <v/>
      </c>
      <c r="AZ59" s="244" t="str">
        <f t="shared" ca="1" si="87"/>
        <v/>
      </c>
      <c r="BA59" s="244" t="str">
        <f t="shared" ca="1" si="87"/>
        <v/>
      </c>
      <c r="BB59" s="244" t="str">
        <f t="shared" ca="1" si="87"/>
        <v/>
      </c>
      <c r="BC59" s="244" t="str">
        <f t="shared" ca="1" si="87"/>
        <v/>
      </c>
      <c r="BD59" s="244" t="str">
        <f t="shared" ca="1" si="87"/>
        <v/>
      </c>
      <c r="BE59" s="650">
        <f t="shared" ca="1" si="117"/>
        <v>129.80393778360127</v>
      </c>
      <c r="BF59" s="400">
        <f t="shared" ca="1" si="88"/>
        <v>0</v>
      </c>
      <c r="BG59" s="400">
        <f t="shared" ca="1" si="89"/>
        <v>312.40515970505493</v>
      </c>
      <c r="BH59" s="10">
        <f t="shared" ca="1" si="118"/>
        <v>25.960787556720256</v>
      </c>
      <c r="BI59" s="400">
        <f t="shared" ca="1" si="119"/>
        <v>275.88491532076421</v>
      </c>
      <c r="BJ59" s="400">
        <f t="shared" ca="1" si="120"/>
        <v>103.84315022688102</v>
      </c>
      <c r="BK59" s="400">
        <f t="shared" ca="1" si="90"/>
        <v>146.08097753716294</v>
      </c>
      <c r="BL59" s="400"/>
      <c r="BM59" s="400"/>
      <c r="BN59" s="400"/>
      <c r="BO59" s="400"/>
      <c r="BP59" s="400"/>
      <c r="BQ59" s="400"/>
      <c r="BR59" s="400"/>
      <c r="BS59" s="400"/>
      <c r="BT59" s="400"/>
      <c r="BU59" s="688"/>
      <c r="BV59" s="244">
        <f t="shared" ca="1" si="121"/>
        <v>4.8718568046845796</v>
      </c>
      <c r="BW59" s="244">
        <f t="shared" ca="1" si="91"/>
        <v>3.9583836538062211</v>
      </c>
      <c r="BX59" s="244">
        <f t="shared" ca="1" si="92"/>
        <v>5.7853299555629389</v>
      </c>
      <c r="BY59" s="244">
        <f t="shared" ca="1" si="93"/>
        <v>43.237729141575642</v>
      </c>
      <c r="BZ59" s="245">
        <f t="shared" ca="1" si="122"/>
        <v>787.74436889613628</v>
      </c>
      <c r="CA59" s="244">
        <f t="shared" ca="1" si="123"/>
        <v>1935.4368831617396</v>
      </c>
      <c r="CB59" s="244">
        <f t="shared" ca="1" si="94"/>
        <v>1896.94205285214</v>
      </c>
      <c r="CC59" s="244">
        <f t="shared" ca="1" si="95"/>
        <v>1973.9317134713394</v>
      </c>
      <c r="CD59" s="853" t="s">
        <v>128</v>
      </c>
      <c r="CE59" s="852" t="s">
        <v>128</v>
      </c>
      <c r="CF59" s="852" t="s">
        <v>128</v>
      </c>
      <c r="CG59" s="852" t="s">
        <v>128</v>
      </c>
      <c r="CH59" s="853" t="s">
        <v>128</v>
      </c>
      <c r="CI59" s="367" t="str">
        <f t="shared" si="124"/>
        <v>x</v>
      </c>
      <c r="CJ59" s="367" t="str">
        <f t="shared" si="125"/>
        <v>x</v>
      </c>
      <c r="CK59" s="244">
        <f t="shared" ca="1" si="133"/>
        <v>1.1109472761948894E-3</v>
      </c>
      <c r="CL59" s="853" t="s">
        <v>128</v>
      </c>
      <c r="CM59" s="852" t="s">
        <v>128</v>
      </c>
      <c r="CN59" s="852" t="s">
        <v>128</v>
      </c>
      <c r="CO59" s="852">
        <f t="shared" si="97"/>
        <v>0</v>
      </c>
      <c r="CP59" s="852" t="str">
        <f t="shared" si="98"/>
        <v>x</v>
      </c>
      <c r="CQ59" s="852">
        <f t="shared" ca="1" si="99"/>
        <v>294.15387932505723</v>
      </c>
      <c r="CR59" s="852">
        <f t="shared" ca="1" si="100"/>
        <v>246.5363234483892</v>
      </c>
      <c r="CS59" s="853" t="s">
        <v>128</v>
      </c>
      <c r="CT59" s="244" t="str">
        <f t="shared" ca="1" si="101"/>
        <v/>
      </c>
      <c r="CU59" s="244" t="str">
        <f t="shared" ca="1" si="101"/>
        <v/>
      </c>
      <c r="CV59" s="244" t="str">
        <f t="shared" ca="1" si="101"/>
        <v/>
      </c>
      <c r="CW59" s="244" t="str">
        <f t="shared" ca="1" si="101"/>
        <v/>
      </c>
      <c r="CX59" s="244" t="str">
        <f t="shared" ca="1" si="101"/>
        <v/>
      </c>
      <c r="CY59" s="244" t="str">
        <f t="shared" ca="1" si="101"/>
        <v/>
      </c>
      <c r="CZ59" s="244" t="str">
        <f t="shared" ca="1" si="101"/>
        <v/>
      </c>
      <c r="DA59" s="244" t="str">
        <f t="shared" ca="1" si="101"/>
        <v/>
      </c>
      <c r="DB59" s="244"/>
      <c r="DC59" s="244" t="str">
        <f t="shared" ca="1" si="102"/>
        <v/>
      </c>
      <c r="DD59" s="244">
        <f t="shared" ca="1" si="102"/>
        <v>-3.5563494904932172E-5</v>
      </c>
      <c r="DE59" s="244" t="str">
        <f t="shared" ca="1" si="102"/>
        <v/>
      </c>
      <c r="DF59" s="244" t="str">
        <f t="shared" ca="1" si="102"/>
        <v/>
      </c>
      <c r="DG59" s="244">
        <f t="shared" ca="1" si="102"/>
        <v>1.7170554021696826E-3</v>
      </c>
      <c r="DH59" s="244">
        <f t="shared" ca="1" si="102"/>
        <v>1.6513499213199174E-3</v>
      </c>
      <c r="DI59" s="244" t="str">
        <f t="shared" ca="1" si="103"/>
        <v/>
      </c>
      <c r="DJ59" s="244" t="str">
        <f t="shared" ca="1" si="103"/>
        <v/>
      </c>
      <c r="DK59" s="244" t="str">
        <f t="shared" ca="1" si="103"/>
        <v/>
      </c>
      <c r="DL59" s="244" t="str">
        <f t="shared" ca="1" si="103"/>
        <v/>
      </c>
      <c r="DM59" s="244" t="str">
        <f t="shared" ca="1" si="103"/>
        <v/>
      </c>
      <c r="DN59" s="244"/>
      <c r="DO59" s="244" t="str">
        <f t="shared" ca="1" si="104"/>
        <v/>
      </c>
      <c r="DP59" s="244" t="str">
        <f t="shared" ca="1" si="104"/>
        <v/>
      </c>
      <c r="DQ59" s="244" t="str">
        <f t="shared" ca="1" si="104"/>
        <v/>
      </c>
      <c r="DR59" s="244" t="str">
        <f t="shared" ca="1" si="104"/>
        <v/>
      </c>
      <c r="DS59" s="244" t="str">
        <f t="shared" ca="1" si="104"/>
        <v/>
      </c>
      <c r="DT59" s="244" t="str">
        <f t="shared" ca="1" si="104"/>
        <v/>
      </c>
      <c r="DU59" s="244" t="str">
        <f t="shared" ca="1" si="104"/>
        <v/>
      </c>
      <c r="DV59" s="244" t="str">
        <f t="shared" ca="1" si="104"/>
        <v/>
      </c>
      <c r="DW59" s="244"/>
      <c r="DX59" s="244"/>
      <c r="DY59" s="244"/>
      <c r="DZ59" s="244"/>
      <c r="EA59" s="244"/>
      <c r="EB59" s="244"/>
      <c r="EC59" s="244"/>
      <c r="ED59" s="244"/>
      <c r="EE59" s="244"/>
      <c r="EF59" s="244"/>
      <c r="EG59" s="244"/>
      <c r="EH59" s="244"/>
      <c r="EI59" s="244"/>
      <c r="EJ59" s="244"/>
      <c r="EK59" s="244"/>
      <c r="EL59" s="244"/>
      <c r="EM59" s="244"/>
      <c r="EN59" s="244"/>
      <c r="EO59" s="479">
        <f t="shared" ca="1" si="126"/>
        <v>159.31311691882092</v>
      </c>
      <c r="EP59" s="400">
        <f t="shared" ca="1" si="105"/>
        <v>0</v>
      </c>
      <c r="EQ59" s="400">
        <f t="shared" ca="1" si="106"/>
        <v>1935.4368831617396</v>
      </c>
      <c r="ER59" s="10">
        <f t="shared" ca="1" si="127"/>
        <v>31.862623383764188</v>
      </c>
      <c r="ES59" s="400">
        <f t="shared" ca="1" si="128"/>
        <v>1580.2121299131561</v>
      </c>
      <c r="ET59" s="400">
        <f t="shared" ca="1" si="129"/>
        <v>127.45049353505674</v>
      </c>
      <c r="EU59" s="400">
        <f t="shared" ca="1" si="130"/>
        <v>1420.8990129943352</v>
      </c>
      <c r="EX59" s="479">
        <f t="shared" ca="1" si="107"/>
        <v>136.37581095959419</v>
      </c>
      <c r="EY59" s="592">
        <f t="shared" ca="1" si="108"/>
        <v>0</v>
      </c>
      <c r="EZ59" s="244">
        <f t="shared" ca="1" si="109"/>
        <v>673.86416872371319</v>
      </c>
      <c r="FA59" s="244">
        <f t="shared" ca="1" si="110"/>
        <v>27.148305242214644</v>
      </c>
      <c r="FB59" s="244">
        <f t="shared" ca="1" si="111"/>
        <v>538.33064922317681</v>
      </c>
      <c r="FC59" s="260">
        <f t="shared" ca="1" si="112"/>
        <v>108.59322096885857</v>
      </c>
      <c r="FD59" s="589">
        <f t="shared" ca="1" si="113"/>
        <v>402.58912301210358</v>
      </c>
      <c r="FE59" s="260"/>
      <c r="FF59" s="260"/>
      <c r="FG59" s="260"/>
      <c r="FH59" s="260"/>
    </row>
    <row r="60" spans="1:164" x14ac:dyDescent="0.35">
      <c r="A60" s="200" t="s">
        <v>137</v>
      </c>
      <c r="B60" s="7" t="s">
        <v>138</v>
      </c>
      <c r="C60" s="7" t="s">
        <v>127</v>
      </c>
      <c r="D60" s="244">
        <f t="shared" ca="1" si="114"/>
        <v>260.23872775996313</v>
      </c>
      <c r="E60" s="244">
        <f t="shared" ca="1" si="74"/>
        <v>227.70888678996769</v>
      </c>
      <c r="F60" s="244">
        <f t="shared" ca="1" si="75"/>
        <v>292.76856872995842</v>
      </c>
      <c r="G60" s="244">
        <f t="shared" ca="1" si="76"/>
        <v>587.11967026386287</v>
      </c>
      <c r="H60" s="245">
        <f t="shared" ca="1" si="115"/>
        <v>390.26990069264468</v>
      </c>
      <c r="I60" s="244">
        <f t="shared" ca="1" si="116"/>
        <v>36.166957745748803</v>
      </c>
      <c r="J60" s="244">
        <f t="shared" ca="1" si="77"/>
        <v>31.024669434838586</v>
      </c>
      <c r="K60" s="244">
        <f t="shared" ca="1" si="78"/>
        <v>41.30924605665902</v>
      </c>
      <c r="L60" s="367" t="s">
        <v>128</v>
      </c>
      <c r="M60" s="852" t="s">
        <v>128</v>
      </c>
      <c r="N60" s="852" t="s">
        <v>128</v>
      </c>
      <c r="O60" s="852" t="s">
        <v>128</v>
      </c>
      <c r="P60" s="367">
        <f t="shared" ca="1" si="79"/>
        <v>331.62462546974695</v>
      </c>
      <c r="Q60" s="367" t="s">
        <v>128</v>
      </c>
      <c r="R60" s="367" t="s">
        <v>128</v>
      </c>
      <c r="S60" s="244">
        <f t="shared" ca="1" si="131"/>
        <v>149.78088916431807</v>
      </c>
      <c r="T60" s="244">
        <f t="shared" ca="1" si="132"/>
        <v>152.61700747461217</v>
      </c>
      <c r="U60" s="852" t="s">
        <v>128</v>
      </c>
      <c r="V60" s="852" t="s">
        <v>128</v>
      </c>
      <c r="W60" s="852">
        <f t="shared" si="80"/>
        <v>0</v>
      </c>
      <c r="X60" s="852">
        <f t="shared" si="81"/>
        <v>0</v>
      </c>
      <c r="Y60" s="852">
        <f t="shared" si="82"/>
        <v>10708.5107421875</v>
      </c>
      <c r="Z60" s="852">
        <f t="shared" si="83"/>
        <v>16216.57334618304</v>
      </c>
      <c r="AA60" s="853" t="s">
        <v>128</v>
      </c>
      <c r="AB60" s="244">
        <f t="shared" ref="AB60:AF70" ca="1" si="134">IFERROR(INDEX(INDIRECT("PR14_Comp"&amp;AB$28&amp;"_NHH_UnitValues"),MATCH($B60,INDIRECT("PR14_Comp"&amp;AB$28&amp;"_WTPCore_Options"),0)),"")</f>
        <v>4.9248911413897805</v>
      </c>
      <c r="AC60" s="244">
        <f t="shared" ca="1" si="134"/>
        <v>215.53518405119735</v>
      </c>
      <c r="AD60" s="244">
        <f t="shared" ca="1" si="134"/>
        <v>16.360756410730268</v>
      </c>
      <c r="AE60" s="244">
        <f t="shared" ca="1" si="134"/>
        <v>9.7261351318479488</v>
      </c>
      <c r="AF60" s="244">
        <f t="shared" ca="1" si="134"/>
        <v>406.27664174074744</v>
      </c>
      <c r="AG60" s="244"/>
      <c r="AH60" s="244">
        <f t="shared" ref="AH60:AI70" ca="1" si="135">IFERROR(INDEX(INDIRECT("PR14_Comp"&amp;AH$28&amp;"_NHH_UnitValues"),MATCH($B60,INDIRECT("PR14_Comp"&amp;AH$28&amp;"_WTPCore_Options"),0)),"")</f>
        <v>26.757462404353994</v>
      </c>
      <c r="AI60" s="244">
        <f t="shared" ca="1" si="135"/>
        <v>146.15891348045341</v>
      </c>
      <c r="AJ60" s="244">
        <f ca="1">IFERROR(INDEX(INDIRECT("PR14_Comp"&amp;AJ$28&amp;"_NHH_UnitValues"),MATCH($B60,INDIRECT("PR14_Comp"&amp;AJ$28&amp;"_WTPCore_Options"),0)),"")</f>
        <v>72.662852772811135</v>
      </c>
      <c r="AK60" s="244">
        <f t="shared" ca="1" si="85"/>
        <v>22.148443830051068</v>
      </c>
      <c r="AL60" s="244">
        <f t="shared" ca="1" si="85"/>
        <v>175.37019948251742</v>
      </c>
      <c r="AM60" s="244">
        <f t="shared" ca="1" si="85"/>
        <v>71.012340456815252</v>
      </c>
      <c r="AN60" s="244">
        <f t="shared" ca="1" si="85"/>
        <v>233.62505047965178</v>
      </c>
      <c r="AO60" s="244">
        <f t="shared" ca="1" si="85"/>
        <v>561.26832760436844</v>
      </c>
      <c r="AP60" s="244">
        <f t="shared" ca="1" si="85"/>
        <v>135.10524931351742</v>
      </c>
      <c r="AQ60" s="244">
        <f t="shared" ca="1" si="86"/>
        <v>259.97289130017998</v>
      </c>
      <c r="AR60" s="244">
        <f t="shared" ca="1" si="86"/>
        <v>230.61225194015853</v>
      </c>
      <c r="AS60" s="244">
        <f t="shared" ca="1" si="86"/>
        <v>450.170121534114</v>
      </c>
      <c r="AT60" s="244">
        <f t="shared" ca="1" si="86"/>
        <v>58.970609543947809</v>
      </c>
      <c r="AU60" s="244">
        <f t="shared" ca="1" si="86"/>
        <v>117.05212884596409</v>
      </c>
      <c r="AV60" s="244"/>
      <c r="AW60" s="244">
        <f t="shared" ca="1" si="87"/>
        <v>3.2920884369659489</v>
      </c>
      <c r="AX60" s="244">
        <f t="shared" ca="1" si="87"/>
        <v>62.933851741354857</v>
      </c>
      <c r="AY60" s="244">
        <f t="shared" ca="1" si="87"/>
        <v>115.30511745016706</v>
      </c>
      <c r="AZ60" s="244">
        <f t="shared" ca="1" si="87"/>
        <v>192.02873463764345</v>
      </c>
      <c r="BA60" s="244">
        <f t="shared" ca="1" si="87"/>
        <v>273.928384356648</v>
      </c>
      <c r="BB60" s="244" t="str">
        <f t="shared" ca="1" si="87"/>
        <v/>
      </c>
      <c r="BC60" s="244">
        <f t="shared" ca="1" si="87"/>
        <v>0.68832770321224135</v>
      </c>
      <c r="BD60" s="244">
        <f t="shared" ca="1" si="87"/>
        <v>66.449582204989966</v>
      </c>
      <c r="BE60" s="479">
        <f t="shared" ca="1" si="117"/>
        <v>3038.9562982561574</v>
      </c>
      <c r="BF60" s="400">
        <f t="shared" ca="1" si="88"/>
        <v>0</v>
      </c>
      <c r="BG60" s="400">
        <f t="shared" ca="1" si="89"/>
        <v>16216.57334618304</v>
      </c>
      <c r="BH60" s="10">
        <f t="shared" ca="1" si="118"/>
        <v>607.79125965123148</v>
      </c>
      <c r="BI60" s="400">
        <f t="shared" ca="1" si="119"/>
        <v>13581.049936597665</v>
      </c>
      <c r="BJ60" s="400">
        <f t="shared" ca="1" si="120"/>
        <v>2431.1650386049259</v>
      </c>
      <c r="BK60" s="400">
        <f t="shared" ca="1" si="90"/>
        <v>10542.093638341506</v>
      </c>
      <c r="BL60" s="400"/>
      <c r="BM60" s="400"/>
      <c r="BN60" s="400"/>
      <c r="BO60" s="400"/>
      <c r="BP60" s="400"/>
      <c r="BQ60" s="400"/>
      <c r="BR60" s="400"/>
      <c r="BS60" s="400"/>
      <c r="BT60" s="400"/>
      <c r="BU60" s="688"/>
      <c r="BV60" s="244">
        <f t="shared" ca="1" si="121"/>
        <v>76.122762573196539</v>
      </c>
      <c r="BW60" s="244">
        <f t="shared" ca="1" si="91"/>
        <v>50.748508382131035</v>
      </c>
      <c r="BX60" s="244">
        <f t="shared" ca="1" si="92"/>
        <v>76.122762573196539</v>
      </c>
      <c r="BY60" s="244">
        <f t="shared" ca="1" si="93"/>
        <v>219.23355621080603</v>
      </c>
      <c r="BZ60" s="245">
        <f t="shared" ca="1" si="122"/>
        <v>823.4009850955664</v>
      </c>
      <c r="CA60" s="244">
        <f t="shared" ca="1" si="123"/>
        <v>10.189737398103325</v>
      </c>
      <c r="CB60" s="244">
        <f t="shared" ca="1" si="94"/>
        <v>5.7754958847286879</v>
      </c>
      <c r="CC60" s="244">
        <f t="shared" ca="1" si="95"/>
        <v>14.603978911477967</v>
      </c>
      <c r="CD60" s="853" t="s">
        <v>128</v>
      </c>
      <c r="CE60" s="852" t="s">
        <v>128</v>
      </c>
      <c r="CF60" s="852" t="s">
        <v>128</v>
      </c>
      <c r="CG60" s="852" t="s">
        <v>128</v>
      </c>
      <c r="CH60" s="853" t="s">
        <v>128</v>
      </c>
      <c r="CI60" s="367" t="str">
        <f t="shared" si="124"/>
        <v>x</v>
      </c>
      <c r="CJ60" s="367" t="str">
        <f t="shared" si="125"/>
        <v>x</v>
      </c>
      <c r="CK60" s="244">
        <f t="shared" ca="1" si="133"/>
        <v>348.33479993731117</v>
      </c>
      <c r="CL60" s="244">
        <f t="shared" ca="1" si="96"/>
        <v>667.09216139358898</v>
      </c>
      <c r="CM60" s="852" t="s">
        <v>128</v>
      </c>
      <c r="CN60" s="852" t="s">
        <v>128</v>
      </c>
      <c r="CO60" s="852">
        <f t="shared" si="97"/>
        <v>0</v>
      </c>
      <c r="CP60" s="852">
        <f t="shared" si="98"/>
        <v>0</v>
      </c>
      <c r="CQ60" s="852">
        <f t="shared" si="99"/>
        <v>10708.5107421875</v>
      </c>
      <c r="CR60" s="852">
        <f t="shared" si="100"/>
        <v>16216.57334618304</v>
      </c>
      <c r="CS60" s="853" t="s">
        <v>128</v>
      </c>
      <c r="CT60" s="244">
        <f t="shared" ref="CT60:CX65" ca="1" si="136">IFERROR(INDEX(INDIRECT("PR14_Comp"&amp;CT$28&amp;"_NHH_UnitValues_CAM"),MATCH($B60,INDIRECT("PR14_Comp"&amp;CT$28&amp;"_WTPCore_Options"),0)),"")</f>
        <v>45.304099629092569</v>
      </c>
      <c r="CU60" s="244">
        <f t="shared" ca="1" si="136"/>
        <v>346.89205259321261</v>
      </c>
      <c r="CV60" s="244">
        <f t="shared" ca="1" si="136"/>
        <v>147.42859135014197</v>
      </c>
      <c r="CW60" s="244">
        <f t="shared" ca="1" si="136"/>
        <v>126.42673586559104</v>
      </c>
      <c r="CX60" s="244">
        <f t="shared" ca="1" si="136"/>
        <v>1225.8581237223748</v>
      </c>
      <c r="CY60" s="244"/>
      <c r="CZ60" s="244">
        <f t="shared" ref="CZ60:DA65" ca="1" si="137">IFERROR(INDEX(INDIRECT("PR14_Comp"&amp;CZ$28&amp;"_NHH_UnitValues_CAM"),MATCH($B60,INDIRECT("PR14_Comp"&amp;CZ$28&amp;"_WTPCore_Options"),0)),"")</f>
        <v>315.36830331233409</v>
      </c>
      <c r="DA60" s="244">
        <f t="shared" ca="1" si="137"/>
        <v>290.62966124210396</v>
      </c>
      <c r="DB60" s="244">
        <f ca="1">IFERROR(INDEX(INDIRECT("PR14_Comp"&amp;DB$28&amp;"_NHH_UnitValues_CAM"),MATCH($B60,INDIRECT("PR14_Comp"&amp;DB$28&amp;"_NHH_WTPCore_Options"),0)),"")</f>
        <v>76.063860983695989</v>
      </c>
      <c r="DC60" s="244">
        <f t="shared" ca="1" si="102"/>
        <v>203.19548122117146</v>
      </c>
      <c r="DD60" s="244">
        <f t="shared" ca="1" si="102"/>
        <v>2.738389107679777E-2</v>
      </c>
      <c r="DE60" s="244">
        <f t="shared" ca="1" si="102"/>
        <v>544.58050973636784</v>
      </c>
      <c r="DF60" s="244">
        <f t="shared" ca="1" si="102"/>
        <v>1554.5684570714252</v>
      </c>
      <c r="DG60" s="244">
        <f t="shared" ca="1" si="102"/>
        <v>0.30281989072664517</v>
      </c>
      <c r="DH60" s="244">
        <f t="shared" ca="1" si="102"/>
        <v>4.1118613040865948E-2</v>
      </c>
      <c r="DI60" s="244">
        <f t="shared" ca="1" si="103"/>
        <v>1396.5038413115283</v>
      </c>
      <c r="DJ60" s="244">
        <f t="shared" ca="1" si="103"/>
        <v>967.67444123751977</v>
      </c>
      <c r="DK60" s="244">
        <f t="shared" ca="1" si="103"/>
        <v>1955.0374860235218</v>
      </c>
      <c r="DL60" s="244">
        <f t="shared" ca="1" si="103"/>
        <v>374.21319473622623</v>
      </c>
      <c r="DM60" s="244">
        <f t="shared" ca="1" si="103"/>
        <v>528.57576614634468</v>
      </c>
      <c r="DN60" s="244"/>
      <c r="DO60" s="244">
        <f t="shared" ca="1" si="104"/>
        <v>24.259766009765894</v>
      </c>
      <c r="DP60" s="244">
        <f t="shared" ca="1" si="104"/>
        <v>362.15347450119299</v>
      </c>
      <c r="DQ60" s="244">
        <f t="shared" ca="1" si="104"/>
        <v>489.62972270114193</v>
      </c>
      <c r="DR60" s="244">
        <f t="shared" ca="1" si="104"/>
        <v>573.95328368585524</v>
      </c>
      <c r="DS60" s="244">
        <f t="shared" ca="1" si="104"/>
        <v>993.33038649220077</v>
      </c>
      <c r="DT60" s="244" t="str">
        <f t="shared" ca="1" si="104"/>
        <v/>
      </c>
      <c r="DU60" s="244">
        <f t="shared" ca="1" si="104"/>
        <v>1.7424745842485259</v>
      </c>
      <c r="DV60" s="244">
        <f t="shared" ca="1" si="104"/>
        <v>338.03209929352118</v>
      </c>
      <c r="DW60" s="244"/>
      <c r="DX60" s="244"/>
      <c r="DY60" s="244"/>
      <c r="DZ60" s="244"/>
      <c r="EA60" s="244"/>
      <c r="EB60" s="244"/>
      <c r="EC60" s="244"/>
      <c r="ED60" s="244"/>
      <c r="EE60" s="244"/>
      <c r="EF60" s="244"/>
      <c r="EG60" s="244"/>
      <c r="EH60" s="244"/>
      <c r="EI60" s="244"/>
      <c r="EJ60" s="244"/>
      <c r="EK60" s="244"/>
      <c r="EL60" s="244"/>
      <c r="EM60" s="244"/>
      <c r="EN60" s="244"/>
      <c r="EO60" s="479">
        <f t="shared" ca="1" si="126"/>
        <v>3802.8500319821865</v>
      </c>
      <c r="EP60" s="400">
        <f t="shared" ca="1" si="105"/>
        <v>0</v>
      </c>
      <c r="EQ60" s="400">
        <f t="shared" ca="1" si="106"/>
        <v>16216.57334618304</v>
      </c>
      <c r="ER60" s="10">
        <f t="shared" ca="1" si="127"/>
        <v>760.57000639643729</v>
      </c>
      <c r="ES60" s="400">
        <f t="shared" ca="1" si="128"/>
        <v>13733.82868334287</v>
      </c>
      <c r="ET60" s="400">
        <f t="shared" ca="1" si="129"/>
        <v>3042.2800255857492</v>
      </c>
      <c r="EU60" s="400">
        <f t="shared" ca="1" si="130"/>
        <v>9930.9786513606832</v>
      </c>
      <c r="EX60" s="479">
        <f t="shared" ca="1" si="107"/>
        <v>3209.0800660159825</v>
      </c>
      <c r="EY60" s="592">
        <f t="shared" ca="1" si="108"/>
        <v>0</v>
      </c>
      <c r="EZ60" s="244">
        <f t="shared" ca="1" si="109"/>
        <v>16216.573346183039</v>
      </c>
      <c r="FA60" s="244">
        <f t="shared" ca="1" si="110"/>
        <v>638.53211199691111</v>
      </c>
      <c r="FB60" s="244">
        <f t="shared" ca="1" si="111"/>
        <v>13611.790788943346</v>
      </c>
      <c r="FC60" s="260">
        <f t="shared" ca="1" si="112"/>
        <v>2554.1284479876444</v>
      </c>
      <c r="FD60" s="589">
        <f t="shared" ca="1" si="113"/>
        <v>10419.130228958787</v>
      </c>
      <c r="FE60" s="260"/>
      <c r="FF60" s="260"/>
      <c r="FG60" s="260"/>
      <c r="FH60" s="260"/>
    </row>
    <row r="61" spans="1:164" x14ac:dyDescent="0.35">
      <c r="A61" s="200" t="s">
        <v>139</v>
      </c>
      <c r="B61" s="7" t="s">
        <v>140</v>
      </c>
      <c r="C61" s="7" t="s">
        <v>127</v>
      </c>
      <c r="D61" s="244">
        <f t="shared" ca="1" si="114"/>
        <v>32.097263297522041</v>
      </c>
      <c r="E61" s="244">
        <f t="shared" ca="1" si="74"/>
        <v>27.51193996930461</v>
      </c>
      <c r="F61" s="244">
        <f t="shared" ca="1" si="75"/>
        <v>36.682586625739482</v>
      </c>
      <c r="G61" s="244">
        <f t="shared" ca="1" si="76"/>
        <v>111.83231814549765</v>
      </c>
      <c r="H61" s="245">
        <f t="shared" ca="1" si="115"/>
        <v>34.505570488069196</v>
      </c>
      <c r="I61" s="244">
        <f t="shared" ca="1" si="116"/>
        <v>3.461292612463883</v>
      </c>
      <c r="J61" s="244">
        <f t="shared" ca="1" si="77"/>
        <v>2.9825381311117827</v>
      </c>
      <c r="K61" s="244">
        <f t="shared" ca="1" si="78"/>
        <v>3.9400470938159837</v>
      </c>
      <c r="L61" s="367" t="s">
        <v>128</v>
      </c>
      <c r="M61" s="852" t="s">
        <v>128</v>
      </c>
      <c r="N61" s="852" t="s">
        <v>128</v>
      </c>
      <c r="O61" s="852" t="s">
        <v>128</v>
      </c>
      <c r="P61" s="367" t="str">
        <f t="shared" si="79"/>
        <v>x</v>
      </c>
      <c r="Q61" s="367" t="s">
        <v>128</v>
      </c>
      <c r="R61" s="367" t="s">
        <v>128</v>
      </c>
      <c r="S61" s="244">
        <f t="shared" ca="1" si="131"/>
        <v>19.251092005067857</v>
      </c>
      <c r="T61" s="244">
        <f t="shared" ca="1" si="132"/>
        <v>38.156281036863668</v>
      </c>
      <c r="U61" s="852" t="s">
        <v>128</v>
      </c>
      <c r="V61" s="852" t="s">
        <v>128</v>
      </c>
      <c r="W61" s="852">
        <f t="shared" si="80"/>
        <v>0</v>
      </c>
      <c r="X61" s="852">
        <f t="shared" si="81"/>
        <v>0</v>
      </c>
      <c r="Y61" s="852">
        <f t="shared" si="82"/>
        <v>4237.861328125</v>
      </c>
      <c r="Z61" s="852">
        <f t="shared" si="83"/>
        <v>4612.1985978580115</v>
      </c>
      <c r="AA61" s="853" t="s">
        <v>128</v>
      </c>
      <c r="AB61" s="244" t="str">
        <f t="shared" ca="1" si="134"/>
        <v/>
      </c>
      <c r="AC61" s="244" t="str">
        <f t="shared" ca="1" si="134"/>
        <v/>
      </c>
      <c r="AD61" s="244" t="str">
        <f t="shared" ca="1" si="134"/>
        <v/>
      </c>
      <c r="AE61" s="244" t="str">
        <f t="shared" ca="1" si="134"/>
        <v/>
      </c>
      <c r="AF61" s="244" t="str">
        <f t="shared" ca="1" si="134"/>
        <v/>
      </c>
      <c r="AG61" s="244" t="str">
        <f t="shared" ref="AG61:AG70" ca="1" si="138">IFERROR(INDEX(INDIRECT("PR14_Comp"&amp;AG$28&amp;"_NHH_UnitValues"),MATCH($B61,INDIRECT("PR14_Comp"&amp;AG$28&amp;"_WTPCore_Options"),0)),"")</f>
        <v/>
      </c>
      <c r="AH61" s="244" t="str">
        <f t="shared" ca="1" si="135"/>
        <v/>
      </c>
      <c r="AI61" s="244" t="str">
        <f t="shared" ca="1" si="135"/>
        <v/>
      </c>
      <c r="AJ61" s="244">
        <f ca="1">IFERROR(INDEX(INDIRECT("PR14_Comp"&amp;AJ$28&amp;"_NHH_UnitValues"),MATCH($B61,INDIRECT("PR14_Comp"&amp;AJ$28&amp;"_NHH_WTPCore_Options"),0)),"")</f>
        <v>27.22177670249857</v>
      </c>
      <c r="AK61" s="244">
        <f t="shared" ca="1" si="85"/>
        <v>13.505148676860406</v>
      </c>
      <c r="AL61" s="244" t="str">
        <f t="shared" ca="1" si="85"/>
        <v/>
      </c>
      <c r="AM61" s="244">
        <f t="shared" ca="1" si="85"/>
        <v>17.026350635844594</v>
      </c>
      <c r="AN61" s="244" t="str">
        <f t="shared" ca="1" si="85"/>
        <v/>
      </c>
      <c r="AO61" s="244" t="str">
        <f t="shared" ca="1" si="85"/>
        <v/>
      </c>
      <c r="AP61" s="244" t="str">
        <f t="shared" ca="1" si="85"/>
        <v/>
      </c>
      <c r="AQ61" s="244" t="str">
        <f t="shared" ca="1" si="86"/>
        <v/>
      </c>
      <c r="AR61" s="244" t="str">
        <f t="shared" ca="1" si="86"/>
        <v/>
      </c>
      <c r="AS61" s="244">
        <f t="shared" ca="1" si="86"/>
        <v>62.068543339934784</v>
      </c>
      <c r="AT61" s="244">
        <f t="shared" ca="1" si="86"/>
        <v>10.927001171599663</v>
      </c>
      <c r="AU61" s="244" t="str">
        <f t="shared" ca="1" si="86"/>
        <v/>
      </c>
      <c r="AV61" s="244"/>
      <c r="AW61" s="244" t="str">
        <f t="shared" ca="1" si="87"/>
        <v/>
      </c>
      <c r="AX61" s="244" t="str">
        <f t="shared" ca="1" si="87"/>
        <v/>
      </c>
      <c r="AY61" s="244" t="str">
        <f t="shared" ca="1" si="87"/>
        <v/>
      </c>
      <c r="AZ61" s="244">
        <f t="shared" ca="1" si="87"/>
        <v>41.473298599056548</v>
      </c>
      <c r="BA61" s="244" t="str">
        <f t="shared" ca="1" si="87"/>
        <v/>
      </c>
      <c r="BB61" s="244" t="str">
        <f t="shared" ca="1" si="87"/>
        <v/>
      </c>
      <c r="BC61" s="244" t="str">
        <f t="shared" ca="1" si="87"/>
        <v/>
      </c>
      <c r="BD61" s="244" t="str">
        <f t="shared" ca="1" si="87"/>
        <v/>
      </c>
      <c r="BE61" s="479">
        <f t="shared" ca="1" si="117"/>
        <v>1088.9269992761444</v>
      </c>
      <c r="BF61" s="400">
        <f t="shared" ca="1" si="88"/>
        <v>0</v>
      </c>
      <c r="BG61" s="400">
        <f t="shared" ca="1" si="89"/>
        <v>4612.1985978580115</v>
      </c>
      <c r="BH61" s="10">
        <f t="shared" ca="1" si="118"/>
        <v>217.78539985522889</v>
      </c>
      <c r="BI61" s="400">
        <f t="shared" ca="1" si="119"/>
        <v>3907.5442781416386</v>
      </c>
      <c r="BJ61" s="400">
        <f t="shared" ca="1" si="120"/>
        <v>871.14159942091555</v>
      </c>
      <c r="BK61" s="400">
        <f t="shared" ca="1" si="90"/>
        <v>2818.617278865494</v>
      </c>
      <c r="BL61" s="400"/>
      <c r="BM61" s="400"/>
      <c r="BN61" s="400"/>
      <c r="BO61" s="400"/>
      <c r="BP61" s="400"/>
      <c r="BQ61" s="400"/>
      <c r="BR61" s="400"/>
      <c r="BS61" s="400"/>
      <c r="BT61" s="400"/>
      <c r="BU61" s="688"/>
      <c r="BV61" s="244">
        <f t="shared" ca="1" si="121"/>
        <v>19.435598954858694</v>
      </c>
      <c r="BW61" s="244">
        <f t="shared" ca="1" si="91"/>
        <v>19.435598954858694</v>
      </c>
      <c r="BX61" s="244">
        <f t="shared" ca="1" si="92"/>
        <v>19.435598954858694</v>
      </c>
      <c r="BY61" s="244">
        <f t="shared" ca="1" si="93"/>
        <v>50.24102329830972</v>
      </c>
      <c r="BZ61" s="245">
        <f t="shared" ca="1" si="122"/>
        <v>134.62933675761613</v>
      </c>
      <c r="CA61" s="244">
        <f t="shared" ca="1" si="123"/>
        <v>60.18018505130911</v>
      </c>
      <c r="CB61" s="244">
        <f t="shared" ca="1" si="94"/>
        <v>34.092373314492129</v>
      </c>
      <c r="CC61" s="244">
        <f t="shared" ca="1" si="95"/>
        <v>86.267996788126098</v>
      </c>
      <c r="CD61" s="853" t="s">
        <v>128</v>
      </c>
      <c r="CE61" s="852" t="s">
        <v>128</v>
      </c>
      <c r="CF61" s="852" t="s">
        <v>128</v>
      </c>
      <c r="CG61" s="852" t="s">
        <v>128</v>
      </c>
      <c r="CH61" s="853" t="s">
        <v>128</v>
      </c>
      <c r="CI61" s="367" t="str">
        <f t="shared" si="124"/>
        <v>x</v>
      </c>
      <c r="CJ61" s="367" t="str">
        <f t="shared" si="125"/>
        <v>x</v>
      </c>
      <c r="CK61" s="244">
        <f t="shared" ca="1" si="133"/>
        <v>61.841392862803467</v>
      </c>
      <c r="CL61" s="244">
        <f t="shared" ca="1" si="96"/>
        <v>154.28531463693295</v>
      </c>
      <c r="CM61" s="852" t="s">
        <v>128</v>
      </c>
      <c r="CN61" s="852" t="s">
        <v>128</v>
      </c>
      <c r="CO61" s="852">
        <f t="shared" si="97"/>
        <v>0</v>
      </c>
      <c r="CP61" s="852">
        <f t="shared" si="98"/>
        <v>0</v>
      </c>
      <c r="CQ61" s="852">
        <f t="shared" si="99"/>
        <v>4237.861328125</v>
      </c>
      <c r="CR61" s="852">
        <f t="shared" si="100"/>
        <v>4612.1985978580115</v>
      </c>
      <c r="CS61" s="853" t="s">
        <v>128</v>
      </c>
      <c r="CT61" s="244" t="str">
        <f t="shared" ca="1" si="136"/>
        <v/>
      </c>
      <c r="CU61" s="244" t="str">
        <f t="shared" ca="1" si="136"/>
        <v/>
      </c>
      <c r="CV61" s="244" t="str">
        <f t="shared" ca="1" si="136"/>
        <v/>
      </c>
      <c r="CW61" s="244" t="str">
        <f t="shared" ca="1" si="136"/>
        <v/>
      </c>
      <c r="CX61" s="244" t="str">
        <f t="shared" ca="1" si="136"/>
        <v/>
      </c>
      <c r="CY61" s="244" t="str">
        <f ca="1">IFERROR(INDEX(INDIRECT("PR14_Comp"&amp;CY$28&amp;"_NHH_UnitValues_CAM"),MATCH($B61,INDIRECT("PR14_Comp"&amp;CY$28&amp;"_WTPCore_Options"),0)),"")</f>
        <v/>
      </c>
      <c r="CZ61" s="244" t="str">
        <f t="shared" ca="1" si="137"/>
        <v/>
      </c>
      <c r="DA61" s="244" t="str">
        <f t="shared" ca="1" si="137"/>
        <v/>
      </c>
      <c r="DB61" s="244">
        <f ca="1">IFERROR(INDEX(INDIRECT("PR14_Comp"&amp;DB$28&amp;"_NHH_UnitValues_CAM"),MATCH($B61,INDIRECT("PR14_Comp"&amp;DB$28&amp;"_NHH_WTPCore_Options"),0)),"")</f>
        <v>28.495900722505574</v>
      </c>
      <c r="DC61" s="244">
        <f t="shared" ca="1" si="102"/>
        <v>123.899683671446</v>
      </c>
      <c r="DD61" s="244" t="str">
        <f t="shared" ca="1" si="102"/>
        <v/>
      </c>
      <c r="DE61" s="244">
        <f t="shared" ca="1" si="102"/>
        <v>33.128594194458827</v>
      </c>
      <c r="DF61" s="244" t="str">
        <f t="shared" ca="1" si="102"/>
        <v/>
      </c>
      <c r="DG61" s="244" t="str">
        <f t="shared" ca="1" si="102"/>
        <v/>
      </c>
      <c r="DH61" s="244" t="str">
        <f t="shared" ca="1" si="102"/>
        <v/>
      </c>
      <c r="DI61" s="244" t="str">
        <f t="shared" ca="1" si="103"/>
        <v/>
      </c>
      <c r="DJ61" s="244" t="str">
        <f t="shared" ca="1" si="103"/>
        <v/>
      </c>
      <c r="DK61" s="244">
        <f t="shared" ca="1" si="103"/>
        <v>269.55660344342164</v>
      </c>
      <c r="DL61" s="244">
        <f t="shared" ca="1" si="103"/>
        <v>69.340100923722872</v>
      </c>
      <c r="DM61" s="244" t="str">
        <f t="shared" ca="1" si="103"/>
        <v/>
      </c>
      <c r="DN61" s="244"/>
      <c r="DO61" s="244" t="str">
        <f t="shared" ca="1" si="104"/>
        <v/>
      </c>
      <c r="DP61" s="244" t="str">
        <f t="shared" ca="1" si="104"/>
        <v/>
      </c>
      <c r="DQ61" s="244" t="str">
        <f t="shared" ca="1" si="104"/>
        <v/>
      </c>
      <c r="DR61" s="244">
        <f t="shared" ca="1" si="104"/>
        <v>123.95923954365435</v>
      </c>
      <c r="DS61" s="244" t="str">
        <f t="shared" ca="1" si="104"/>
        <v/>
      </c>
      <c r="DT61" s="244" t="str">
        <f t="shared" ca="1" si="104"/>
        <v/>
      </c>
      <c r="DU61" s="244" t="str">
        <f t="shared" ca="1" si="104"/>
        <v/>
      </c>
      <c r="DV61" s="244" t="str">
        <f t="shared" ca="1" si="104"/>
        <v/>
      </c>
      <c r="DW61" s="244"/>
      <c r="DX61" s="244"/>
      <c r="DY61" s="244"/>
      <c r="DZ61" s="244"/>
      <c r="EA61" s="244"/>
      <c r="EB61" s="244"/>
      <c r="EC61" s="244"/>
      <c r="ED61" s="244"/>
      <c r="EE61" s="244"/>
      <c r="EF61" s="244"/>
      <c r="EG61" s="244"/>
      <c r="EH61" s="244"/>
      <c r="EI61" s="244"/>
      <c r="EJ61" s="244"/>
      <c r="EK61" s="244"/>
      <c r="EL61" s="244"/>
      <c r="EM61" s="244"/>
      <c r="EN61" s="244"/>
      <c r="EO61" s="479">
        <f t="shared" ca="1" si="126"/>
        <v>1370.6438098482497</v>
      </c>
      <c r="EP61" s="400">
        <f t="shared" ca="1" si="105"/>
        <v>0</v>
      </c>
      <c r="EQ61" s="400">
        <f t="shared" ca="1" si="106"/>
        <v>4612.1985978580115</v>
      </c>
      <c r="ER61" s="10">
        <f t="shared" ca="1" si="127"/>
        <v>274.12876196964993</v>
      </c>
      <c r="ES61" s="400">
        <f t="shared" ca="1" si="128"/>
        <v>3963.8876402560595</v>
      </c>
      <c r="ET61" s="400">
        <f t="shared" ca="1" si="129"/>
        <v>1096.5150478785997</v>
      </c>
      <c r="EU61" s="400">
        <f t="shared" ca="1" si="130"/>
        <v>2593.2438304078096</v>
      </c>
      <c r="EX61" s="479">
        <f t="shared" ca="1" si="107"/>
        <v>1151.6670416928248</v>
      </c>
      <c r="EY61" s="592">
        <f t="shared" ca="1" si="108"/>
        <v>0</v>
      </c>
      <c r="EZ61" s="244">
        <f t="shared" ca="1" si="109"/>
        <v>4612.1985978580115</v>
      </c>
      <c r="FA61" s="244">
        <f t="shared" ca="1" si="110"/>
        <v>229.12233651898597</v>
      </c>
      <c r="FB61" s="244">
        <f t="shared" ca="1" si="111"/>
        <v>3918.8812148053953</v>
      </c>
      <c r="FC61" s="260">
        <f t="shared" ca="1" si="112"/>
        <v>916.4893460759439</v>
      </c>
      <c r="FD61" s="589">
        <f t="shared" ca="1" si="113"/>
        <v>2773.2695322104655</v>
      </c>
      <c r="FE61" s="260"/>
      <c r="FF61" s="260"/>
      <c r="FG61" s="260"/>
      <c r="FH61" s="260"/>
    </row>
    <row r="62" spans="1:164" x14ac:dyDescent="0.35">
      <c r="A62" s="200" t="s">
        <v>141</v>
      </c>
      <c r="B62" s="7" t="s">
        <v>142</v>
      </c>
      <c r="C62" s="7" t="s">
        <v>127</v>
      </c>
      <c r="D62" s="244">
        <f t="shared" ca="1" si="114"/>
        <v>447.32927258199061</v>
      </c>
      <c r="E62" s="244">
        <f t="shared" ca="1" si="74"/>
        <v>391.41311350924173</v>
      </c>
      <c r="F62" s="244">
        <f t="shared" ca="1" si="75"/>
        <v>503.24543165473932</v>
      </c>
      <c r="G62" s="244">
        <f t="shared" ca="1" si="76"/>
        <v>3299.0533852921799</v>
      </c>
      <c r="H62" s="245">
        <f t="shared" ca="1" si="115"/>
        <v>257.00700777320509</v>
      </c>
      <c r="I62" s="244">
        <f t="shared" ca="1" si="116"/>
        <v>226.43797756730081</v>
      </c>
      <c r="J62" s="244">
        <f t="shared" ca="1" si="77"/>
        <v>195.19035527707794</v>
      </c>
      <c r="K62" s="244">
        <f t="shared" ca="1" si="78"/>
        <v>257.68559985752375</v>
      </c>
      <c r="L62" s="367" t="s">
        <v>128</v>
      </c>
      <c r="M62" s="852" t="s">
        <v>128</v>
      </c>
      <c r="N62" s="852" t="s">
        <v>128</v>
      </c>
      <c r="O62" s="852" t="s">
        <v>128</v>
      </c>
      <c r="P62" s="367" t="str">
        <f t="shared" si="79"/>
        <v>x</v>
      </c>
      <c r="Q62" s="367" t="s">
        <v>128</v>
      </c>
      <c r="R62" s="367" t="s">
        <v>128</v>
      </c>
      <c r="S62" s="853" t="s">
        <v>128</v>
      </c>
      <c r="T62" s="853" t="s">
        <v>128</v>
      </c>
      <c r="U62" s="852" t="s">
        <v>128</v>
      </c>
      <c r="V62" s="852" t="s">
        <v>128</v>
      </c>
      <c r="W62" s="852">
        <f t="shared" si="80"/>
        <v>2432.6554226099865</v>
      </c>
      <c r="X62" s="852" t="str">
        <f t="shared" si="81"/>
        <v>x</v>
      </c>
      <c r="Y62" s="852">
        <f t="shared" ca="1" si="82"/>
        <v>3103.4169562152765</v>
      </c>
      <c r="Z62" s="852">
        <f t="shared" ca="1" si="83"/>
        <v>2601.0366012110935</v>
      </c>
      <c r="AA62" s="853" t="s">
        <v>128</v>
      </c>
      <c r="AB62" s="244" t="str">
        <f t="shared" ca="1" si="134"/>
        <v/>
      </c>
      <c r="AC62" s="244" t="str">
        <f t="shared" ca="1" si="134"/>
        <v/>
      </c>
      <c r="AD62" s="244" t="str">
        <f t="shared" ca="1" si="134"/>
        <v/>
      </c>
      <c r="AE62" s="244" t="str">
        <f t="shared" ca="1" si="134"/>
        <v/>
      </c>
      <c r="AF62" s="244" t="str">
        <f t="shared" ca="1" si="134"/>
        <v/>
      </c>
      <c r="AG62" s="244" t="str">
        <f t="shared" ca="1" si="138"/>
        <v/>
      </c>
      <c r="AH62" s="244" t="str">
        <f t="shared" ca="1" si="135"/>
        <v/>
      </c>
      <c r="AI62" s="244" t="str">
        <f t="shared" ca="1" si="135"/>
        <v/>
      </c>
      <c r="AJ62" s="244" t="str">
        <f ca="1">IFERROR(INDEX(INDIRECT("PR14_Comp"&amp;AJ$28&amp;"_NHH_UnitValues"),MATCH($B62,INDIRECT("PR14_Comp"&amp;AJ$28&amp;"_WTPCore_Options"),0)),"")</f>
        <v/>
      </c>
      <c r="AK62" s="244" t="str">
        <f t="shared" ca="1" si="85"/>
        <v/>
      </c>
      <c r="AL62" s="244" t="str">
        <f t="shared" ca="1" si="85"/>
        <v/>
      </c>
      <c r="AM62" s="244" t="str">
        <f t="shared" ca="1" si="85"/>
        <v/>
      </c>
      <c r="AN62" s="244" t="str">
        <f t="shared" ca="1" si="85"/>
        <v/>
      </c>
      <c r="AO62" s="244" t="str">
        <f t="shared" ca="1" si="85"/>
        <v/>
      </c>
      <c r="AP62" s="244" t="str">
        <f t="shared" ca="1" si="85"/>
        <v/>
      </c>
      <c r="AQ62" s="244" t="str">
        <f t="shared" ca="1" si="86"/>
        <v/>
      </c>
      <c r="AR62" s="244" t="str">
        <f t="shared" ca="1" si="86"/>
        <v/>
      </c>
      <c r="AS62" s="244" t="str">
        <f t="shared" ca="1" si="86"/>
        <v/>
      </c>
      <c r="AT62" s="244" t="str">
        <f t="shared" ca="1" si="86"/>
        <v/>
      </c>
      <c r="AU62" s="244" t="str">
        <f t="shared" ca="1" si="86"/>
        <v/>
      </c>
      <c r="AV62" s="244"/>
      <c r="AW62" s="244" t="str">
        <f t="shared" ca="1" si="87"/>
        <v/>
      </c>
      <c r="AX62" s="244" t="str">
        <f t="shared" ca="1" si="87"/>
        <v/>
      </c>
      <c r="AY62" s="244" t="str">
        <f t="shared" ca="1" si="87"/>
        <v/>
      </c>
      <c r="AZ62" s="244" t="str">
        <f t="shared" ca="1" si="87"/>
        <v/>
      </c>
      <c r="BA62" s="244" t="str">
        <f t="shared" ca="1" si="87"/>
        <v/>
      </c>
      <c r="BB62" s="244" t="str">
        <f t="shared" ca="1" si="87"/>
        <v/>
      </c>
      <c r="BC62" s="244" t="str">
        <f t="shared" ca="1" si="87"/>
        <v/>
      </c>
      <c r="BD62" s="244" t="str">
        <f t="shared" ca="1" si="87"/>
        <v/>
      </c>
      <c r="BE62" s="479">
        <f t="shared" ca="1" si="117"/>
        <v>1538.744562493473</v>
      </c>
      <c r="BF62" s="400">
        <f t="shared" ca="1" si="88"/>
        <v>226.43797756730081</v>
      </c>
      <c r="BG62" s="400">
        <f t="shared" ca="1" si="89"/>
        <v>3103.4169562152765</v>
      </c>
      <c r="BH62" s="10">
        <f t="shared" ca="1" si="118"/>
        <v>488.89929455253525</v>
      </c>
      <c r="BI62" s="400">
        <f t="shared" ca="1" si="119"/>
        <v>2790.4824774709159</v>
      </c>
      <c r="BJ62" s="400">
        <f t="shared" ca="1" si="120"/>
        <v>1049.8452679409379</v>
      </c>
      <c r="BK62" s="400">
        <f t="shared" ca="1" si="90"/>
        <v>1251.7379149774429</v>
      </c>
      <c r="BL62" s="400"/>
      <c r="BM62" s="400"/>
      <c r="BN62" s="400"/>
      <c r="BO62" s="400"/>
      <c r="BP62" s="400"/>
      <c r="BQ62" s="400"/>
      <c r="BR62" s="400"/>
      <c r="BS62" s="400"/>
      <c r="BT62" s="400"/>
      <c r="BU62" s="688"/>
      <c r="BV62" s="244">
        <f t="shared" ca="1" si="121"/>
        <v>2192.3355621080605</v>
      </c>
      <c r="BW62" s="244">
        <f t="shared" ca="1" si="91"/>
        <v>1826.946301756717</v>
      </c>
      <c r="BX62" s="244">
        <f t="shared" ca="1" si="92"/>
        <v>2557.7248224594041</v>
      </c>
      <c r="BY62" s="244">
        <f t="shared" ca="1" si="93"/>
        <v>1169.245633124299</v>
      </c>
      <c r="BZ62" s="245">
        <f t="shared" ca="1" si="122"/>
        <v>915.71639969206558</v>
      </c>
      <c r="CA62" s="244">
        <f t="shared" ca="1" si="123"/>
        <v>46.25957403737916</v>
      </c>
      <c r="CB62" s="244">
        <f t="shared" ca="1" si="94"/>
        <v>26.201095914626386</v>
      </c>
      <c r="CC62" s="244">
        <f t="shared" ca="1" si="95"/>
        <v>66.318052160131941</v>
      </c>
      <c r="CD62" s="853" t="s">
        <v>128</v>
      </c>
      <c r="CE62" s="852" t="s">
        <v>128</v>
      </c>
      <c r="CF62" s="852" t="s">
        <v>128</v>
      </c>
      <c r="CG62" s="852" t="s">
        <v>128</v>
      </c>
      <c r="CH62" s="853" t="s">
        <v>128</v>
      </c>
      <c r="CI62" s="367" t="str">
        <f t="shared" si="124"/>
        <v>x</v>
      </c>
      <c r="CJ62" s="367" t="str">
        <f t="shared" si="125"/>
        <v>x</v>
      </c>
      <c r="CK62" s="853" t="s">
        <v>128</v>
      </c>
      <c r="CL62" s="853" t="s">
        <v>128</v>
      </c>
      <c r="CM62" s="852" t="s">
        <v>128</v>
      </c>
      <c r="CN62" s="852" t="s">
        <v>128</v>
      </c>
      <c r="CO62" s="852">
        <f t="shared" si="97"/>
        <v>2123.4974107408293</v>
      </c>
      <c r="CP62" s="852" t="str">
        <f t="shared" si="98"/>
        <v>x</v>
      </c>
      <c r="CQ62" s="852">
        <f t="shared" ca="1" si="99"/>
        <v>5562.2743548111539</v>
      </c>
      <c r="CR62" s="852">
        <f t="shared" ca="1" si="100"/>
        <v>4661.8547836013186</v>
      </c>
      <c r="CS62" s="853" t="s">
        <v>128</v>
      </c>
      <c r="CT62" s="244" t="str">
        <f t="shared" ca="1" si="136"/>
        <v/>
      </c>
      <c r="CU62" s="244" t="str">
        <f t="shared" ca="1" si="136"/>
        <v/>
      </c>
      <c r="CV62" s="244" t="str">
        <f t="shared" ca="1" si="136"/>
        <v/>
      </c>
      <c r="CW62" s="244" t="str">
        <f t="shared" ca="1" si="136"/>
        <v/>
      </c>
      <c r="CX62" s="244" t="str">
        <f t="shared" ca="1" si="136"/>
        <v/>
      </c>
      <c r="CY62" s="244" t="str">
        <f ca="1">IFERROR(INDEX(INDIRECT("PR14_Comp"&amp;CY$28&amp;"_NHH_UnitValues_CAM"),MATCH($B62,INDIRECT("PR14_Comp"&amp;CY$28&amp;"_WTPCore_Options"),0)),"")</f>
        <v/>
      </c>
      <c r="CZ62" s="244" t="str">
        <f t="shared" ca="1" si="137"/>
        <v/>
      </c>
      <c r="DA62" s="244" t="str">
        <f t="shared" ca="1" si="137"/>
        <v/>
      </c>
      <c r="DB62" s="244"/>
      <c r="DC62" s="244" t="str">
        <f t="shared" ca="1" si="102"/>
        <v/>
      </c>
      <c r="DD62" s="244" t="str">
        <f t="shared" ca="1" si="102"/>
        <v/>
      </c>
      <c r="DE62" s="244" t="str">
        <f t="shared" ca="1" si="102"/>
        <v/>
      </c>
      <c r="DF62" s="244" t="str">
        <f t="shared" ca="1" si="102"/>
        <v/>
      </c>
      <c r="DG62" s="244" t="str">
        <f t="shared" ca="1" si="102"/>
        <v/>
      </c>
      <c r="DH62" s="244" t="str">
        <f t="shared" ca="1" si="102"/>
        <v/>
      </c>
      <c r="DI62" s="244" t="str">
        <f t="shared" ca="1" si="103"/>
        <v/>
      </c>
      <c r="DJ62" s="244" t="str">
        <f t="shared" ca="1" si="103"/>
        <v/>
      </c>
      <c r="DK62" s="244" t="str">
        <f t="shared" ca="1" si="103"/>
        <v/>
      </c>
      <c r="DL62" s="244" t="str">
        <f t="shared" ca="1" si="103"/>
        <v/>
      </c>
      <c r="DM62" s="244" t="str">
        <f t="shared" ca="1" si="103"/>
        <v/>
      </c>
      <c r="DN62" s="244"/>
      <c r="DO62" s="244" t="str">
        <f t="shared" ca="1" si="104"/>
        <v/>
      </c>
      <c r="DP62" s="244" t="str">
        <f t="shared" ca="1" si="104"/>
        <v/>
      </c>
      <c r="DQ62" s="244" t="str">
        <f t="shared" ca="1" si="104"/>
        <v/>
      </c>
      <c r="DR62" s="244" t="str">
        <f t="shared" ca="1" si="104"/>
        <v/>
      </c>
      <c r="DS62" s="244" t="str">
        <f t="shared" ca="1" si="104"/>
        <v/>
      </c>
      <c r="DT62" s="244" t="str">
        <f t="shared" ca="1" si="104"/>
        <v/>
      </c>
      <c r="DU62" s="244" t="str">
        <f t="shared" ca="1" si="104"/>
        <v/>
      </c>
      <c r="DV62" s="244" t="str">
        <f t="shared" ca="1" si="104"/>
        <v/>
      </c>
      <c r="DW62" s="244"/>
      <c r="DX62" s="244"/>
      <c r="DY62" s="244"/>
      <c r="DZ62" s="244"/>
      <c r="EA62" s="244"/>
      <c r="EB62" s="244"/>
      <c r="EC62" s="244"/>
      <c r="ED62" s="244"/>
      <c r="EE62" s="244"/>
      <c r="EF62" s="244"/>
      <c r="EG62" s="244"/>
      <c r="EH62" s="244"/>
      <c r="EI62" s="244"/>
      <c r="EJ62" s="244"/>
      <c r="EK62" s="244"/>
      <c r="EL62" s="244"/>
      <c r="EM62" s="244"/>
      <c r="EN62" s="244"/>
      <c r="EO62" s="479">
        <f t="shared" ca="1" si="126"/>
        <v>3220.7143209952542</v>
      </c>
      <c r="EP62" s="400">
        <f t="shared" ca="1" si="105"/>
        <v>46.25957403737916</v>
      </c>
      <c r="EQ62" s="400">
        <f t="shared" ca="1" si="106"/>
        <v>5562.2743548111539</v>
      </c>
      <c r="ER62" s="10">
        <f t="shared" ca="1" si="127"/>
        <v>681.15052342895422</v>
      </c>
      <c r="ES62" s="400">
        <f t="shared" ca="1" si="128"/>
        <v>5093.962348047974</v>
      </c>
      <c r="ET62" s="400">
        <f t="shared" ca="1" si="129"/>
        <v>2539.5637975662999</v>
      </c>
      <c r="EU62" s="400">
        <f t="shared" ca="1" si="130"/>
        <v>1873.2480270527199</v>
      </c>
      <c r="EX62" s="479">
        <f t="shared" ca="1" si="107"/>
        <v>1913.3294293946471</v>
      </c>
      <c r="EY62" s="592">
        <f t="shared" ca="1" si="108"/>
        <v>186.31115426172573</v>
      </c>
      <c r="EZ62" s="244">
        <f t="shared" ca="1" si="109"/>
        <v>3651.0194126366287</v>
      </c>
      <c r="FA62" s="244">
        <f t="shared" ca="1" si="110"/>
        <v>527.58246721935734</v>
      </c>
      <c r="FB62" s="244">
        <f t="shared" ca="1" si="111"/>
        <v>3253.9692915154669</v>
      </c>
      <c r="FC62" s="260">
        <f t="shared" ca="1" si="112"/>
        <v>1349.5938804374819</v>
      </c>
      <c r="FD62" s="589">
        <f t="shared" ca="1" si="113"/>
        <v>1376.7929438586275</v>
      </c>
      <c r="FE62" s="260"/>
      <c r="FF62" s="260"/>
      <c r="FG62" s="260"/>
      <c r="FH62" s="260"/>
    </row>
    <row r="63" spans="1:164" x14ac:dyDescent="0.35">
      <c r="A63" s="200" t="s">
        <v>143</v>
      </c>
      <c r="B63" s="7" t="s">
        <v>144</v>
      </c>
      <c r="C63" s="7" t="s">
        <v>145</v>
      </c>
      <c r="D63" s="244">
        <f t="shared" ca="1" si="114"/>
        <v>159200.29439999998</v>
      </c>
      <c r="E63" s="244">
        <f t="shared" ca="1" si="74"/>
        <v>159200.29439999998</v>
      </c>
      <c r="F63" s="244">
        <f t="shared" ca="1" si="75"/>
        <v>159200.29439999998</v>
      </c>
      <c r="G63" s="244">
        <f t="shared" ca="1" si="76"/>
        <v>1432802.6495999997</v>
      </c>
      <c r="H63" s="245">
        <f t="shared" ca="1" si="115"/>
        <v>663978.19950570446</v>
      </c>
      <c r="I63" s="244">
        <f t="shared" ca="1" si="116"/>
        <v>264843.61611051176</v>
      </c>
      <c r="J63" s="244">
        <f t="shared" ca="1" si="77"/>
        <v>228327.2051251494</v>
      </c>
      <c r="K63" s="244">
        <f t="shared" ca="1" si="78"/>
        <v>301360.02709587413</v>
      </c>
      <c r="L63" s="367" t="s">
        <v>128</v>
      </c>
      <c r="M63" s="852" t="s">
        <v>128</v>
      </c>
      <c r="N63" s="852" t="s">
        <v>128</v>
      </c>
      <c r="O63" s="852" t="s">
        <v>128</v>
      </c>
      <c r="P63" s="367">
        <f t="shared" ca="1" si="79"/>
        <v>11191.987904919824</v>
      </c>
      <c r="Q63" s="367" t="s">
        <v>128</v>
      </c>
      <c r="R63" s="367" t="s">
        <v>128</v>
      </c>
      <c r="S63" s="244">
        <f t="shared" ca="1" si="131"/>
        <v>425038.91845028696</v>
      </c>
      <c r="T63" s="244">
        <f t="shared" ca="1" si="132"/>
        <v>238914.45496420949</v>
      </c>
      <c r="U63" s="852" t="s">
        <v>128</v>
      </c>
      <c r="V63" s="852" t="s">
        <v>128</v>
      </c>
      <c r="W63" s="852">
        <f t="shared" si="80"/>
        <v>0</v>
      </c>
      <c r="X63" s="852" t="str">
        <f t="shared" si="81"/>
        <v>x</v>
      </c>
      <c r="Y63" s="852">
        <f t="shared" si="82"/>
        <v>1014360.6644165043</v>
      </c>
      <c r="Z63" s="852">
        <f t="shared" si="83"/>
        <v>1005573.7653656433</v>
      </c>
      <c r="AA63" s="853" t="s">
        <v>128</v>
      </c>
      <c r="AB63" s="244" t="str">
        <f t="shared" ca="1" si="134"/>
        <v/>
      </c>
      <c r="AC63" s="244">
        <f t="shared" ca="1" si="134"/>
        <v>20318.36303621564</v>
      </c>
      <c r="AD63" s="244" t="str">
        <f t="shared" ca="1" si="134"/>
        <v/>
      </c>
      <c r="AE63" s="244" t="str">
        <f t="shared" ca="1" si="134"/>
        <v/>
      </c>
      <c r="AF63" s="244">
        <f t="shared" ca="1" si="134"/>
        <v>239509.16178404482</v>
      </c>
      <c r="AG63" s="244" t="str">
        <f t="shared" ca="1" si="138"/>
        <v/>
      </c>
      <c r="AH63" s="244">
        <f t="shared" ca="1" si="135"/>
        <v>5231.3709972873039</v>
      </c>
      <c r="AI63" s="244">
        <f t="shared" ca="1" si="135"/>
        <v>217841.27738494496</v>
      </c>
      <c r="AJ63" s="244"/>
      <c r="AK63" s="244">
        <f t="shared" ca="1" si="85"/>
        <v>0</v>
      </c>
      <c r="AL63" s="244">
        <f t="shared" ca="1" si="85"/>
        <v>1753389.0615081752</v>
      </c>
      <c r="AM63" s="244">
        <f t="shared" ca="1" si="85"/>
        <v>265633.52947519731</v>
      </c>
      <c r="AN63" s="244">
        <f t="shared" ca="1" si="85"/>
        <v>177375.92582583425</v>
      </c>
      <c r="AO63" s="244">
        <f t="shared" ca="1" si="85"/>
        <v>1225049.5973779508</v>
      </c>
      <c r="AP63" s="244">
        <f t="shared" ca="1" si="85"/>
        <v>346040.89711321931</v>
      </c>
      <c r="AQ63" s="244" t="str">
        <f t="shared" ca="1" si="86"/>
        <v/>
      </c>
      <c r="AR63" s="244">
        <f t="shared" ca="1" si="86"/>
        <v>609991.19417778752</v>
      </c>
      <c r="AS63" s="244">
        <f t="shared" ca="1" si="86"/>
        <v>610817.23639669246</v>
      </c>
      <c r="AT63" s="244">
        <f t="shared" ca="1" si="86"/>
        <v>410495.12497034325</v>
      </c>
      <c r="AU63" s="244" t="str">
        <f t="shared" ca="1" si="86"/>
        <v/>
      </c>
      <c r="AV63" s="244"/>
      <c r="AW63" s="244">
        <f t="shared" ca="1" si="87"/>
        <v>6749.3311190831419</v>
      </c>
      <c r="AX63" s="244">
        <f t="shared" ca="1" si="87"/>
        <v>0</v>
      </c>
      <c r="AY63" s="244">
        <f t="shared" ca="1" si="87"/>
        <v>138130.72251844921</v>
      </c>
      <c r="AZ63" s="244">
        <f t="shared" ca="1" si="87"/>
        <v>147424.90753124258</v>
      </c>
      <c r="BA63" s="244">
        <f t="shared" ca="1" si="87"/>
        <v>126291.97734304263</v>
      </c>
      <c r="BB63" s="244">
        <f t="shared" ca="1" si="87"/>
        <v>100329.60062124487</v>
      </c>
      <c r="BC63" s="244" t="str">
        <f t="shared" ca="1" si="87"/>
        <v/>
      </c>
      <c r="BD63" s="244" t="str">
        <f t="shared" ca="1" si="87"/>
        <v/>
      </c>
      <c r="BE63" s="479">
        <f t="shared" ca="1" si="117"/>
        <v>403267.61681808537</v>
      </c>
      <c r="BF63" s="400">
        <f t="shared" ca="1" si="88"/>
        <v>0</v>
      </c>
      <c r="BG63" s="400">
        <f t="shared" ca="1" si="89"/>
        <v>1014360.6644165043</v>
      </c>
      <c r="BH63" s="10">
        <f t="shared" ca="1" si="118"/>
        <v>80653.523363617074</v>
      </c>
      <c r="BI63" s="400">
        <f t="shared" ca="1" si="119"/>
        <v>892142.05489682057</v>
      </c>
      <c r="BJ63" s="400">
        <f t="shared" ca="1" si="120"/>
        <v>322614.0934544683</v>
      </c>
      <c r="BK63" s="400">
        <f t="shared" ca="1" si="90"/>
        <v>488874.4380787352</v>
      </c>
      <c r="BL63" s="400"/>
      <c r="BM63" s="400"/>
      <c r="BN63" s="400"/>
      <c r="BO63" s="400"/>
      <c r="BP63" s="400"/>
      <c r="BQ63" s="400"/>
      <c r="BR63" s="400"/>
      <c r="BS63" s="400"/>
      <c r="BT63" s="400"/>
      <c r="BU63" s="688"/>
      <c r="BV63" s="244">
        <f t="shared" ca="1" si="121"/>
        <v>950206.4639999998</v>
      </c>
      <c r="BW63" s="244">
        <f t="shared" ca="1" si="91"/>
        <v>739049.47199999995</v>
      </c>
      <c r="BX63" s="244">
        <f t="shared" ca="1" si="92"/>
        <v>1055784.96</v>
      </c>
      <c r="BY63" s="244">
        <f t="shared" ca="1" si="93"/>
        <v>844627.96799999988</v>
      </c>
      <c r="BZ63" s="245">
        <f t="shared" ca="1" si="122"/>
        <v>796129.26405908831</v>
      </c>
      <c r="CA63" s="244">
        <f t="shared" ca="1" si="123"/>
        <v>163435.57878935931</v>
      </c>
      <c r="CB63" s="244">
        <f t="shared" ca="1" si="94"/>
        <v>92566.846097103917</v>
      </c>
      <c r="CC63" s="244">
        <f t="shared" ca="1" si="95"/>
        <v>234304.31148161466</v>
      </c>
      <c r="CD63" s="853" t="s">
        <v>128</v>
      </c>
      <c r="CE63" s="852" t="s">
        <v>128</v>
      </c>
      <c r="CF63" s="852" t="s">
        <v>128</v>
      </c>
      <c r="CG63" s="852" t="s">
        <v>128</v>
      </c>
      <c r="CH63" s="853" t="s">
        <v>128</v>
      </c>
      <c r="CI63" s="367" t="str">
        <f t="shared" si="124"/>
        <v>x</v>
      </c>
      <c r="CJ63" s="367" t="str">
        <f t="shared" si="125"/>
        <v>x</v>
      </c>
      <c r="CK63" s="244">
        <f t="shared" ca="1" si="133"/>
        <v>113377.19873157101</v>
      </c>
      <c r="CL63" s="244">
        <f t="shared" ca="1" si="96"/>
        <v>283007.84234115132</v>
      </c>
      <c r="CM63" s="852" t="s">
        <v>128</v>
      </c>
      <c r="CN63" s="852" t="s">
        <v>128</v>
      </c>
      <c r="CO63" s="852">
        <f t="shared" si="97"/>
        <v>0</v>
      </c>
      <c r="CP63" s="852" t="str">
        <f t="shared" si="98"/>
        <v>x</v>
      </c>
      <c r="CQ63" s="852">
        <f t="shared" si="99"/>
        <v>145314.57297363286</v>
      </c>
      <c r="CR63" s="852">
        <f t="shared" si="100"/>
        <v>144055.78551456594</v>
      </c>
      <c r="CS63" s="853" t="s">
        <v>128</v>
      </c>
      <c r="CT63" s="244" t="str">
        <f t="shared" ca="1" si="136"/>
        <v/>
      </c>
      <c r="CU63" s="244">
        <f t="shared" ca="1" si="136"/>
        <v>8296.9420706167675</v>
      </c>
      <c r="CV63" s="244" t="str">
        <f t="shared" ca="1" si="136"/>
        <v/>
      </c>
      <c r="CW63" s="244" t="str">
        <f t="shared" ca="1" si="136"/>
        <v/>
      </c>
      <c r="CX63" s="244">
        <f t="shared" ca="1" si="136"/>
        <v>183355.37809254875</v>
      </c>
      <c r="CY63" s="244" t="str">
        <f ca="1">IFERROR(INDEX(INDIRECT("PR14_Comp"&amp;CY$28&amp;"_NHH_UnitValues_CAM"),MATCH($B63,INDIRECT("PR14_Comp"&amp;CY$28&amp;"_WTPCore_Options"),0)),"")</f>
        <v/>
      </c>
      <c r="CZ63" s="244">
        <f t="shared" ca="1" si="137"/>
        <v>15643.783777766916</v>
      </c>
      <c r="DA63" s="244">
        <f t="shared" ca="1" si="137"/>
        <v>109902.6011713676</v>
      </c>
      <c r="DB63" s="244"/>
      <c r="DC63" s="244">
        <f t="shared" ca="1" si="102"/>
        <v>0</v>
      </c>
      <c r="DD63" s="244">
        <f t="shared" ca="1" si="102"/>
        <v>69.465764906342685</v>
      </c>
      <c r="DE63" s="244">
        <f t="shared" ca="1" si="102"/>
        <v>516849.76955069636</v>
      </c>
      <c r="DF63" s="244">
        <f t="shared" ca="1" si="102"/>
        <v>299459.63102258276</v>
      </c>
      <c r="DG63" s="244">
        <f t="shared" ca="1" si="102"/>
        <v>167.69522682899034</v>
      </c>
      <c r="DH63" s="244">
        <f t="shared" ca="1" si="102"/>
        <v>26.720638395670651</v>
      </c>
      <c r="DI63" s="244" t="str">
        <f t="shared" ca="1" si="103"/>
        <v/>
      </c>
      <c r="DJ63" s="244">
        <f t="shared" ca="1" si="103"/>
        <v>649416.95929406688</v>
      </c>
      <c r="DK63" s="244">
        <f t="shared" ca="1" si="103"/>
        <v>673043.09424143704</v>
      </c>
      <c r="DL63" s="244">
        <f t="shared" ca="1" si="103"/>
        <v>660913.54149762599</v>
      </c>
      <c r="DM63" s="244" t="str">
        <f t="shared" ca="1" si="103"/>
        <v/>
      </c>
      <c r="DN63" s="244"/>
      <c r="DO63" s="244">
        <f t="shared" ca="1" si="104"/>
        <v>12619.118421802723</v>
      </c>
      <c r="DP63" s="244">
        <f t="shared" ca="1" si="104"/>
        <v>0</v>
      </c>
      <c r="DQ63" s="244">
        <f t="shared" ca="1" si="104"/>
        <v>148820.45950889724</v>
      </c>
      <c r="DR63" s="244">
        <f t="shared" ca="1" si="104"/>
        <v>111798.08265319861</v>
      </c>
      <c r="DS63" s="244">
        <f t="shared" ca="1" si="104"/>
        <v>116194.51154417939</v>
      </c>
      <c r="DT63" s="244">
        <f t="shared" ca="1" si="104"/>
        <v>174264.81390915441</v>
      </c>
      <c r="DU63" s="244" t="str">
        <f t="shared" ca="1" si="104"/>
        <v/>
      </c>
      <c r="DV63" s="244" t="str">
        <f t="shared" ca="1" si="104"/>
        <v/>
      </c>
      <c r="DW63" s="244"/>
      <c r="DX63" s="244"/>
      <c r="DY63" s="244"/>
      <c r="DZ63" s="244"/>
      <c r="EA63" s="244"/>
      <c r="EB63" s="244"/>
      <c r="EC63" s="244"/>
      <c r="ED63" s="244"/>
      <c r="EE63" s="244"/>
      <c r="EF63" s="244"/>
      <c r="EG63" s="244"/>
      <c r="EH63" s="244"/>
      <c r="EI63" s="244"/>
      <c r="EJ63" s="244"/>
      <c r="EK63" s="244"/>
      <c r="EL63" s="244"/>
      <c r="EM63" s="244"/>
      <c r="EN63" s="244"/>
      <c r="EO63" s="479">
        <f t="shared" ca="1" si="126"/>
        <v>373685.13598728913</v>
      </c>
      <c r="EP63" s="400">
        <f t="shared" ca="1" si="105"/>
        <v>0</v>
      </c>
      <c r="EQ63" s="400">
        <f t="shared" ca="1" si="106"/>
        <v>950206.4639999998</v>
      </c>
      <c r="ER63" s="10">
        <f t="shared" ca="1" si="127"/>
        <v>74737.027197457835</v>
      </c>
      <c r="ES63" s="400">
        <f t="shared" ca="1" si="128"/>
        <v>834902.19839745772</v>
      </c>
      <c r="ET63" s="400">
        <f t="shared" ca="1" si="129"/>
        <v>298948.10878983128</v>
      </c>
      <c r="EU63" s="400">
        <f t="shared" ca="1" si="130"/>
        <v>461217.06241016858</v>
      </c>
      <c r="EX63" s="479">
        <f t="shared" ca="1" si="107"/>
        <v>396679.41890988935</v>
      </c>
      <c r="EY63" s="592">
        <f t="shared" ca="1" si="108"/>
        <v>0</v>
      </c>
      <c r="EZ63" s="244">
        <f t="shared" ca="1" si="109"/>
        <v>1000073.1348680697</v>
      </c>
      <c r="FA63" s="244">
        <f t="shared" ca="1" si="110"/>
        <v>79463.055848190954</v>
      </c>
      <c r="FB63" s="244">
        <f t="shared" ca="1" si="111"/>
        <v>880624.73318538279</v>
      </c>
      <c r="FC63" s="260">
        <f t="shared" ca="1" si="112"/>
        <v>317852.22339276382</v>
      </c>
      <c r="FD63" s="589">
        <f t="shared" ca="1" si="113"/>
        <v>483309.45394442813</v>
      </c>
      <c r="FE63" s="260"/>
      <c r="FF63" s="260"/>
      <c r="FG63" s="260"/>
      <c r="FH63" s="260"/>
    </row>
    <row r="64" spans="1:164" x14ac:dyDescent="0.35">
      <c r="A64" s="200" t="s">
        <v>146</v>
      </c>
      <c r="B64" s="7" t="s">
        <v>147</v>
      </c>
      <c r="C64" s="7" t="s">
        <v>145</v>
      </c>
      <c r="D64" s="244">
        <f t="shared" ca="1" si="114"/>
        <v>318400.58879999997</v>
      </c>
      <c r="E64" s="244">
        <f t="shared" ca="1" si="74"/>
        <v>0</v>
      </c>
      <c r="F64" s="244">
        <f t="shared" ca="1" si="75"/>
        <v>318400.58879999997</v>
      </c>
      <c r="G64" s="244">
        <f t="shared" ca="1" si="76"/>
        <v>318400.58879999997</v>
      </c>
      <c r="H64" s="245">
        <f t="shared" ca="1" si="115"/>
        <v>1075442.5000092394</v>
      </c>
      <c r="I64" s="853" t="s">
        <v>128</v>
      </c>
      <c r="J64" s="853" t="s">
        <v>128</v>
      </c>
      <c r="K64" s="853" t="s">
        <v>128</v>
      </c>
      <c r="L64" s="367" t="s">
        <v>128</v>
      </c>
      <c r="M64" s="852" t="s">
        <v>128</v>
      </c>
      <c r="N64" s="852" t="s">
        <v>128</v>
      </c>
      <c r="O64" s="852" t="s">
        <v>128</v>
      </c>
      <c r="P64" s="367" t="str">
        <f t="shared" si="79"/>
        <v>x</v>
      </c>
      <c r="Q64" s="367" t="s">
        <v>128</v>
      </c>
      <c r="R64" s="367" t="s">
        <v>128</v>
      </c>
      <c r="S64" s="853" t="s">
        <v>128</v>
      </c>
      <c r="T64" s="244">
        <f t="shared" ca="1" si="132"/>
        <v>443579.92386340257</v>
      </c>
      <c r="U64" s="852" t="s">
        <v>128</v>
      </c>
      <c r="V64" s="852" t="s">
        <v>128</v>
      </c>
      <c r="W64" s="852" t="str">
        <f t="shared" si="80"/>
        <v>x</v>
      </c>
      <c r="X64" s="852" t="str">
        <f t="shared" si="81"/>
        <v>x</v>
      </c>
      <c r="Y64" s="852">
        <f t="shared" si="82"/>
        <v>8273318.7427734379</v>
      </c>
      <c r="Z64" s="852">
        <f t="shared" si="83"/>
        <v>7592107.2432206962</v>
      </c>
      <c r="AA64" s="853" t="s">
        <v>128</v>
      </c>
      <c r="AB64" s="244" t="str">
        <f t="shared" ca="1" si="134"/>
        <v/>
      </c>
      <c r="AC64" s="244" t="str">
        <f t="shared" ca="1" si="134"/>
        <v/>
      </c>
      <c r="AD64" s="244" t="str">
        <f t="shared" ca="1" si="134"/>
        <v/>
      </c>
      <c r="AE64" s="244" t="str">
        <f t="shared" ca="1" si="134"/>
        <v/>
      </c>
      <c r="AF64" s="244" t="str">
        <f t="shared" ca="1" si="134"/>
        <v/>
      </c>
      <c r="AG64" s="244" t="str">
        <f t="shared" ca="1" si="138"/>
        <v/>
      </c>
      <c r="AH64" s="244" t="str">
        <f t="shared" ca="1" si="135"/>
        <v/>
      </c>
      <c r="AI64" s="244" t="str">
        <f t="shared" ca="1" si="135"/>
        <v/>
      </c>
      <c r="AJ64" s="244"/>
      <c r="AK64" s="244" t="str">
        <f t="shared" ca="1" si="85"/>
        <v/>
      </c>
      <c r="AL64" s="244" t="str">
        <f t="shared" ca="1" si="85"/>
        <v/>
      </c>
      <c r="AM64" s="244" t="str">
        <f t="shared" ca="1" si="85"/>
        <v/>
      </c>
      <c r="AN64" s="244" t="str">
        <f t="shared" ca="1" si="85"/>
        <v/>
      </c>
      <c r="AO64" s="244" t="str">
        <f t="shared" ca="1" si="85"/>
        <v/>
      </c>
      <c r="AP64" s="244" t="str">
        <f t="shared" ca="1" si="85"/>
        <v/>
      </c>
      <c r="AQ64" s="244">
        <f t="shared" ca="1" si="86"/>
        <v>316830.31491548364</v>
      </c>
      <c r="AR64" s="244" t="str">
        <f t="shared" ca="1" si="86"/>
        <v/>
      </c>
      <c r="AS64" s="244">
        <f t="shared" ca="1" si="86"/>
        <v>349094.77185087046</v>
      </c>
      <c r="AT64" s="244">
        <f t="shared" ca="1" si="86"/>
        <v>364854.18897164334</v>
      </c>
      <c r="AU64" s="244">
        <f t="shared" ca="1" si="86"/>
        <v>743540.41971561278</v>
      </c>
      <c r="AV64" s="244"/>
      <c r="AW64" s="244" t="str">
        <f t="shared" ca="1" si="87"/>
        <v/>
      </c>
      <c r="AX64" s="244" t="str">
        <f t="shared" ca="1" si="87"/>
        <v/>
      </c>
      <c r="AY64" s="244" t="str">
        <f t="shared" ca="1" si="87"/>
        <v/>
      </c>
      <c r="AZ64" s="244" t="str">
        <f t="shared" ca="1" si="87"/>
        <v/>
      </c>
      <c r="BA64" s="244" t="str">
        <f t="shared" ca="1" si="87"/>
        <v/>
      </c>
      <c r="BB64" s="244" t="str">
        <f t="shared" ca="1" si="87"/>
        <v/>
      </c>
      <c r="BC64" s="244" t="str">
        <f t="shared" ca="1" si="87"/>
        <v/>
      </c>
      <c r="BD64" s="244" t="str">
        <f t="shared" ca="1" si="87"/>
        <v/>
      </c>
      <c r="BE64" s="479">
        <f t="shared" ca="1" si="117"/>
        <v>3952546.090307917</v>
      </c>
      <c r="BF64" s="400">
        <f t="shared" ca="1" si="88"/>
        <v>318400.58879999997</v>
      </c>
      <c r="BG64" s="400">
        <f t="shared" ca="1" si="89"/>
        <v>8273318.7427734379</v>
      </c>
      <c r="BH64" s="10">
        <f t="shared" ca="1" si="118"/>
        <v>1045229.6891015834</v>
      </c>
      <c r="BI64" s="400">
        <f t="shared" ca="1" si="119"/>
        <v>7409164.212280334</v>
      </c>
      <c r="BJ64" s="400">
        <f t="shared" ca="1" si="120"/>
        <v>2907316.4012063337</v>
      </c>
      <c r="BK64" s="400">
        <f t="shared" ca="1" si="90"/>
        <v>3456618.121972417</v>
      </c>
      <c r="BL64" s="400"/>
      <c r="BM64" s="400"/>
      <c r="BN64" s="400"/>
      <c r="BO64" s="400"/>
      <c r="BP64" s="400"/>
      <c r="BQ64" s="400"/>
      <c r="BR64" s="400"/>
      <c r="BS64" s="400"/>
      <c r="BT64" s="400"/>
      <c r="BU64" s="688"/>
      <c r="BV64" s="244">
        <f t="shared" ca="1" si="121"/>
        <v>962433.11413022119</v>
      </c>
      <c r="BW64" s="244">
        <f t="shared" ca="1" si="91"/>
        <v>844627.96799999988</v>
      </c>
      <c r="BX64" s="244">
        <f t="shared" ca="1" si="92"/>
        <v>1055784.96</v>
      </c>
      <c r="BY64" s="244">
        <f t="shared" ca="1" si="93"/>
        <v>751059.52101211366</v>
      </c>
      <c r="BZ64" s="245">
        <f t="shared" ca="1" si="122"/>
        <v>1267482.5409220785</v>
      </c>
      <c r="CA64" s="853" t="s">
        <v>128</v>
      </c>
      <c r="CB64" s="853" t="s">
        <v>128</v>
      </c>
      <c r="CC64" s="853" t="s">
        <v>128</v>
      </c>
      <c r="CD64" s="853" t="s">
        <v>128</v>
      </c>
      <c r="CE64" s="852" t="s">
        <v>128</v>
      </c>
      <c r="CF64" s="852" t="s">
        <v>128</v>
      </c>
      <c r="CG64" s="852" t="s">
        <v>128</v>
      </c>
      <c r="CH64" s="853" t="s">
        <v>128</v>
      </c>
      <c r="CI64" s="367" t="str">
        <f t="shared" si="124"/>
        <v>x</v>
      </c>
      <c r="CJ64" s="367" t="str">
        <f t="shared" si="125"/>
        <v>x</v>
      </c>
      <c r="CK64" s="853" t="s">
        <v>128</v>
      </c>
      <c r="CL64" s="244">
        <f t="shared" ca="1" si="96"/>
        <v>563948.3644101707</v>
      </c>
      <c r="CM64" s="852" t="s">
        <v>128</v>
      </c>
      <c r="CN64" s="852" t="s">
        <v>128</v>
      </c>
      <c r="CO64" s="852" t="str">
        <f t="shared" si="97"/>
        <v>x</v>
      </c>
      <c r="CP64" s="852" t="str">
        <f t="shared" si="98"/>
        <v>x</v>
      </c>
      <c r="CQ64" s="852">
        <f t="shared" si="99"/>
        <v>2370426.6585937501</v>
      </c>
      <c r="CR64" s="852">
        <f t="shared" si="100"/>
        <v>2175249.614304129</v>
      </c>
      <c r="CS64" s="853" t="s">
        <v>128</v>
      </c>
      <c r="CT64" s="244" t="str">
        <f t="shared" ca="1" si="136"/>
        <v/>
      </c>
      <c r="CU64" s="244" t="str">
        <f t="shared" ca="1" si="136"/>
        <v/>
      </c>
      <c r="CV64" s="244" t="str">
        <f t="shared" ca="1" si="136"/>
        <v/>
      </c>
      <c r="CW64" s="244" t="str">
        <f t="shared" ca="1" si="136"/>
        <v/>
      </c>
      <c r="CX64" s="244" t="str">
        <f t="shared" ca="1" si="136"/>
        <v/>
      </c>
      <c r="CY64" s="244" t="str">
        <f ca="1">IFERROR(INDEX(INDIRECT("PR14_Comp"&amp;CY$28&amp;"_NHH_UnitValues_CAM"),MATCH($B64,INDIRECT("PR14_Comp"&amp;CY$28&amp;"_WTPCore_Options"),0)),"")</f>
        <v/>
      </c>
      <c r="CZ64" s="244" t="str">
        <f t="shared" ca="1" si="137"/>
        <v/>
      </c>
      <c r="DA64" s="244" t="str">
        <f t="shared" ca="1" si="137"/>
        <v/>
      </c>
      <c r="DB64" s="244"/>
      <c r="DC64" s="244" t="str">
        <f t="shared" ca="1" si="102"/>
        <v/>
      </c>
      <c r="DD64" s="244" t="str">
        <f t="shared" ca="1" si="102"/>
        <v/>
      </c>
      <c r="DE64" s="244" t="str">
        <f t="shared" ca="1" si="102"/>
        <v/>
      </c>
      <c r="DF64" s="244" t="str">
        <f t="shared" ca="1" si="102"/>
        <v/>
      </c>
      <c r="DG64" s="244" t="str">
        <f t="shared" ca="1" si="102"/>
        <v/>
      </c>
      <c r="DH64" s="244" t="str">
        <f t="shared" ca="1" si="102"/>
        <v/>
      </c>
      <c r="DI64" s="244">
        <f t="shared" ca="1" si="103"/>
        <v>431811.2631430921</v>
      </c>
      <c r="DJ64" s="244" t="str">
        <f t="shared" ca="1" si="103"/>
        <v/>
      </c>
      <c r="DK64" s="244">
        <f t="shared" ca="1" si="103"/>
        <v>384658.1455625908</v>
      </c>
      <c r="DL64" s="244">
        <f t="shared" ca="1" si="103"/>
        <v>587429.81218330935</v>
      </c>
      <c r="DM64" s="244">
        <f t="shared" ca="1" si="103"/>
        <v>851894.23675169062</v>
      </c>
      <c r="DN64" s="244"/>
      <c r="DO64" s="244" t="str">
        <f t="shared" ca="1" si="104"/>
        <v/>
      </c>
      <c r="DP64" s="244" t="str">
        <f t="shared" ca="1" si="104"/>
        <v/>
      </c>
      <c r="DQ64" s="244" t="str">
        <f t="shared" ca="1" si="104"/>
        <v/>
      </c>
      <c r="DR64" s="244" t="str">
        <f t="shared" ca="1" si="104"/>
        <v/>
      </c>
      <c r="DS64" s="244" t="str">
        <f t="shared" ca="1" si="104"/>
        <v/>
      </c>
      <c r="DT64" s="244" t="str">
        <f t="shared" ca="1" si="104"/>
        <v/>
      </c>
      <c r="DU64" s="244" t="str">
        <f t="shared" ca="1" si="104"/>
        <v/>
      </c>
      <c r="DV64" s="244" t="str">
        <f t="shared" ca="1" si="104"/>
        <v/>
      </c>
      <c r="DW64" s="244"/>
      <c r="DX64" s="244"/>
      <c r="DY64" s="244"/>
      <c r="DZ64" s="244"/>
      <c r="EA64" s="244"/>
      <c r="EB64" s="244"/>
      <c r="EC64" s="244"/>
      <c r="ED64" s="244"/>
      <c r="EE64" s="244"/>
      <c r="EF64" s="244"/>
      <c r="EG64" s="244"/>
      <c r="EH64" s="244"/>
      <c r="EI64" s="244"/>
      <c r="EJ64" s="244"/>
      <c r="EK64" s="244"/>
      <c r="EL64" s="244"/>
      <c r="EM64" s="244"/>
      <c r="EN64" s="244"/>
      <c r="EO64" s="479">
        <f t="shared" ca="1" si="126"/>
        <v>1576192.6918665692</v>
      </c>
      <c r="EP64" s="400">
        <f t="shared" ca="1" si="105"/>
        <v>563948.3644101707</v>
      </c>
      <c r="EQ64" s="400">
        <f t="shared" ca="1" si="106"/>
        <v>2370426.6585937501</v>
      </c>
      <c r="ER64" s="10">
        <f t="shared" ca="1" si="127"/>
        <v>766397.22990145045</v>
      </c>
      <c r="ES64" s="400">
        <f t="shared" ca="1" si="128"/>
        <v>2211579.8652483141</v>
      </c>
      <c r="ET64" s="400">
        <f t="shared" ca="1" si="129"/>
        <v>809795.46196511877</v>
      </c>
      <c r="EU64" s="400">
        <f t="shared" ca="1" si="130"/>
        <v>635387.17338174488</v>
      </c>
      <c r="EX64" s="479">
        <f t="shared" ca="1" si="107"/>
        <v>3423317.7751340428</v>
      </c>
      <c r="EY64" s="592">
        <f t="shared" ca="1" si="108"/>
        <v>373085.56775392918</v>
      </c>
      <c r="EZ64" s="244">
        <f t="shared" ca="1" si="109"/>
        <v>6958708.8727041828</v>
      </c>
      <c r="FA64" s="244">
        <f t="shared" ca="1" si="110"/>
        <v>989125.37066684</v>
      </c>
      <c r="FB64" s="244">
        <f t="shared" ca="1" si="111"/>
        <v>6363350.0766741913</v>
      </c>
      <c r="FC64" s="260">
        <f t="shared" ca="1" si="112"/>
        <v>2485270.9082378629</v>
      </c>
      <c r="FD64" s="589">
        <f t="shared" ca="1" si="113"/>
        <v>2888953.7977694883</v>
      </c>
      <c r="FE64" s="260"/>
      <c r="FF64" s="260"/>
      <c r="FG64" s="260"/>
      <c r="FH64" s="260"/>
    </row>
    <row r="65" spans="1:164" s="739" customFormat="1" x14ac:dyDescent="0.35">
      <c r="A65" s="770" t="s">
        <v>40</v>
      </c>
      <c r="B65" s="739" t="s">
        <v>40</v>
      </c>
      <c r="C65" s="739" t="s">
        <v>148</v>
      </c>
      <c r="D65" s="714">
        <f t="shared" ca="1" si="114"/>
        <v>18818.001702127662</v>
      </c>
      <c r="E65" s="714">
        <f t="shared" ca="1" si="74"/>
        <v>0</v>
      </c>
      <c r="F65" s="714">
        <f t="shared" ca="1" si="75"/>
        <v>37636.003404255323</v>
      </c>
      <c r="G65" s="714">
        <f t="shared" ca="1" si="76"/>
        <v>150544.01361702129</v>
      </c>
      <c r="H65" s="771">
        <f t="shared" ca="1" si="115"/>
        <v>20822.397340604428</v>
      </c>
      <c r="I65" s="714">
        <f ca="1">INDEX(INDIRECT("SSW_WTPCore2_"&amp;$B65&amp;"_UnitValues"),2,MATCH("MEAN",LMH,0))</f>
        <v>94293.266018211216</v>
      </c>
      <c r="J65" s="714">
        <f ca="1">INDEX(INDIRECT("SSW_WTPCore2_"&amp;$B65&amp;"_UnitValues"),2,MATCH("LOW",LMH,0))</f>
        <v>61736.568429803199</v>
      </c>
      <c r="K65" s="714">
        <f ca="1">INDEX(INDIRECT("SSW_WTPCore2_"&amp;$B65&amp;"_UnitValues"),2,MATCH("HIGH",LMH,0))</f>
        <v>126849.96360661928</v>
      </c>
      <c r="L65" s="853" t="s">
        <v>128</v>
      </c>
      <c r="M65" s="852" t="s">
        <v>128</v>
      </c>
      <c r="N65" s="852" t="s">
        <v>128</v>
      </c>
      <c r="O65" s="852" t="s">
        <v>128</v>
      </c>
      <c r="P65" s="367" t="str">
        <f t="shared" si="79"/>
        <v>x</v>
      </c>
      <c r="Q65" s="853" t="s">
        <v>128</v>
      </c>
      <c r="R65" s="853" t="s">
        <v>128</v>
      </c>
      <c r="S65" s="714">
        <f t="shared" ca="1" si="131"/>
        <v>18602.663492617012</v>
      </c>
      <c r="T65" s="714">
        <f t="shared" ca="1" si="132"/>
        <v>47026.239641482447</v>
      </c>
      <c r="U65" s="852" t="s">
        <v>128</v>
      </c>
      <c r="V65" s="852" t="s">
        <v>128</v>
      </c>
      <c r="W65" s="859">
        <f t="shared" si="80"/>
        <v>59387.050459338279</v>
      </c>
      <c r="X65" s="859">
        <f t="shared" si="81"/>
        <v>0</v>
      </c>
      <c r="Y65" s="852">
        <f t="shared" ca="1" si="82"/>
        <v>184486.10588067942</v>
      </c>
      <c r="Z65" s="852">
        <f t="shared" ca="1" si="83"/>
        <v>154621.54153973307</v>
      </c>
      <c r="AA65" s="853" t="s">
        <v>128</v>
      </c>
      <c r="AB65" s="714" t="str">
        <f t="shared" ca="1" si="134"/>
        <v/>
      </c>
      <c r="AC65" s="714" t="str">
        <f t="shared" ca="1" si="134"/>
        <v/>
      </c>
      <c r="AD65" s="714" t="str">
        <f t="shared" ca="1" si="134"/>
        <v/>
      </c>
      <c r="AE65" s="714" t="str">
        <f t="shared" ca="1" si="134"/>
        <v/>
      </c>
      <c r="AF65" s="714" t="str">
        <f t="shared" ca="1" si="134"/>
        <v/>
      </c>
      <c r="AG65" s="714" t="str">
        <f t="shared" ca="1" si="138"/>
        <v/>
      </c>
      <c r="AH65" s="714" t="str">
        <f t="shared" ca="1" si="135"/>
        <v/>
      </c>
      <c r="AI65" s="714" t="str">
        <f t="shared" ca="1" si="135"/>
        <v/>
      </c>
      <c r="AJ65" s="714"/>
      <c r="AK65" s="714" t="str">
        <f t="shared" ref="AK65:AM70" ca="1" si="139">IFERROR(INDEX(INDIRECT("PR14_Comp"&amp;AK$28&amp;"_NHH_UnitValues"),MATCH($B65,INDIRECT("PR14_Comp"&amp;AK$28&amp;"_WTPCore_Options"),0)),"")</f>
        <v/>
      </c>
      <c r="AL65" s="714">
        <f t="shared" ca="1" si="139"/>
        <v>27057.116491588393</v>
      </c>
      <c r="AM65" s="714" t="str">
        <f t="shared" ca="1" si="139"/>
        <v/>
      </c>
      <c r="AN65" s="714"/>
      <c r="AO65" s="714">
        <f t="shared" ref="AO65:AP70" ca="1" si="140">IFERROR(INDEX(INDIRECT("PR14_Comp"&amp;AO$28&amp;"_NHH_UnitValues"),MATCH($B65,INDIRECT("PR14_Comp"&amp;AO$28&amp;"_WTPCore_Options"),0)),"")</f>
        <v>7206.7413387023134</v>
      </c>
      <c r="AP65" s="714">
        <f t="shared" ca="1" si="140"/>
        <v>21544.132647560327</v>
      </c>
      <c r="AQ65" s="714">
        <f t="shared" ca="1" si="86"/>
        <v>49650.056465808244</v>
      </c>
      <c r="AR65" s="714">
        <f t="shared" ca="1" si="86"/>
        <v>41600.571731211276</v>
      </c>
      <c r="AS65" s="714">
        <f t="shared" ca="1" si="86"/>
        <v>47793.8174656673</v>
      </c>
      <c r="AT65" s="714">
        <f t="shared" ca="1" si="86"/>
        <v>31939.816407036855</v>
      </c>
      <c r="AU65" s="714">
        <f t="shared" ca="1" si="86"/>
        <v>56668.258452168637</v>
      </c>
      <c r="AV65" s="714"/>
      <c r="AW65" s="714">
        <f t="shared" ca="1" si="87"/>
        <v>6747.4110196357751</v>
      </c>
      <c r="AX65" s="714">
        <f t="shared" ca="1" si="87"/>
        <v>69444.816593192532</v>
      </c>
      <c r="AY65" s="714" t="str">
        <f t="shared" ca="1" si="87"/>
        <v/>
      </c>
      <c r="AZ65" s="714" t="str">
        <f t="shared" ca="1" si="87"/>
        <v/>
      </c>
      <c r="BA65" s="714" t="str">
        <f t="shared" ca="1" si="87"/>
        <v/>
      </c>
      <c r="BB65" s="714">
        <f t="shared" ca="1" si="87"/>
        <v>57333.132888680331</v>
      </c>
      <c r="BC65" s="714" t="str">
        <f t="shared" ca="1" si="87"/>
        <v/>
      </c>
      <c r="BD65" s="714">
        <f t="shared" ca="1" si="87"/>
        <v>62058.275749941138</v>
      </c>
      <c r="BE65" s="773">
        <f t="shared" ca="1" si="117"/>
        <v>82520.393738162325</v>
      </c>
      <c r="BF65" s="714">
        <f t="shared" ca="1" si="88"/>
        <v>0</v>
      </c>
      <c r="BG65" s="714">
        <f t="shared" ca="1" si="89"/>
        <v>184486.10588067942</v>
      </c>
      <c r="BH65" s="774">
        <f t="shared" ca="1" si="118"/>
        <v>16504.078747632466</v>
      </c>
      <c r="BI65" s="714">
        <f t="shared" ca="1" si="119"/>
        <v>164092.96345217602</v>
      </c>
      <c r="BJ65" s="714">
        <f t="shared" ca="1" si="120"/>
        <v>66016.314990529863</v>
      </c>
      <c r="BK65" s="714">
        <f t="shared" ca="1" si="90"/>
        <v>81572.569714013691</v>
      </c>
      <c r="BL65" s="714"/>
      <c r="BM65" s="714"/>
      <c r="BN65" s="714"/>
      <c r="BO65" s="714"/>
      <c r="BP65" s="714"/>
      <c r="BQ65" s="714"/>
      <c r="BR65" s="714"/>
      <c r="BS65" s="714"/>
      <c r="BT65" s="714"/>
      <c r="BU65" s="775"/>
      <c r="BV65" s="714">
        <f t="shared" ca="1" si="121"/>
        <v>13034.382222222222</v>
      </c>
      <c r="BW65" s="714">
        <f t="shared" ca="1" si="91"/>
        <v>0</v>
      </c>
      <c r="BX65" s="714">
        <f t="shared" ca="1" si="92"/>
        <v>32585.955555555556</v>
      </c>
      <c r="BY65" s="714">
        <f t="shared" ca="1" si="93"/>
        <v>110792.24888888889</v>
      </c>
      <c r="BZ65" s="771">
        <f t="shared" ca="1" si="122"/>
        <v>103453.31685820092</v>
      </c>
      <c r="CA65" s="714">
        <f ca="1">INDEX(INDIRECT("CAM_WTPCore2_"&amp;$B65&amp;"_UnitValues"),2,MATCH("MEAN",LMH,0))</f>
        <v>696387.155534953</v>
      </c>
      <c r="CB65" s="714">
        <f ca="1">INDEX(INDIRECT("CAM_WTPCore2_"&amp;$B65&amp;"_UnitValues"),2,MATCH("LOW",LMH,0))</f>
        <v>630116.58999871102</v>
      </c>
      <c r="CC65" s="714">
        <f ca="1">INDEX(INDIRECT("CAM_WTPCore2_"&amp;$B65&amp;"_UnitValues"),2,MATCH("HIGH",LMH,0))</f>
        <v>762657.72107119497</v>
      </c>
      <c r="CD65" s="853" t="s">
        <v>128</v>
      </c>
      <c r="CE65" s="852" t="s">
        <v>128</v>
      </c>
      <c r="CF65" s="852" t="s">
        <v>128</v>
      </c>
      <c r="CG65" s="852" t="s">
        <v>128</v>
      </c>
      <c r="CH65" s="853" t="s">
        <v>128</v>
      </c>
      <c r="CI65" s="367">
        <f t="shared" ca="1" si="124"/>
        <v>155997.76570414286</v>
      </c>
      <c r="CJ65" s="367">
        <f t="shared" ca="1" si="125"/>
        <v>186685.26022577958</v>
      </c>
      <c r="CK65" s="714">
        <f t="shared" ca="1" si="133"/>
        <v>706479.34371927811</v>
      </c>
      <c r="CL65" s="714">
        <f t="shared" ca="1" si="96"/>
        <v>251660.2123705667</v>
      </c>
      <c r="CM65" s="852" t="s">
        <v>128</v>
      </c>
      <c r="CN65" s="852" t="s">
        <v>128</v>
      </c>
      <c r="CO65" s="852">
        <f t="shared" si="97"/>
        <v>318124.76361936686</v>
      </c>
      <c r="CP65" s="852">
        <f t="shared" si="98"/>
        <v>0</v>
      </c>
      <c r="CQ65" s="852">
        <f t="shared" ca="1" si="99"/>
        <v>211540.65626383194</v>
      </c>
      <c r="CR65" s="852">
        <f t="shared" ca="1" si="100"/>
        <v>177296.5081229239</v>
      </c>
      <c r="CS65" s="853" t="s">
        <v>128</v>
      </c>
      <c r="CT65" s="714" t="str">
        <f t="shared" ca="1" si="136"/>
        <v/>
      </c>
      <c r="CU65" s="714" t="str">
        <f t="shared" ca="1" si="136"/>
        <v/>
      </c>
      <c r="CV65" s="714" t="str">
        <f t="shared" ca="1" si="136"/>
        <v/>
      </c>
      <c r="CW65" s="714" t="str">
        <f t="shared" ca="1" si="136"/>
        <v/>
      </c>
      <c r="CX65" s="714" t="str">
        <f t="shared" ca="1" si="136"/>
        <v/>
      </c>
      <c r="CY65" s="714" t="str">
        <f ca="1">IFERROR(INDEX(INDIRECT("PR14_Comp"&amp;CY$28&amp;"_NHH_UnitValues_CAM"),MATCH($B65,INDIRECT("PR14_Comp"&amp;CY$28&amp;"_WTPCore_Options"),0)),"")</f>
        <v/>
      </c>
      <c r="CZ65" s="714" t="str">
        <f t="shared" ca="1" si="137"/>
        <v/>
      </c>
      <c r="DA65" s="714" t="str">
        <f t="shared" ca="1" si="137"/>
        <v/>
      </c>
      <c r="DB65" s="714"/>
      <c r="DC65" s="714" t="str">
        <f ca="1">IFERROR(INDEX(INDIRECT("PR14_Comp"&amp;DC$28&amp;"_NHH_UnitValues_CAM"),MATCH($B65,INDIRECT("PR14_Comp"&amp;DC$28&amp;"_WTPCore_Options"),0)),"")</f>
        <v/>
      </c>
      <c r="DD65" s="714">
        <f ca="1">IFERROR(INDEX(INDIRECT("PR14_Comp"&amp;DD$28&amp;"_NHH_UnitValues_CAM"),MATCH($B65,INDIRECT("PR14_Comp"&amp;DD$28&amp;"_WTPCore_Options"),0)),"")</f>
        <v>610394.44311194622</v>
      </c>
      <c r="DE65" s="714" t="str">
        <f ca="1">IFERROR(INDEX(INDIRECT("PR14_Comp"&amp;DE$28&amp;"_NHH_UnitValues_CAM"),MATCH($B65,INDIRECT("PR14_Comp"&amp;DE$28&amp;"_WTPCore_Options"),0)),"")</f>
        <v/>
      </c>
      <c r="DF65" s="714" t="str">
        <f ca="1">IFERROR(INDEX(INDIRECT("PR14_Comp"&amp;DF$28&amp;"_NHH_UnitValues_CAM"),MATCH($B65,INDIRECT("PR14_Comp"&amp;DF$28&amp;"_NHH_WTPCore_Options"),0)),"")</f>
        <v/>
      </c>
      <c r="DG65" s="714">
        <f ca="1">IFERROR(INDEX(INDIRECT("PR14_Comp"&amp;DG$28&amp;"_NHH_UnitValues_CAM"),MATCH($B65,INDIRECT("PR14_Comp"&amp;DG$28&amp;"_WTPCore_Options"),0)),"")</f>
        <v>561749.241493657</v>
      </c>
      <c r="DH65" s="714">
        <f ca="1">IFERROR(INDEX(INDIRECT("PR14_Comp"&amp;DH$28&amp;"_NHH_UnitValues_CAM"),MATCH($B65,INDIRECT("PR14_Comp"&amp;DH$28&amp;"_WTPCore_Options"),0)),"")</f>
        <v>947294.34655223135</v>
      </c>
      <c r="DI65" s="714">
        <f t="shared" ca="1" si="103"/>
        <v>266706.63325344765</v>
      </c>
      <c r="DJ65" s="714">
        <f t="shared" ca="1" si="103"/>
        <v>174560.58672722732</v>
      </c>
      <c r="DK65" s="714">
        <f t="shared" ca="1" si="103"/>
        <v>207563.09731778692</v>
      </c>
      <c r="DL65" s="714">
        <f t="shared" ca="1" si="103"/>
        <v>202682.33327414314</v>
      </c>
      <c r="DM65" s="714">
        <f t="shared" ca="1" si="103"/>
        <v>255898.53360934317</v>
      </c>
      <c r="DN65" s="714"/>
      <c r="DO65" s="714">
        <f t="shared" ca="1" si="104"/>
        <v>49722.422602638304</v>
      </c>
      <c r="DP65" s="714">
        <f t="shared" ca="1" si="104"/>
        <v>399620.88636625599</v>
      </c>
      <c r="DQ65" s="714" t="str">
        <f t="shared" ca="1" si="104"/>
        <v/>
      </c>
      <c r="DR65" s="714" t="str">
        <f t="shared" ca="1" si="104"/>
        <v/>
      </c>
      <c r="DS65" s="714" t="str">
        <f t="shared" ca="1" si="104"/>
        <v/>
      </c>
      <c r="DT65" s="714">
        <f t="shared" ca="1" si="104"/>
        <v>392494.09801296046</v>
      </c>
      <c r="DU65" s="714" t="str">
        <f t="shared" ca="1" si="104"/>
        <v/>
      </c>
      <c r="DV65" s="714">
        <f t="shared" ca="1" si="104"/>
        <v>315693.32017129706</v>
      </c>
      <c r="DW65" s="714"/>
      <c r="DX65" s="714"/>
      <c r="DY65" s="714"/>
      <c r="DZ65" s="714"/>
      <c r="EA65" s="714"/>
      <c r="EB65" s="714"/>
      <c r="EC65" s="714"/>
      <c r="ED65" s="714"/>
      <c r="EE65" s="714"/>
      <c r="EF65" s="714"/>
      <c r="EG65" s="714"/>
      <c r="EH65" s="714"/>
      <c r="EI65" s="714"/>
      <c r="EJ65" s="714"/>
      <c r="EK65" s="714"/>
      <c r="EL65" s="714"/>
      <c r="EM65" s="714"/>
      <c r="EN65" s="714"/>
      <c r="EO65" s="773">
        <f t="shared" ca="1" si="126"/>
        <v>169216.2373168499</v>
      </c>
      <c r="EP65" s="714">
        <f t="shared" ca="1" si="105"/>
        <v>0</v>
      </c>
      <c r="EQ65" s="714">
        <f t="shared" ca="1" si="106"/>
        <v>696387.155534953</v>
      </c>
      <c r="ER65" s="774">
        <f t="shared" ca="1" si="127"/>
        <v>33843.247463369982</v>
      </c>
      <c r="ES65" s="714">
        <f t="shared" ca="1" si="128"/>
        <v>590952.97189133242</v>
      </c>
      <c r="ET65" s="714">
        <f t="shared" ca="1" si="129"/>
        <v>135372.98985347993</v>
      </c>
      <c r="EU65" s="714">
        <f t="shared" ca="1" si="130"/>
        <v>421736.73457448254</v>
      </c>
      <c r="EV65" s="776"/>
      <c r="EX65" s="773">
        <f t="shared" ca="1" si="107"/>
        <v>101828.08394106755</v>
      </c>
      <c r="EY65" s="777">
        <f t="shared" ca="1" si="108"/>
        <v>0</v>
      </c>
      <c r="EZ65" s="714">
        <f t="shared" ca="1" si="109"/>
        <v>298489.57448175555</v>
      </c>
      <c r="FA65" s="714">
        <f t="shared" ca="1" si="110"/>
        <v>19992.920203939553</v>
      </c>
      <c r="FB65" s="714">
        <f t="shared" ca="1" si="111"/>
        <v>249982.13829655244</v>
      </c>
      <c r="FC65" s="740">
        <f t="shared" ca="1" si="112"/>
        <v>79971.680815758213</v>
      </c>
      <c r="FD65" s="778">
        <f t="shared" ca="1" si="113"/>
        <v>150017.53727685471</v>
      </c>
      <c r="FE65" s="740"/>
      <c r="FF65" s="740"/>
      <c r="FG65" s="740"/>
      <c r="FH65" s="740"/>
    </row>
    <row r="66" spans="1:164" x14ac:dyDescent="0.35">
      <c r="A66" s="200" t="s">
        <v>41</v>
      </c>
      <c r="B66" s="7" t="s">
        <v>149</v>
      </c>
      <c r="C66" s="7" t="s">
        <v>150</v>
      </c>
      <c r="D66" s="853" t="s">
        <v>128</v>
      </c>
      <c r="E66" s="853" t="s">
        <v>128</v>
      </c>
      <c r="F66" s="853" t="s">
        <v>128</v>
      </c>
      <c r="G66" s="853" t="s">
        <v>128</v>
      </c>
      <c r="H66" s="853" t="s">
        <v>128</v>
      </c>
      <c r="I66" s="853" t="s">
        <v>128</v>
      </c>
      <c r="J66" s="853" t="s">
        <v>128</v>
      </c>
      <c r="K66" s="853" t="s">
        <v>128</v>
      </c>
      <c r="L66" s="367" t="s">
        <v>128</v>
      </c>
      <c r="M66" s="852" t="s">
        <v>128</v>
      </c>
      <c r="N66" s="852" t="s">
        <v>128</v>
      </c>
      <c r="O66" s="852" t="s">
        <v>128</v>
      </c>
      <c r="P66" s="367" t="str">
        <f t="shared" si="79"/>
        <v>x</v>
      </c>
      <c r="Q66" s="367" t="s">
        <v>128</v>
      </c>
      <c r="R66" s="617" t="s">
        <v>128</v>
      </c>
      <c r="S66" s="853" t="s">
        <v>128</v>
      </c>
      <c r="T66" s="853" t="s">
        <v>128</v>
      </c>
      <c r="U66" s="852" t="s">
        <v>128</v>
      </c>
      <c r="V66" s="852" t="s">
        <v>128</v>
      </c>
      <c r="W66" s="852" t="str">
        <f t="shared" si="80"/>
        <v>x</v>
      </c>
      <c r="X66" s="852" t="str">
        <f t="shared" si="81"/>
        <v>x</v>
      </c>
      <c r="Y66" s="852">
        <f t="shared" ca="1" si="82"/>
        <v>0</v>
      </c>
      <c r="Z66" s="852">
        <f t="shared" ca="1" si="83"/>
        <v>0</v>
      </c>
      <c r="AA66" s="853" t="s">
        <v>128</v>
      </c>
      <c r="AB66" s="244" t="str">
        <f t="shared" ca="1" si="134"/>
        <v/>
      </c>
      <c r="AC66" s="244" t="str">
        <f t="shared" ca="1" si="134"/>
        <v/>
      </c>
      <c r="AD66" s="244" t="str">
        <f t="shared" ca="1" si="134"/>
        <v/>
      </c>
      <c r="AE66" s="244" t="str">
        <f t="shared" ca="1" si="134"/>
        <v/>
      </c>
      <c r="AF66" s="244" t="str">
        <f t="shared" ca="1" si="134"/>
        <v/>
      </c>
      <c r="AG66" s="244" t="str">
        <f t="shared" ca="1" si="138"/>
        <v/>
      </c>
      <c r="AH66" s="244" t="str">
        <f t="shared" ca="1" si="135"/>
        <v/>
      </c>
      <c r="AI66" s="244" t="str">
        <f t="shared" ca="1" si="135"/>
        <v/>
      </c>
      <c r="AJ66" s="244"/>
      <c r="AK66" s="244" t="str">
        <f t="shared" ca="1" si="139"/>
        <v/>
      </c>
      <c r="AL66" s="244" t="str">
        <f t="shared" ca="1" si="139"/>
        <v/>
      </c>
      <c r="AM66" s="244" t="str">
        <f t="shared" ca="1" si="139"/>
        <v/>
      </c>
      <c r="AN66" s="244" t="str">
        <f ca="1">IFERROR(INDEX(INDIRECT("PR14_Comp"&amp;AN$28&amp;"_NHH_UnitValues"),MATCH($B66,INDIRECT("PR14_Comp"&amp;AN$28&amp;"_WTPCore_Options"),0)),"")</f>
        <v/>
      </c>
      <c r="AO66" s="244" t="str">
        <f t="shared" ca="1" si="140"/>
        <v/>
      </c>
      <c r="AP66" s="244" t="str">
        <f t="shared" ca="1" si="140"/>
        <v/>
      </c>
      <c r="AQ66" s="244" t="str">
        <f t="shared" ref="AQ66:AR70" ca="1" si="141">IFERROR(INDEX(INDIRECT("PR19_Comp"&amp;AQ$52&amp;"_UnitValues_NHH"),MATCH($B66,INDIRECT("PR19_Comp"&amp;AQ$52&amp;"_WTPCore_Options"),0)),"")</f>
        <v/>
      </c>
      <c r="AR66" s="244" t="str">
        <f t="shared" ca="1" si="141"/>
        <v/>
      </c>
      <c r="AS66" s="244"/>
      <c r="AT66" s="244"/>
      <c r="AU66" s="244"/>
      <c r="AV66" s="244"/>
      <c r="AW66" s="244"/>
      <c r="AX66" s="244"/>
      <c r="AY66" s="244"/>
      <c r="AZ66" s="244"/>
      <c r="BA66" s="244"/>
      <c r="BB66" s="244"/>
      <c r="BC66" s="244" t="str">
        <f t="shared" ref="BC66:BD70" ca="1" si="142">IFERROR(INDEX(INDIRECT("PR19_Comp"&amp;BC$52&amp;"_UnitValues_NHH"),MATCH($B66,INDIRECT("PR19_Comp"&amp;BC$52&amp;"_WTPCore_Options"),0)),"")</f>
        <v/>
      </c>
      <c r="BD66" s="244" t="str">
        <f t="shared" ca="1" si="142"/>
        <v/>
      </c>
      <c r="BE66" s="479">
        <f t="shared" ca="1" si="117"/>
        <v>0</v>
      </c>
      <c r="BF66" s="400">
        <f t="shared" ca="1" si="88"/>
        <v>0</v>
      </c>
      <c r="BG66" s="400">
        <f t="shared" ca="1" si="89"/>
        <v>0</v>
      </c>
      <c r="BH66" s="10"/>
      <c r="BI66" s="400"/>
      <c r="BJ66" s="400"/>
      <c r="BK66" s="400"/>
      <c r="BL66" s="400"/>
      <c r="BM66" s="400"/>
      <c r="BN66" s="400"/>
      <c r="BO66" s="400"/>
      <c r="BP66" s="400"/>
      <c r="BQ66" s="400"/>
      <c r="BR66" s="400"/>
      <c r="BS66" s="400"/>
      <c r="BT66" s="400"/>
      <c r="BU66" s="688"/>
      <c r="BV66" s="853" t="s">
        <v>128</v>
      </c>
      <c r="BW66" s="853" t="s">
        <v>128</v>
      </c>
      <c r="BX66" s="853" t="s">
        <v>128</v>
      </c>
      <c r="BY66" s="853" t="s">
        <v>128</v>
      </c>
      <c r="BZ66" s="853" t="s">
        <v>128</v>
      </c>
      <c r="CA66" s="853" t="s">
        <v>128</v>
      </c>
      <c r="CB66" s="244">
        <f ca="1">INDEX(INDIRECT("CAM_WTPCore2_"&amp;$B66&amp;"_UnitValues"),2,MATCH("LOW",LMH,0))</f>
        <v>0</v>
      </c>
      <c r="CC66" s="244">
        <f ca="1">INDEX(INDIRECT("CAM_WTPCore2_"&amp;$B66&amp;"_UnitValues"),2,MATCH("HIGH",LMH,0))</f>
        <v>0</v>
      </c>
      <c r="CD66" s="853" t="s">
        <v>128</v>
      </c>
      <c r="CE66" s="852" t="s">
        <v>128</v>
      </c>
      <c r="CF66" s="852" t="s">
        <v>128</v>
      </c>
      <c r="CG66" s="852" t="s">
        <v>128</v>
      </c>
      <c r="CH66" s="853" t="s">
        <v>128</v>
      </c>
      <c r="CI66" s="367" t="str">
        <f t="shared" si="124"/>
        <v>x</v>
      </c>
      <c r="CJ66" s="367">
        <f t="shared" ca="1" si="125"/>
        <v>1.6568526033734807</v>
      </c>
      <c r="CK66" s="853" t="s">
        <v>128</v>
      </c>
      <c r="CL66" s="853" t="s">
        <v>128</v>
      </c>
      <c r="CM66" s="852" t="s">
        <v>128</v>
      </c>
      <c r="CN66" s="852" t="s">
        <v>128</v>
      </c>
      <c r="CO66" s="852" t="str">
        <f t="shared" si="97"/>
        <v>x</v>
      </c>
      <c r="CP66" s="852" t="str">
        <f t="shared" si="98"/>
        <v>x</v>
      </c>
      <c r="CQ66" s="852">
        <f t="shared" ca="1" si="99"/>
        <v>0</v>
      </c>
      <c r="CR66" s="852">
        <f t="shared" ca="1" si="100"/>
        <v>0</v>
      </c>
      <c r="CS66" s="853" t="s">
        <v>128</v>
      </c>
      <c r="CT66" s="244"/>
      <c r="CU66" s="244"/>
      <c r="CV66" s="244"/>
      <c r="CW66" s="244"/>
      <c r="CX66" s="244"/>
      <c r="CY66" s="244"/>
      <c r="CZ66" s="244"/>
      <c r="DA66" s="244"/>
      <c r="DB66" s="244"/>
      <c r="DC66" s="244"/>
      <c r="DD66" s="244"/>
      <c r="DE66" s="244"/>
      <c r="DF66" s="244"/>
      <c r="DG66" s="244"/>
      <c r="DH66" s="244"/>
      <c r="DI66" s="244" t="str">
        <f t="shared" ref="DI66:DJ70" ca="1" si="143">IFERROR(INDEX(INDIRECT("PR19_Comp"&amp;DI$52&amp;"_UnitValues_NHH_CAM"),MATCH($B66,INDIRECT("PR19_Comp"&amp;DI$52&amp;"_WTPCore_Options"),0)),"")</f>
        <v/>
      </c>
      <c r="DJ66" s="244" t="str">
        <f t="shared" ca="1" si="143"/>
        <v/>
      </c>
      <c r="DK66" s="244"/>
      <c r="DL66" s="244"/>
      <c r="DM66" s="244"/>
      <c r="DN66" s="244"/>
      <c r="DO66" s="244"/>
      <c r="DP66" s="244"/>
      <c r="DQ66" s="244"/>
      <c r="DR66" s="244"/>
      <c r="DS66" s="244"/>
      <c r="DT66" s="244"/>
      <c r="DU66" s="244"/>
      <c r="DV66" s="244" t="str">
        <f ca="1">IFERROR(INDEX(INDIRECT("PR19_Comp"&amp;DV$52&amp;"_UnitValues_NHH_CAM"),MATCH($B66,INDIRECT("PR19_Comp"&amp;DV$52&amp;"_WTPCore_Options"),0)),"")</f>
        <v/>
      </c>
      <c r="DW66" s="244"/>
      <c r="DX66" s="244"/>
      <c r="DY66" s="244"/>
      <c r="DZ66" s="244"/>
      <c r="EA66" s="244"/>
      <c r="EB66" s="244"/>
      <c r="EC66" s="244"/>
      <c r="ED66" s="244"/>
      <c r="EE66" s="244"/>
      <c r="EF66" s="244"/>
      <c r="EG66" s="244"/>
      <c r="EH66" s="244"/>
      <c r="EI66" s="244"/>
      <c r="EJ66" s="244"/>
      <c r="EK66" s="244"/>
      <c r="EL66" s="244"/>
      <c r="EM66" s="244"/>
      <c r="EN66" s="244"/>
      <c r="EO66" s="479">
        <f t="shared" ca="1" si="126"/>
        <v>0.27614210056224681</v>
      </c>
      <c r="EP66" s="400"/>
      <c r="EQ66" s="400"/>
      <c r="ER66" s="10"/>
      <c r="ES66" s="400"/>
      <c r="ET66" s="400"/>
      <c r="EU66" s="400"/>
      <c r="EX66" s="479"/>
      <c r="EY66" s="592"/>
      <c r="EZ66" s="244"/>
      <c r="FA66" s="244"/>
      <c r="FB66" s="244"/>
      <c r="FC66" s="260"/>
      <c r="FD66" s="589"/>
      <c r="FE66" s="260"/>
      <c r="FF66" s="260"/>
      <c r="FG66" s="260"/>
      <c r="FH66" s="260"/>
    </row>
    <row r="67" spans="1:164" x14ac:dyDescent="0.35">
      <c r="A67" s="7" t="s">
        <v>151</v>
      </c>
      <c r="B67" s="7" t="s">
        <v>152</v>
      </c>
      <c r="C67" s="7" t="s">
        <v>150</v>
      </c>
      <c r="D67" s="853" t="s">
        <v>128</v>
      </c>
      <c r="E67" s="853" t="s">
        <v>128</v>
      </c>
      <c r="F67" s="853" t="s">
        <v>128</v>
      </c>
      <c r="G67" s="853" t="s">
        <v>128</v>
      </c>
      <c r="H67" s="853" t="s">
        <v>128</v>
      </c>
      <c r="I67" s="853" t="s">
        <v>128</v>
      </c>
      <c r="J67" s="853" t="s">
        <v>128</v>
      </c>
      <c r="K67" s="853" t="s">
        <v>128</v>
      </c>
      <c r="L67" s="367" t="s">
        <v>128</v>
      </c>
      <c r="M67" s="852" t="s">
        <v>128</v>
      </c>
      <c r="N67" s="852" t="s">
        <v>128</v>
      </c>
      <c r="O67" s="852" t="s">
        <v>128</v>
      </c>
      <c r="P67" s="367" t="str">
        <f t="shared" si="79"/>
        <v>x</v>
      </c>
      <c r="Q67" s="617" t="s">
        <v>128</v>
      </c>
      <c r="R67" s="617" t="s">
        <v>128</v>
      </c>
      <c r="S67" s="853" t="s">
        <v>128</v>
      </c>
      <c r="T67" s="853" t="s">
        <v>128</v>
      </c>
      <c r="U67" s="852" t="s">
        <v>128</v>
      </c>
      <c r="V67" s="852" t="s">
        <v>128</v>
      </c>
      <c r="W67" s="852">
        <f t="shared" si="80"/>
        <v>0</v>
      </c>
      <c r="X67" s="852" t="str">
        <f t="shared" si="81"/>
        <v>x</v>
      </c>
      <c r="Y67" s="852" t="str">
        <f t="shared" si="82"/>
        <v>x</v>
      </c>
      <c r="Z67" s="852" t="str">
        <f t="shared" si="83"/>
        <v>x</v>
      </c>
      <c r="AA67" s="853" t="s">
        <v>128</v>
      </c>
      <c r="AB67" s="244" t="str">
        <f t="shared" ca="1" si="134"/>
        <v/>
      </c>
      <c r="AC67" s="244" t="str">
        <f t="shared" ca="1" si="134"/>
        <v/>
      </c>
      <c r="AD67" s="244" t="str">
        <f t="shared" ca="1" si="134"/>
        <v/>
      </c>
      <c r="AE67" s="244" t="str">
        <f t="shared" ca="1" si="134"/>
        <v/>
      </c>
      <c r="AF67" s="244" t="str">
        <f t="shared" ca="1" si="134"/>
        <v/>
      </c>
      <c r="AG67" s="244" t="str">
        <f t="shared" ca="1" si="138"/>
        <v/>
      </c>
      <c r="AH67" s="244" t="str">
        <f t="shared" ca="1" si="135"/>
        <v/>
      </c>
      <c r="AI67" s="244" t="str">
        <f t="shared" ca="1" si="135"/>
        <v/>
      </c>
      <c r="AJ67" s="244"/>
      <c r="AK67" s="244" t="str">
        <f t="shared" ca="1" si="139"/>
        <v/>
      </c>
      <c r="AL67" s="244" t="str">
        <f t="shared" ca="1" si="139"/>
        <v/>
      </c>
      <c r="AM67" s="244" t="str">
        <f t="shared" ca="1" si="139"/>
        <v/>
      </c>
      <c r="AN67" s="244" t="str">
        <f ca="1">IFERROR(INDEX(INDIRECT("PR14_Comp"&amp;AN$28&amp;"_NHH_UnitValues"),MATCH($B67,INDIRECT("PR14_Comp"&amp;AN$28&amp;"_WTPCore_Options"),0)),"")</f>
        <v/>
      </c>
      <c r="AO67" s="244" t="str">
        <f t="shared" ca="1" si="140"/>
        <v/>
      </c>
      <c r="AP67" s="244" t="str">
        <f t="shared" ca="1" si="140"/>
        <v/>
      </c>
      <c r="AQ67" s="244" t="str">
        <f t="shared" ca="1" si="141"/>
        <v/>
      </c>
      <c r="AR67" s="244" t="str">
        <f t="shared" ca="1" si="141"/>
        <v/>
      </c>
      <c r="AS67" s="244" t="str">
        <f t="shared" ref="AS67:AU70" ca="1" si="144">IFERROR(INDEX(INDIRECT("PR19_Comp"&amp;AS$52&amp;"_UnitValues_NHH"),MATCH($B67,INDIRECT("PR19_Comp"&amp;AS$52&amp;"_WTPCore_Options"),0)),"")</f>
        <v/>
      </c>
      <c r="AT67" s="244" t="str">
        <f t="shared" ca="1" si="144"/>
        <v/>
      </c>
      <c r="AU67" s="244" t="str">
        <f t="shared" ca="1" si="144"/>
        <v/>
      </c>
      <c r="AV67" s="244"/>
      <c r="AW67" s="244" t="str">
        <f t="shared" ref="AW67:BB70" ca="1" si="145">IFERROR(INDEX(INDIRECT("PR19_Comp"&amp;AW$52&amp;"_UnitValues_NHH"),MATCH($B67,INDIRECT("PR19_Comp"&amp;AW$52&amp;"_WTPCore_Options"),0)),"")</f>
        <v/>
      </c>
      <c r="AX67" s="244" t="str">
        <f t="shared" ca="1" si="145"/>
        <v/>
      </c>
      <c r="AY67" s="244" t="str">
        <f t="shared" ca="1" si="145"/>
        <v/>
      </c>
      <c r="AZ67" s="244" t="str">
        <f t="shared" ca="1" si="145"/>
        <v/>
      </c>
      <c r="BA67" s="244" t="str">
        <f t="shared" ca="1" si="145"/>
        <v/>
      </c>
      <c r="BB67" s="244" t="str">
        <f t="shared" ca="1" si="145"/>
        <v/>
      </c>
      <c r="BC67" s="244" t="str">
        <f t="shared" ca="1" si="142"/>
        <v/>
      </c>
      <c r="BD67" s="244" t="str">
        <f t="shared" ca="1" si="142"/>
        <v/>
      </c>
      <c r="BE67" s="479">
        <f t="shared" ca="1" si="117"/>
        <v>0</v>
      </c>
      <c r="BF67" s="400">
        <f t="shared" ca="1" si="88"/>
        <v>0</v>
      </c>
      <c r="BG67" s="400">
        <f t="shared" ca="1" si="89"/>
        <v>0</v>
      </c>
      <c r="BH67" s="10"/>
      <c r="BI67" s="400"/>
      <c r="BJ67" s="400"/>
      <c r="BK67" s="400"/>
      <c r="BL67" s="400"/>
      <c r="BM67" s="400"/>
      <c r="BN67" s="400"/>
      <c r="BO67" s="400"/>
      <c r="BP67" s="400"/>
      <c r="BQ67" s="400"/>
      <c r="BR67" s="400"/>
      <c r="BS67" s="400"/>
      <c r="BT67" s="400"/>
      <c r="BU67" s="688"/>
      <c r="BV67" s="853" t="s">
        <v>128</v>
      </c>
      <c r="BW67" s="853" t="s">
        <v>128</v>
      </c>
      <c r="BX67" s="853" t="s">
        <v>128</v>
      </c>
      <c r="BY67" s="853" t="s">
        <v>128</v>
      </c>
      <c r="BZ67" s="853" t="s">
        <v>128</v>
      </c>
      <c r="CA67" s="853" t="s">
        <v>128</v>
      </c>
      <c r="CB67" s="853" t="s">
        <v>128</v>
      </c>
      <c r="CC67" s="853" t="s">
        <v>128</v>
      </c>
      <c r="CD67" s="853" t="s">
        <v>128</v>
      </c>
      <c r="CE67" s="852" t="s">
        <v>128</v>
      </c>
      <c r="CF67" s="852" t="s">
        <v>128</v>
      </c>
      <c r="CG67" s="852" t="s">
        <v>128</v>
      </c>
      <c r="CH67" s="853" t="s">
        <v>128</v>
      </c>
      <c r="CI67" s="367">
        <f t="shared" ca="1" si="124"/>
        <v>0.32879665437162059</v>
      </c>
      <c r="CJ67" s="367">
        <f t="shared" ca="1" si="125"/>
        <v>0.647248916217667</v>
      </c>
      <c r="CK67" s="853" t="s">
        <v>128</v>
      </c>
      <c r="CL67" s="853" t="s">
        <v>128</v>
      </c>
      <c r="CM67" s="852" t="s">
        <v>128</v>
      </c>
      <c r="CN67" s="852" t="s">
        <v>128</v>
      </c>
      <c r="CO67" s="852">
        <f t="shared" si="97"/>
        <v>0</v>
      </c>
      <c r="CP67" s="852" t="str">
        <f t="shared" si="98"/>
        <v>x</v>
      </c>
      <c r="CQ67" s="852" t="str">
        <f t="shared" si="99"/>
        <v>x</v>
      </c>
      <c r="CR67" s="852" t="str">
        <f t="shared" si="100"/>
        <v>x</v>
      </c>
      <c r="CS67" s="853" t="s">
        <v>128</v>
      </c>
      <c r="CT67" s="244"/>
      <c r="CU67" s="244"/>
      <c r="CV67" s="244"/>
      <c r="CW67" s="244"/>
      <c r="CX67" s="244"/>
      <c r="CY67" s="244"/>
      <c r="CZ67" s="244"/>
      <c r="DA67" s="244"/>
      <c r="DB67" s="244"/>
      <c r="DC67" s="244"/>
      <c r="DD67" s="244"/>
      <c r="DE67" s="244"/>
      <c r="DF67" s="244"/>
      <c r="DG67" s="244"/>
      <c r="DH67" s="244"/>
      <c r="DI67" s="244" t="str">
        <f t="shared" ca="1" si="143"/>
        <v/>
      </c>
      <c r="DJ67" s="244" t="str">
        <f t="shared" ca="1" si="143"/>
        <v/>
      </c>
      <c r="DK67" s="244" t="str">
        <f t="shared" ref="DK67:DM70" ca="1" si="146">IFERROR(INDEX(INDIRECT("PR19_Comp"&amp;DK$52&amp;"_UnitValues_NHH_CAM"),MATCH($B67,INDIRECT("PR19_Comp"&amp;DK$52&amp;"_WTPCore_Options"),0)),"")</f>
        <v/>
      </c>
      <c r="DL67" s="244" t="str">
        <f t="shared" ca="1" si="146"/>
        <v/>
      </c>
      <c r="DM67" s="244" t="str">
        <f t="shared" ca="1" si="146"/>
        <v/>
      </c>
      <c r="DN67" s="244"/>
      <c r="DO67" s="244" t="str">
        <f t="shared" ref="DO67:DU70" ca="1" si="147">IFERROR(INDEX(INDIRECT("PR19_Comp"&amp;DO$52&amp;"_UnitValues_NHH_CAM"),MATCH($B67,INDIRECT("PR19_Comp"&amp;DO$52&amp;"_WTPCore_Options"),0)),"")</f>
        <v/>
      </c>
      <c r="DP67" s="244" t="str">
        <f t="shared" ca="1" si="147"/>
        <v/>
      </c>
      <c r="DQ67" s="244" t="str">
        <f t="shared" ca="1" si="147"/>
        <v/>
      </c>
      <c r="DR67" s="244" t="str">
        <f t="shared" ca="1" si="147"/>
        <v/>
      </c>
      <c r="DS67" s="244" t="str">
        <f t="shared" ca="1" si="147"/>
        <v/>
      </c>
      <c r="DT67" s="244" t="str">
        <f t="shared" ca="1" si="147"/>
        <v/>
      </c>
      <c r="DU67" s="244" t="str">
        <f t="shared" ca="1" si="147"/>
        <v/>
      </c>
      <c r="DV67" s="244" t="str">
        <f ca="1">IFERROR(INDEX(INDIRECT("PR19_Comp"&amp;DV$52&amp;"_UnitValues_NHH_CAM"),MATCH($B67,INDIRECT("PR19_Comp"&amp;DV$52&amp;"_WTPCore_Options"),0)),"")</f>
        <v/>
      </c>
      <c r="DW67" s="244"/>
      <c r="DX67" s="244"/>
      <c r="DY67" s="244"/>
      <c r="DZ67" s="244"/>
      <c r="EA67" s="244"/>
      <c r="EB67" s="244"/>
      <c r="EC67" s="244"/>
      <c r="ED67" s="244"/>
      <c r="EE67" s="244"/>
      <c r="EF67" s="244"/>
      <c r="EG67" s="244"/>
      <c r="EH67" s="244"/>
      <c r="EI67" s="244"/>
      <c r="EJ67" s="244"/>
      <c r="EK67" s="244"/>
      <c r="EL67" s="244"/>
      <c r="EM67" s="244"/>
      <c r="EN67" s="244"/>
      <c r="EO67" s="479">
        <f t="shared" ca="1" si="126"/>
        <v>0.16267426176488128</v>
      </c>
      <c r="EP67" s="400"/>
      <c r="EQ67" s="400"/>
      <c r="ER67" s="10"/>
      <c r="ES67" s="400"/>
      <c r="ET67" s="400"/>
      <c r="EU67" s="400"/>
      <c r="EX67" s="479"/>
      <c r="EY67" s="592"/>
      <c r="EZ67" s="244"/>
      <c r="FA67" s="244"/>
      <c r="FB67" s="244"/>
      <c r="FC67" s="260"/>
      <c r="FD67" s="589"/>
      <c r="FE67" s="260"/>
      <c r="FF67" s="260"/>
      <c r="FG67" s="260"/>
      <c r="FH67" s="260"/>
    </row>
    <row r="68" spans="1:164" x14ac:dyDescent="0.35">
      <c r="A68" s="200" t="s">
        <v>153</v>
      </c>
      <c r="B68" s="7" t="s">
        <v>154</v>
      </c>
      <c r="C68" s="7" t="s">
        <v>155</v>
      </c>
      <c r="D68" s="244">
        <f t="shared" ca="1" si="114"/>
        <v>6633.3456000000006</v>
      </c>
      <c r="E68" s="244">
        <f ca="1">INDEX(INDIRECT("SSW_WTPCore_DCE_"&amp;$B68&amp;"_UnitValues"),MATCH("COMBINED-NHH",WTPCore_Group,0),MATCH("LOW",LMH,0))</f>
        <v>0</v>
      </c>
      <c r="F68" s="244">
        <f ca="1">INDEX(INDIRECT("SSW_WTPCore_DCE_"&amp;$B68&amp;"_UnitValues"),MATCH("COMBINED-NHH",WTPCore_Group,0),MATCH("HIGH",LMH,0))</f>
        <v>13266.691200000001</v>
      </c>
      <c r="G68" s="244">
        <f ca="1">INDEX(INDIRECT("SSW_WTPCore_DCE_"&amp;$B44&amp;"_UnitValues"),3,MATCH("MEAN",LMH,0))</f>
        <v>5306.6764800000001</v>
      </c>
      <c r="H68" s="245">
        <f ca="1">INDEX(SSW_WTPMaxdiff_WTP_NHH_Unitvalues,MATCH($B68,WTPMaxdiff_WTP_options,0))</f>
        <v>12647.203800108658</v>
      </c>
      <c r="I68" s="244">
        <f ca="1">INDEX(INDIRECT("SSW_WTPCore2_"&amp;$B68&amp;"_UnitValues"),2,MATCH("MEAN",LMH,0))</f>
        <v>4845.6045541539843</v>
      </c>
      <c r="J68" s="244">
        <f ca="1">INDEX(INDIRECT("SSW_WTPCore2_"&amp;$B68&amp;"_UnitValues"),2,MATCH("LOW",LMH,0))</f>
        <v>3170.1489076178591</v>
      </c>
      <c r="K68" s="244">
        <f ca="1">INDEX(INDIRECT("SSW_WTPCore2_"&amp;$B68&amp;"_UnitValues"),2,MATCH("HIGH",LMH,0))</f>
        <v>6521.0602006901117</v>
      </c>
      <c r="L68" s="367" t="s">
        <v>128</v>
      </c>
      <c r="M68" s="852" t="s">
        <v>128</v>
      </c>
      <c r="N68" s="852" t="s">
        <v>128</v>
      </c>
      <c r="O68" s="852" t="s">
        <v>128</v>
      </c>
      <c r="P68" s="367" t="str">
        <f t="shared" si="79"/>
        <v>x</v>
      </c>
      <c r="Q68" s="367" t="s">
        <v>128</v>
      </c>
      <c r="R68" s="367" t="s">
        <v>128</v>
      </c>
      <c r="S68" s="853" t="s">
        <v>128</v>
      </c>
      <c r="T68" s="244">
        <f t="shared" ca="1" si="132"/>
        <v>4309.787776513891</v>
      </c>
      <c r="U68" s="832">
        <f>'WRMP MCDA'!C7</f>
        <v>13317.913945945946</v>
      </c>
      <c r="V68" s="832">
        <f>SRO!C7</f>
        <v>1818.4074810810812</v>
      </c>
      <c r="W68" s="859">
        <f t="shared" si="80"/>
        <v>24.981758631760155</v>
      </c>
      <c r="X68" s="859">
        <f t="shared" si="81"/>
        <v>0</v>
      </c>
      <c r="Y68" s="852">
        <f t="shared" ca="1" si="82"/>
        <v>23654.757912819485</v>
      </c>
      <c r="Z68" s="852">
        <f t="shared" ca="1" si="83"/>
        <v>19825.531661419212</v>
      </c>
      <c r="AA68" s="853" t="s">
        <v>128</v>
      </c>
      <c r="AB68" s="244" t="str">
        <f t="shared" ca="1" si="134"/>
        <v/>
      </c>
      <c r="AC68" s="244" t="str">
        <f t="shared" ca="1" si="134"/>
        <v/>
      </c>
      <c r="AD68" s="244" t="str">
        <f t="shared" ca="1" si="134"/>
        <v/>
      </c>
      <c r="AE68" s="244" t="str">
        <f t="shared" ca="1" si="134"/>
        <v/>
      </c>
      <c r="AF68" s="244" t="str">
        <f t="shared" ca="1" si="134"/>
        <v/>
      </c>
      <c r="AG68" s="244" t="str">
        <f t="shared" ca="1" si="138"/>
        <v/>
      </c>
      <c r="AH68" s="244" t="str">
        <f t="shared" ca="1" si="135"/>
        <v/>
      </c>
      <c r="AI68" s="244" t="str">
        <f t="shared" ca="1" si="135"/>
        <v/>
      </c>
      <c r="AJ68" s="244"/>
      <c r="AK68" s="244" t="str">
        <f t="shared" ca="1" si="139"/>
        <v/>
      </c>
      <c r="AL68" s="244" t="str">
        <f t="shared" ca="1" si="139"/>
        <v/>
      </c>
      <c r="AM68" s="244" t="str">
        <f t="shared" ca="1" si="139"/>
        <v/>
      </c>
      <c r="AN68" s="244" t="str">
        <f ca="1">IFERROR(INDEX(INDIRECT("PR14_Comp"&amp;AN$28&amp;"_NHH_UnitValues"),MATCH($B68,INDIRECT("PR14_Comp"&amp;AN$28&amp;"_WTPCore_Options"),0)),"")</f>
        <v/>
      </c>
      <c r="AO68" s="244" t="str">
        <f t="shared" ca="1" si="140"/>
        <v/>
      </c>
      <c r="AP68" s="244" t="str">
        <f t="shared" ca="1" si="140"/>
        <v/>
      </c>
      <c r="AQ68" s="244" t="str">
        <f t="shared" ca="1" si="141"/>
        <v/>
      </c>
      <c r="AR68" s="244" t="str">
        <f t="shared" ca="1" si="141"/>
        <v/>
      </c>
      <c r="AS68" s="244">
        <f t="shared" ca="1" si="144"/>
        <v>4061.4024860234772</v>
      </c>
      <c r="AT68" s="244">
        <f t="shared" ca="1" si="144"/>
        <v>2598.6744572551634</v>
      </c>
      <c r="AU68" s="244">
        <f t="shared" ca="1" si="144"/>
        <v>7659.984819799939</v>
      </c>
      <c r="AV68" s="244"/>
      <c r="AW68" s="244" t="str">
        <f t="shared" ca="1" si="145"/>
        <v/>
      </c>
      <c r="AX68" s="244">
        <f t="shared" ca="1" si="145"/>
        <v>2919.0893429769872</v>
      </c>
      <c r="AY68" s="244" t="str">
        <f t="shared" ca="1" si="145"/>
        <v/>
      </c>
      <c r="AZ68" s="244" t="str">
        <f t="shared" ca="1" si="145"/>
        <v/>
      </c>
      <c r="BA68" s="244" t="str">
        <f t="shared" ca="1" si="145"/>
        <v/>
      </c>
      <c r="BB68" s="244" t="str">
        <f t="shared" ca="1" si="145"/>
        <v/>
      </c>
      <c r="BC68" s="244" t="str">
        <f t="shared" ca="1" si="142"/>
        <v/>
      </c>
      <c r="BD68" s="244" t="str">
        <f t="shared" ca="1" si="142"/>
        <v/>
      </c>
      <c r="BE68" s="479">
        <f t="shared" ca="1" si="117"/>
        <v>8450.9570195030774</v>
      </c>
      <c r="BF68" s="400">
        <f t="shared" ca="1" si="88"/>
        <v>0</v>
      </c>
      <c r="BG68" s="400">
        <f t="shared" ca="1" si="89"/>
        <v>23654.757912819485</v>
      </c>
      <c r="BH68" s="10">
        <f t="shared" ca="1" si="118"/>
        <v>1690.1914039006156</v>
      </c>
      <c r="BI68" s="400">
        <f t="shared" ca="1" si="119"/>
        <v>20613.997734156204</v>
      </c>
      <c r="BJ68" s="400">
        <f t="shared" ca="1" si="120"/>
        <v>6760.7656156024623</v>
      </c>
      <c r="BK68" s="400">
        <f ca="1">BI68-BE68</f>
        <v>12163.040714653127</v>
      </c>
      <c r="BL68" s="400"/>
      <c r="BM68" s="400"/>
      <c r="BN68" s="400"/>
      <c r="BO68" s="400"/>
      <c r="BP68" s="400"/>
      <c r="BQ68" s="400"/>
      <c r="BR68" s="400"/>
      <c r="BS68" s="400"/>
      <c r="BT68" s="400"/>
      <c r="BU68" s="688"/>
      <c r="BV68" s="244">
        <f t="shared" ca="1" si="121"/>
        <v>4399.1040000000003</v>
      </c>
      <c r="BW68" s="244">
        <f ca="1">INDEX(INDIRECT("CAM_WTPCore_"&amp;$B68&amp;"_UnitValues"),MATCH("COMBINED-NHH",WTPCore_Group,0),MATCH("LOW",LMH,0))</f>
        <v>0</v>
      </c>
      <c r="BX68" s="244">
        <f ca="1">INDEX(INDIRECT("CAM_WTPCore_"&amp;$B68&amp;"_UnitValues"),MATCH("COMBINED-NHH",WTPCore_Group,0),MATCH("HIGH",LMH,0))</f>
        <v>4399.1040000000003</v>
      </c>
      <c r="BY68" s="244">
        <f ca="1">INDEX(INDIRECT("CAM_WTPCore_"&amp;$B68&amp;"_UnitValues"),3,MATCH("MEAN",LMH,0))</f>
        <v>15396.864000000001</v>
      </c>
      <c r="BZ68" s="245">
        <f ca="1">INDEX(CAM_WTPMaxdiff_WTP_NHH_Unitvalues,MATCH($B68,WTPMaxdiff_WTP_options,0))</f>
        <v>71699.986409479243</v>
      </c>
      <c r="CA68" s="244">
        <f ca="1">INDEX(INDIRECT("CAM_WTPCore2_"&amp;$B68&amp;"_UnitValues"),2,MATCH("MEAN",LMH,0))</f>
        <v>99415.861469937299</v>
      </c>
      <c r="CB68" s="244">
        <f ca="1">INDEX(INDIRECT("CAM_WTPCore2_"&amp;$B68&amp;"_UnitValues"),2,MATCH("LOW",LMH,0))</f>
        <v>0</v>
      </c>
      <c r="CC68" s="244">
        <f ca="1">INDEX(INDIRECT("CAM_WTPCore2_"&amp;$B68&amp;"_UnitValues"),2,MATCH("HIGH",LMH,0))</f>
        <v>746730.77444786555</v>
      </c>
      <c r="CD68" s="853" t="s">
        <v>128</v>
      </c>
      <c r="CE68" s="852" t="s">
        <v>128</v>
      </c>
      <c r="CF68" s="852" t="s">
        <v>128</v>
      </c>
      <c r="CG68" s="852" t="s">
        <v>128</v>
      </c>
      <c r="CH68" s="853" t="s">
        <v>128</v>
      </c>
      <c r="CI68" s="367" t="str">
        <f t="shared" si="124"/>
        <v>x</v>
      </c>
      <c r="CJ68" s="367" t="str">
        <f t="shared" si="125"/>
        <v>x</v>
      </c>
      <c r="CK68" s="853" t="s">
        <v>128</v>
      </c>
      <c r="CL68" s="244">
        <f t="shared" ca="1" si="96"/>
        <v>21379.278732389354</v>
      </c>
      <c r="CM68" s="852">
        <f>'WRMP MCDA'!F7</f>
        <v>94209.897760617765</v>
      </c>
      <c r="CN68" s="852">
        <f>SRO!F7</f>
        <v>12863.274501930502</v>
      </c>
      <c r="CO68" s="852">
        <f t="shared" si="97"/>
        <v>125.77942628665728</v>
      </c>
      <c r="CP68" s="852">
        <f t="shared" si="98"/>
        <v>0</v>
      </c>
      <c r="CQ68" s="852">
        <f t="shared" ca="1" si="99"/>
        <v>60362.942343506438</v>
      </c>
      <c r="CR68" s="852">
        <f t="shared" ca="1" si="100"/>
        <v>50591.404444644664</v>
      </c>
      <c r="CS68" s="853" t="s">
        <v>128</v>
      </c>
      <c r="CT68" s="244" t="str">
        <f t="shared" ref="CT68:DA70" ca="1" si="148">IFERROR(INDEX(INDIRECT("PR14_Comp"&amp;CT$28&amp;"_NHH_UnitValues_CAM"),MATCH($B68,INDIRECT("PR14_Comp"&amp;CT$28&amp;"_WTPCore_Options"),0)),"")</f>
        <v/>
      </c>
      <c r="CU68" s="244" t="str">
        <f t="shared" ca="1" si="148"/>
        <v/>
      </c>
      <c r="CV68" s="244" t="str">
        <f t="shared" ca="1" si="148"/>
        <v/>
      </c>
      <c r="CW68" s="244" t="str">
        <f t="shared" ca="1" si="148"/>
        <v/>
      </c>
      <c r="CX68" s="244" t="str">
        <f t="shared" ca="1" si="148"/>
        <v/>
      </c>
      <c r="CY68" s="244" t="str">
        <f t="shared" ca="1" si="148"/>
        <v/>
      </c>
      <c r="CZ68" s="244" t="str">
        <f t="shared" ca="1" si="148"/>
        <v/>
      </c>
      <c r="DA68" s="244" t="str">
        <f t="shared" ca="1" si="148"/>
        <v/>
      </c>
      <c r="DB68" s="244"/>
      <c r="DC68" s="244" t="str">
        <f t="shared" ref="DC68:DH70" ca="1" si="149">IFERROR(INDEX(INDIRECT("PR14_Comp"&amp;DC$28&amp;"_NHH_UnitValues_CAM"),MATCH($B68,INDIRECT("PR14_Comp"&amp;DC$28&amp;"_WTPCore_Options"),0)),"")</f>
        <v/>
      </c>
      <c r="DD68" s="244" t="str">
        <f t="shared" ca="1" si="149"/>
        <v/>
      </c>
      <c r="DE68" s="244" t="str">
        <f t="shared" ca="1" si="149"/>
        <v/>
      </c>
      <c r="DF68" s="244" t="str">
        <f t="shared" ca="1" si="149"/>
        <v/>
      </c>
      <c r="DG68" s="244" t="str">
        <f t="shared" ca="1" si="149"/>
        <v/>
      </c>
      <c r="DH68" s="244" t="str">
        <f t="shared" ca="1" si="149"/>
        <v/>
      </c>
      <c r="DI68" s="244" t="str">
        <f t="shared" ca="1" si="143"/>
        <v/>
      </c>
      <c r="DJ68" s="244" t="str">
        <f t="shared" ca="1" si="143"/>
        <v/>
      </c>
      <c r="DK68" s="244">
        <f t="shared" ca="1" si="146"/>
        <v>17638.207704558441</v>
      </c>
      <c r="DL68" s="244">
        <f t="shared" ca="1" si="146"/>
        <v>16490.55823315103</v>
      </c>
      <c r="DM68" s="244">
        <f t="shared" ca="1" si="146"/>
        <v>34590.420394004876</v>
      </c>
      <c r="DN68" s="244"/>
      <c r="DO68" s="244" t="str">
        <f t="shared" ca="1" si="147"/>
        <v/>
      </c>
      <c r="DP68" s="244">
        <f t="shared" ca="1" si="147"/>
        <v>16797.928597843071</v>
      </c>
      <c r="DQ68" s="244" t="str">
        <f t="shared" ca="1" si="147"/>
        <v/>
      </c>
      <c r="DR68" s="244" t="str">
        <f t="shared" ca="1" si="147"/>
        <v/>
      </c>
      <c r="DS68" s="244" t="str">
        <f t="shared" ca="1" si="147"/>
        <v/>
      </c>
      <c r="DT68" s="244" t="str">
        <f t="shared" ca="1" si="147"/>
        <v/>
      </c>
      <c r="DU68" s="244" t="str">
        <f t="shared" ca="1" si="147"/>
        <v/>
      </c>
      <c r="DV68" s="244" t="str">
        <f ca="1">IFERROR(INDEX(INDIRECT("PR19_Comp"&amp;DV$52&amp;"_UnitValues_NHH_CAM"),MATCH($B68,INDIRECT("PR19_Comp"&amp;DV$52&amp;"_WTPCore_Options"),0)),"")</f>
        <v/>
      </c>
      <c r="DW68" s="244"/>
      <c r="DX68" s="244"/>
      <c r="DY68" s="244"/>
      <c r="DZ68" s="244"/>
      <c r="EA68" s="244"/>
      <c r="EB68" s="244"/>
      <c r="EC68" s="244"/>
      <c r="ED68" s="244"/>
      <c r="EE68" s="244"/>
      <c r="EF68" s="244"/>
      <c r="EG68" s="244"/>
      <c r="EH68" s="244"/>
      <c r="EI68" s="244"/>
      <c r="EJ68" s="244"/>
      <c r="EK68" s="244"/>
      <c r="EL68" s="244"/>
      <c r="EM68" s="244"/>
      <c r="EN68" s="244"/>
      <c r="EO68" s="479">
        <f t="shared" ca="1" si="126"/>
        <v>27534.653654219179</v>
      </c>
      <c r="EP68" s="400">
        <f t="shared" ref="EP68:EP70" ca="1" si="150">_xlfn.MINIFS($BV68:$CS68,$BV$29:$CS$29,"&gt;0")</f>
        <v>0</v>
      </c>
      <c r="EQ68" s="400">
        <f t="shared" ref="EQ68:EQ70" ca="1" si="151">_xlfn.MAXIFS($BV68:$CS68,$BV$29:$CS$29,"&gt;0")</f>
        <v>99415.861469937299</v>
      </c>
      <c r="ER68" s="10">
        <f t="shared" ca="1" si="127"/>
        <v>5506.9307308438365</v>
      </c>
      <c r="ES68" s="400">
        <f t="shared" ca="1" si="128"/>
        <v>85039.619906793669</v>
      </c>
      <c r="ET68" s="400">
        <f ca="1">EO68-ER68</f>
        <v>22027.722923375342</v>
      </c>
      <c r="EU68" s="400">
        <f ca="1">ES68-EO68</f>
        <v>57504.966252574493</v>
      </c>
      <c r="EX68" s="479">
        <f t="shared" ref="EX68:EZ70" ca="1" si="152">(BE68*NHHProps_SSW+EO68*NHHProps_CAM)/NHHProps_All</f>
        <v>12701.012008758671</v>
      </c>
      <c r="EY68" s="592">
        <f t="shared" ca="1" si="152"/>
        <v>0</v>
      </c>
      <c r="EZ68" s="244">
        <f t="shared" ca="1" si="152"/>
        <v>40527.215190236704</v>
      </c>
      <c r="FA68" s="244">
        <f t="shared" ref="FA68:FD70" ca="1" si="153">(BH68*HHProps_SSW+ER68*HHProps_CAM)/HHProps_All</f>
        <v>2458.1635374015223</v>
      </c>
      <c r="FB68" s="244">
        <f t="shared" ca="1" si="153"/>
        <v>33577.178678365271</v>
      </c>
      <c r="FC68" s="260">
        <f t="shared" ca="1" si="153"/>
        <v>9832.654149606089</v>
      </c>
      <c r="FD68" s="589">
        <f t="shared" ca="1" si="153"/>
        <v>21286.360991357666</v>
      </c>
      <c r="FE68" s="260"/>
      <c r="FF68" s="260"/>
      <c r="FG68" s="260"/>
      <c r="FH68" s="260"/>
    </row>
    <row r="69" spans="1:164" s="739" customFormat="1" x14ac:dyDescent="0.35">
      <c r="A69" s="770" t="s">
        <v>156</v>
      </c>
      <c r="B69" s="739" t="s">
        <v>157</v>
      </c>
      <c r="C69" s="739" t="s">
        <v>155</v>
      </c>
      <c r="D69" s="714">
        <f t="shared" ca="1" si="114"/>
        <v>5306.6764800000001</v>
      </c>
      <c r="E69" s="714">
        <f ca="1">INDEX(INDIRECT("SSW_WTPCore_DCE_"&amp;$B69&amp;"_UnitValues"),MATCH("COMBINED-NHH",WTPCore_Group,0),MATCH("LOW",LMH,0))</f>
        <v>1326.66912</v>
      </c>
      <c r="F69" s="714">
        <f ca="1">INDEX(INDIRECT("SSW_WTPCore_DCE_"&amp;$B69&amp;"_UnitValues"),MATCH("COMBINED-NHH",WTPCore_Group,0),MATCH("HIGH",LMH,0))</f>
        <v>8623.3492800000004</v>
      </c>
      <c r="G69" s="714">
        <f ca="1">INDEX(INDIRECT("SSW_WTPCore_DCE_"&amp;$B45&amp;"_UnitValues"),3,MATCH("MEAN",LMH,0))</f>
        <v>5306.6764800000001</v>
      </c>
      <c r="H69" s="771">
        <f ca="1">INDEX(SSW_WTPMaxdiff_WTP_NHH_Unitvalues,MATCH($B69,WTPMaxdiff_WTP_options,0))</f>
        <v>3387.6438750291049</v>
      </c>
      <c r="I69" s="714">
        <f ca="1">INDEX(INDIRECT("SSW_WTPCore2_"&amp;$B69&amp;"_UnitValues"),2,MATCH("MEAN",LMH,0))</f>
        <v>5105.1011153992204</v>
      </c>
      <c r="J69" s="714">
        <f ca="1">INDEX(INDIRECT("SSW_WTPCore2_"&amp;$B69&amp;"_UnitValues"),2,MATCH("LOW",LMH,0))</f>
        <v>3336.0359454917739</v>
      </c>
      <c r="K69" s="714">
        <f ca="1">INDEX(INDIRECT("SSW_WTPCore2_"&amp;$B69&amp;"_UnitValues"),2,MATCH("HIGH",LMH,0))</f>
        <v>6874.1662853066682</v>
      </c>
      <c r="L69" s="853" t="s">
        <v>128</v>
      </c>
      <c r="M69" s="852" t="s">
        <v>128</v>
      </c>
      <c r="N69" s="852" t="s">
        <v>128</v>
      </c>
      <c r="O69" s="852" t="s">
        <v>128</v>
      </c>
      <c r="P69" s="367" t="str">
        <f t="shared" si="79"/>
        <v>x</v>
      </c>
      <c r="Q69" s="853" t="s">
        <v>128</v>
      </c>
      <c r="R69" s="853" t="s">
        <v>128</v>
      </c>
      <c r="S69" s="853" t="s">
        <v>128</v>
      </c>
      <c r="T69" s="853" t="s">
        <v>128</v>
      </c>
      <c r="U69" s="852" t="s">
        <v>128</v>
      </c>
      <c r="V69" s="852" t="s">
        <v>128</v>
      </c>
      <c r="W69" s="852" t="str">
        <f t="shared" si="80"/>
        <v>x</v>
      </c>
      <c r="X69" s="852" t="str">
        <f t="shared" si="81"/>
        <v>x</v>
      </c>
      <c r="Y69" s="852">
        <f t="shared" ca="1" si="82"/>
        <v>23874.322407891763</v>
      </c>
      <c r="Z69" s="852">
        <f t="shared" ca="1" si="83"/>
        <v>20009.55311134578</v>
      </c>
      <c r="AA69" s="853" t="s">
        <v>128</v>
      </c>
      <c r="AB69" s="714" t="str">
        <f t="shared" ca="1" si="134"/>
        <v/>
      </c>
      <c r="AC69" s="714" t="str">
        <f t="shared" ca="1" si="134"/>
        <v/>
      </c>
      <c r="AD69" s="714" t="str">
        <f t="shared" ca="1" si="134"/>
        <v/>
      </c>
      <c r="AE69" s="714" t="str">
        <f t="shared" ca="1" si="134"/>
        <v/>
      </c>
      <c r="AF69" s="714" t="str">
        <f t="shared" ca="1" si="134"/>
        <v/>
      </c>
      <c r="AG69" s="714" t="str">
        <f t="shared" ca="1" si="138"/>
        <v/>
      </c>
      <c r="AH69" s="714" t="str">
        <f t="shared" ca="1" si="135"/>
        <v/>
      </c>
      <c r="AI69" s="714" t="str">
        <f t="shared" ca="1" si="135"/>
        <v/>
      </c>
      <c r="AJ69" s="714"/>
      <c r="AK69" s="714" t="str">
        <f t="shared" ca="1" si="139"/>
        <v/>
      </c>
      <c r="AL69" s="714" t="str">
        <f t="shared" ca="1" si="139"/>
        <v/>
      </c>
      <c r="AM69" s="714" t="str">
        <f t="shared" ca="1" si="139"/>
        <v/>
      </c>
      <c r="AN69" s="714" t="str">
        <f ca="1">IFERROR(INDEX(INDIRECT("PR14_Comp"&amp;AN$28&amp;"_NHH_UnitValues"),MATCH($B69,INDIRECT("PR14_Comp"&amp;AN$28&amp;"_WTPCore_Options"),0)),"")</f>
        <v/>
      </c>
      <c r="AO69" s="714" t="str">
        <f t="shared" ca="1" si="140"/>
        <v/>
      </c>
      <c r="AP69" s="714" t="str">
        <f t="shared" ca="1" si="140"/>
        <v/>
      </c>
      <c r="AQ69" s="714" t="str">
        <f t="shared" ca="1" si="141"/>
        <v/>
      </c>
      <c r="AR69" s="714" t="str">
        <f t="shared" ca="1" si="141"/>
        <v/>
      </c>
      <c r="AS69" s="714" t="str">
        <f t="shared" ca="1" si="144"/>
        <v/>
      </c>
      <c r="AT69" s="714" t="str">
        <f t="shared" ca="1" si="144"/>
        <v/>
      </c>
      <c r="AU69" s="714" t="str">
        <f t="shared" ca="1" si="144"/>
        <v/>
      </c>
      <c r="AV69" s="714"/>
      <c r="AW69" s="714" t="str">
        <f t="shared" ca="1" si="145"/>
        <v/>
      </c>
      <c r="AX69" s="714" t="str">
        <f t="shared" ca="1" si="145"/>
        <v/>
      </c>
      <c r="AY69" s="714" t="str">
        <f t="shared" ca="1" si="145"/>
        <v/>
      </c>
      <c r="AZ69" s="714" t="str">
        <f t="shared" ca="1" si="145"/>
        <v/>
      </c>
      <c r="BA69" s="714" t="str">
        <f t="shared" ca="1" si="145"/>
        <v/>
      </c>
      <c r="BB69" s="714" t="str">
        <f t="shared" ca="1" si="145"/>
        <v/>
      </c>
      <c r="BC69" s="714" t="str">
        <f t="shared" ca="1" si="142"/>
        <v/>
      </c>
      <c r="BD69" s="714" t="str">
        <f t="shared" ca="1" si="142"/>
        <v/>
      </c>
      <c r="BE69" s="773">
        <f t="shared" ca="1" si="117"/>
        <v>11467.256928538485</v>
      </c>
      <c r="BF69" s="714">
        <f t="shared" ca="1" si="88"/>
        <v>3387.6438750291049</v>
      </c>
      <c r="BG69" s="714">
        <f t="shared" ca="1" si="89"/>
        <v>23874.322407891763</v>
      </c>
      <c r="BH69" s="774">
        <f t="shared" ca="1" si="118"/>
        <v>5003.5664857309812</v>
      </c>
      <c r="BI69" s="714">
        <f t="shared" ca="1" si="119"/>
        <v>21392.909312021107</v>
      </c>
      <c r="BJ69" s="714">
        <f t="shared" ca="1" si="120"/>
        <v>6463.690442807504</v>
      </c>
      <c r="BK69" s="714">
        <f ca="1">BI69-BE69</f>
        <v>9925.6523834826221</v>
      </c>
      <c r="BL69" s="714"/>
      <c r="BM69" s="714"/>
      <c r="BN69" s="714"/>
      <c r="BO69" s="714"/>
      <c r="BP69" s="714"/>
      <c r="BQ69" s="714"/>
      <c r="BR69" s="714"/>
      <c r="BS69" s="714"/>
      <c r="BT69" s="714"/>
      <c r="BU69" s="775"/>
      <c r="BV69" s="714">
        <f t="shared" ca="1" si="121"/>
        <v>11437.670400000001</v>
      </c>
      <c r="BW69" s="714">
        <f ca="1">INDEX(INDIRECT("CAM_WTPCore_"&amp;$B69&amp;"_UnitValues"),MATCH("COMBINED-NHH",WTPCore_Group,0),MATCH("LOW",LMH,0))</f>
        <v>0</v>
      </c>
      <c r="BX69" s="714">
        <f ca="1">INDEX(INDIRECT("CAM_WTPCore_"&amp;$B69&amp;"_UnitValues"),MATCH("COMBINED-NHH",WTPCore_Group,0),MATCH("HIGH",LMH,0))</f>
        <v>22435.430400000001</v>
      </c>
      <c r="BY69" s="714">
        <f ca="1">INDEX(INDIRECT("CAM_WTPCore_"&amp;$B69&amp;"_UnitValues"),3,MATCH("MEAN",LMH,0))</f>
        <v>15132.91776</v>
      </c>
      <c r="BZ69" s="771">
        <f ca="1">INDEX(CAM_WTPMaxdiff_WTP_NHH_Unitvalues,MATCH($B69,WTPMaxdiff_WTP_options,0))</f>
        <v>6695.5047652195381</v>
      </c>
      <c r="CA69" s="714">
        <f ca="1">INDEX(INDIRECT("CAM_WTPCore2_"&amp;$B69&amp;"_UnitValues"),2,MATCH("MEAN",LMH,0))</f>
        <v>30910.737958347312</v>
      </c>
      <c r="CB69" s="714">
        <f ca="1">INDEX(INDIRECT("CAM_WTPCore2_"&amp;$B69&amp;"_UnitValues"),2,MATCH("LOW",LMH,0))</f>
        <v>29127.666505868314</v>
      </c>
      <c r="CC69" s="714">
        <f ca="1">INDEX(INDIRECT("CAM_WTPCore2_"&amp;$B69&amp;"_UnitValues"),2,MATCH("HIGH",LMH,0))</f>
        <v>32693.809410826318</v>
      </c>
      <c r="CD69" s="853" t="s">
        <v>128</v>
      </c>
      <c r="CE69" s="852" t="s">
        <v>128</v>
      </c>
      <c r="CF69" s="852" t="s">
        <v>128</v>
      </c>
      <c r="CG69" s="852" t="s">
        <v>128</v>
      </c>
      <c r="CH69" s="853" t="s">
        <v>128</v>
      </c>
      <c r="CI69" s="367" t="str">
        <f t="shared" si="124"/>
        <v>x</v>
      </c>
      <c r="CJ69" s="367" t="str">
        <f t="shared" si="125"/>
        <v>x</v>
      </c>
      <c r="CK69" s="853" t="s">
        <v>128</v>
      </c>
      <c r="CL69" s="853" t="s">
        <v>128</v>
      </c>
      <c r="CM69" s="852" t="s">
        <v>128</v>
      </c>
      <c r="CN69" s="852" t="s">
        <v>128</v>
      </c>
      <c r="CO69" s="852" t="str">
        <f t="shared" si="97"/>
        <v>x</v>
      </c>
      <c r="CP69" s="852" t="str">
        <f t="shared" si="98"/>
        <v>x</v>
      </c>
      <c r="CQ69" s="852">
        <f t="shared" ca="1" si="99"/>
        <v>31852.166976458004</v>
      </c>
      <c r="CR69" s="852">
        <f t="shared" ca="1" si="100"/>
        <v>26695.946211072878</v>
      </c>
      <c r="CS69" s="853" t="s">
        <v>128</v>
      </c>
      <c r="CT69" s="714" t="str">
        <f t="shared" ca="1" si="148"/>
        <v/>
      </c>
      <c r="CU69" s="714" t="str">
        <f t="shared" ca="1" si="148"/>
        <v/>
      </c>
      <c r="CV69" s="714" t="str">
        <f t="shared" ca="1" si="148"/>
        <v/>
      </c>
      <c r="CW69" s="714" t="str">
        <f t="shared" ca="1" si="148"/>
        <v/>
      </c>
      <c r="CX69" s="714" t="str">
        <f t="shared" ca="1" si="148"/>
        <v/>
      </c>
      <c r="CY69" s="714" t="str">
        <f t="shared" ca="1" si="148"/>
        <v/>
      </c>
      <c r="CZ69" s="714" t="str">
        <f t="shared" ca="1" si="148"/>
        <v/>
      </c>
      <c r="DA69" s="714" t="str">
        <f t="shared" ca="1" si="148"/>
        <v/>
      </c>
      <c r="DB69" s="714"/>
      <c r="DC69" s="714" t="str">
        <f t="shared" ca="1" si="149"/>
        <v/>
      </c>
      <c r="DD69" s="714" t="str">
        <f t="shared" ca="1" si="149"/>
        <v/>
      </c>
      <c r="DE69" s="714" t="str">
        <f t="shared" ca="1" si="149"/>
        <v/>
      </c>
      <c r="DF69" s="714" t="str">
        <f t="shared" ca="1" si="149"/>
        <v/>
      </c>
      <c r="DG69" s="714" t="str">
        <f t="shared" ca="1" si="149"/>
        <v/>
      </c>
      <c r="DH69" s="714" t="str">
        <f t="shared" ca="1" si="149"/>
        <v/>
      </c>
      <c r="DI69" s="714" t="str">
        <f t="shared" ca="1" si="143"/>
        <v/>
      </c>
      <c r="DJ69" s="714" t="str">
        <f t="shared" ca="1" si="143"/>
        <v/>
      </c>
      <c r="DK69" s="714" t="str">
        <f t="shared" ca="1" si="146"/>
        <v/>
      </c>
      <c r="DL69" s="714" t="str">
        <f t="shared" ca="1" si="146"/>
        <v/>
      </c>
      <c r="DM69" s="714" t="str">
        <f t="shared" ca="1" si="146"/>
        <v/>
      </c>
      <c r="DN69" s="714"/>
      <c r="DO69" s="714" t="str">
        <f t="shared" ca="1" si="147"/>
        <v/>
      </c>
      <c r="DP69" s="714" t="str">
        <f t="shared" ca="1" si="147"/>
        <v/>
      </c>
      <c r="DQ69" s="714" t="str">
        <f t="shared" ca="1" si="147"/>
        <v/>
      </c>
      <c r="DR69" s="714" t="str">
        <f t="shared" ca="1" si="147"/>
        <v/>
      </c>
      <c r="DS69" s="714" t="str">
        <f t="shared" ca="1" si="147"/>
        <v/>
      </c>
      <c r="DT69" s="714" t="str">
        <f t="shared" ca="1" si="147"/>
        <v/>
      </c>
      <c r="DU69" s="714" t="str">
        <f t="shared" ca="1" si="147"/>
        <v/>
      </c>
      <c r="DV69" s="714" t="str">
        <f ca="1">IFERROR(INDEX(INDIRECT("PR19_Comp"&amp;DV$52&amp;"_UnitValues_NHH_CAM"),MATCH($B69,INDIRECT("PR19_Comp"&amp;DV$52&amp;"_WTPCore_Options"),0)),"")</f>
        <v/>
      </c>
      <c r="DW69" s="714"/>
      <c r="DX69" s="714"/>
      <c r="DY69" s="714"/>
      <c r="DZ69" s="714"/>
      <c r="EA69" s="714"/>
      <c r="EB69" s="714"/>
      <c r="EC69" s="714"/>
      <c r="ED69" s="714"/>
      <c r="EE69" s="714"/>
      <c r="EF69" s="714"/>
      <c r="EG69" s="714"/>
      <c r="EH69" s="714"/>
      <c r="EI69" s="714"/>
      <c r="EJ69" s="714"/>
      <c r="EK69" s="714"/>
      <c r="EL69" s="714"/>
      <c r="EM69" s="714"/>
      <c r="EN69" s="714"/>
      <c r="EO69" s="773">
        <f t="shared" ca="1" si="126"/>
        <v>20655.080048212443</v>
      </c>
      <c r="EP69" s="714">
        <f t="shared" ca="1" si="150"/>
        <v>6695.5047652195381</v>
      </c>
      <c r="EQ69" s="714">
        <f t="shared" ca="1" si="151"/>
        <v>31852.166976458004</v>
      </c>
      <c r="ER69" s="774">
        <f t="shared" ca="1" si="127"/>
        <v>9487.4198218181191</v>
      </c>
      <c r="ES69" s="714">
        <f t="shared" ca="1" si="128"/>
        <v>29612.749590808893</v>
      </c>
      <c r="ET69" s="714">
        <f ca="1">EO69-ER69</f>
        <v>11167.660226394324</v>
      </c>
      <c r="EU69" s="714">
        <f ca="1">ES69-EO69</f>
        <v>8957.6695425964499</v>
      </c>
      <c r="EV69" s="776"/>
      <c r="EX69" s="773">
        <f t="shared" ca="1" si="152"/>
        <v>13513.440864366339</v>
      </c>
      <c r="EY69" s="777">
        <f t="shared" ca="1" si="152"/>
        <v>4124.3245585054192</v>
      </c>
      <c r="EZ69" s="714">
        <f t="shared" ca="1" si="152"/>
        <v>25651.036781482253</v>
      </c>
      <c r="FA69" s="714">
        <f t="shared" ca="1" si="153"/>
        <v>5905.7696800942258</v>
      </c>
      <c r="FB69" s="714">
        <f t="shared" ca="1" si="153"/>
        <v>23046.83632542106</v>
      </c>
      <c r="FC69" s="740">
        <f t="shared" ca="1" si="153"/>
        <v>7410.183614380263</v>
      </c>
      <c r="FD69" s="778">
        <f t="shared" ca="1" si="153"/>
        <v>9730.8830309465684</v>
      </c>
      <c r="FE69" s="740"/>
      <c r="FF69" s="740"/>
      <c r="FG69" s="740"/>
      <c r="FH69" s="740"/>
    </row>
    <row r="70" spans="1:164" s="739" customFormat="1" ht="15" thickBot="1" x14ac:dyDescent="0.4">
      <c r="A70" s="770" t="s">
        <v>158</v>
      </c>
      <c r="B70" s="739" t="s">
        <v>159</v>
      </c>
      <c r="C70" s="739" t="s">
        <v>160</v>
      </c>
      <c r="D70" s="714">
        <f t="shared" ca="1" si="114"/>
        <v>726.94198356164395</v>
      </c>
      <c r="E70" s="714">
        <f ca="1">INDEX(INDIRECT("SSW_WTPCore_DCE_"&amp;$B70&amp;"_UnitValues"),MATCH("COMBINED-NHH",WTPCore_Group,0),MATCH("LOW",LMH,0))</f>
        <v>726.94198356164395</v>
      </c>
      <c r="F70" s="714">
        <f ca="1">INDEX(INDIRECT("SSW_WTPCore_DCE_"&amp;$B70&amp;"_UnitValues"),MATCH("COMBINED-NHH",WTPCore_Group,0),MATCH("HIGH",LMH,0))</f>
        <v>1090.4129753424659</v>
      </c>
      <c r="G70" s="714"/>
      <c r="H70" s="771">
        <f ca="1">INDEX(SSW_WTPMaxdiff_WTP_NHH_Unitvalues,MATCH($B70,WTPMaxdiff_WTP_options,0))</f>
        <v>1515.9319623417914</v>
      </c>
      <c r="I70" s="853" t="s">
        <v>128</v>
      </c>
      <c r="J70" s="853" t="s">
        <v>128</v>
      </c>
      <c r="K70" s="853" t="s">
        <v>128</v>
      </c>
      <c r="L70" s="853" t="s">
        <v>128</v>
      </c>
      <c r="M70" s="852" t="s">
        <v>128</v>
      </c>
      <c r="N70" s="852" t="s">
        <v>128</v>
      </c>
      <c r="O70" s="852" t="s">
        <v>128</v>
      </c>
      <c r="P70" s="367" t="str">
        <f t="shared" si="79"/>
        <v>x</v>
      </c>
      <c r="Q70" s="853" t="s">
        <v>128</v>
      </c>
      <c r="R70" s="853" t="s">
        <v>128</v>
      </c>
      <c r="S70" s="853" t="s">
        <v>128</v>
      </c>
      <c r="T70" s="714">
        <f t="shared" ca="1" si="132"/>
        <v>321.47824734462694</v>
      </c>
      <c r="U70" s="852" t="s">
        <v>128</v>
      </c>
      <c r="V70" s="852" t="s">
        <v>128</v>
      </c>
      <c r="W70" s="852" t="str">
        <f t="shared" si="80"/>
        <v>x</v>
      </c>
      <c r="X70" s="852" t="str">
        <f t="shared" si="81"/>
        <v>x</v>
      </c>
      <c r="Y70" s="852" t="str">
        <f t="shared" si="82"/>
        <v>x</v>
      </c>
      <c r="Z70" s="852" t="str">
        <f t="shared" si="83"/>
        <v>x</v>
      </c>
      <c r="AA70" s="853" t="s">
        <v>128</v>
      </c>
      <c r="AB70" s="714" t="str">
        <f t="shared" ca="1" si="134"/>
        <v/>
      </c>
      <c r="AC70" s="714" t="str">
        <f t="shared" ca="1" si="134"/>
        <v/>
      </c>
      <c r="AD70" s="714" t="str">
        <f t="shared" ca="1" si="134"/>
        <v/>
      </c>
      <c r="AE70" s="714" t="str">
        <f t="shared" ca="1" si="134"/>
        <v/>
      </c>
      <c r="AF70" s="714" t="str">
        <f t="shared" ca="1" si="134"/>
        <v/>
      </c>
      <c r="AG70" s="714" t="str">
        <f t="shared" ca="1" si="138"/>
        <v/>
      </c>
      <c r="AH70" s="714" t="str">
        <f t="shared" ca="1" si="135"/>
        <v/>
      </c>
      <c r="AI70" s="714" t="str">
        <f t="shared" ca="1" si="135"/>
        <v/>
      </c>
      <c r="AJ70" s="714"/>
      <c r="AK70" s="714" t="str">
        <f t="shared" ca="1" si="139"/>
        <v/>
      </c>
      <c r="AL70" s="714" t="str">
        <f t="shared" ca="1" si="139"/>
        <v/>
      </c>
      <c r="AM70" s="714" t="str">
        <f t="shared" ca="1" si="139"/>
        <v/>
      </c>
      <c r="AN70" s="714" t="str">
        <f ca="1">IFERROR(INDEX(INDIRECT("PR14_Comp"&amp;AN$28&amp;"_NHH_UnitValues"),MATCH($B70,INDIRECT("PR14_Comp"&amp;AN$28&amp;"_WTPCore_Options"),0)),"")</f>
        <v/>
      </c>
      <c r="AO70" s="714" t="str">
        <f t="shared" ca="1" si="140"/>
        <v/>
      </c>
      <c r="AP70" s="714" t="str">
        <f t="shared" ca="1" si="140"/>
        <v/>
      </c>
      <c r="AQ70" s="714" t="str">
        <f t="shared" ca="1" si="141"/>
        <v/>
      </c>
      <c r="AR70" s="714" t="str">
        <f t="shared" ca="1" si="141"/>
        <v/>
      </c>
      <c r="AS70" s="714">
        <f t="shared" ca="1" si="144"/>
        <v>494.53943181227044</v>
      </c>
      <c r="AT70" s="714">
        <f t="shared" ca="1" si="144"/>
        <v>379.70929107869159</v>
      </c>
      <c r="AU70" s="714" t="str">
        <f t="shared" ca="1" si="144"/>
        <v/>
      </c>
      <c r="AV70" s="714"/>
      <c r="AW70" s="714" t="str">
        <f t="shared" ca="1" si="145"/>
        <v/>
      </c>
      <c r="AX70" s="714" t="str">
        <f t="shared" ca="1" si="145"/>
        <v/>
      </c>
      <c r="AY70" s="714" t="str">
        <f t="shared" ca="1" si="145"/>
        <v/>
      </c>
      <c r="AZ70" s="714">
        <f t="shared" ca="1" si="145"/>
        <v>90.186019142918823</v>
      </c>
      <c r="BA70" s="714" t="str">
        <f t="shared" ca="1" si="145"/>
        <v/>
      </c>
      <c r="BB70" s="714" t="str">
        <f t="shared" ca="1" si="145"/>
        <v/>
      </c>
      <c r="BC70" s="714" t="str">
        <f t="shared" ca="1" si="142"/>
        <v/>
      </c>
      <c r="BD70" s="714" t="str">
        <f t="shared" ca="1" si="142"/>
        <v/>
      </c>
      <c r="BE70" s="779">
        <f t="shared" ca="1" si="117"/>
        <v>790.8630239888322</v>
      </c>
      <c r="BF70" s="714">
        <f t="shared" ca="1" si="88"/>
        <v>321.47824734462694</v>
      </c>
      <c r="BG70" s="714">
        <f t="shared" ca="1" si="89"/>
        <v>1515.9319623417914</v>
      </c>
      <c r="BH70" s="774">
        <f t="shared" ca="1" si="118"/>
        <v>415.355202673468</v>
      </c>
      <c r="BI70" s="714">
        <f t="shared" ca="1" si="119"/>
        <v>1370.9181746711997</v>
      </c>
      <c r="BJ70" s="714">
        <f t="shared" ca="1" si="120"/>
        <v>375.5078213153642</v>
      </c>
      <c r="BK70" s="714">
        <f ca="1">BI70-BE70</f>
        <v>580.05515068236753</v>
      </c>
      <c r="BL70" s="714"/>
      <c r="BM70" s="714"/>
      <c r="BN70" s="714"/>
      <c r="BO70" s="714"/>
      <c r="BP70" s="714"/>
      <c r="BQ70" s="714"/>
      <c r="BR70" s="714"/>
      <c r="BS70" s="714"/>
      <c r="BT70" s="714"/>
      <c r="BU70" s="775"/>
      <c r="BV70" s="714">
        <f t="shared" ca="1" si="121"/>
        <v>1446.2807671232879</v>
      </c>
      <c r="BW70" s="714">
        <f ca="1">INDEX(INDIRECT("CAM_WTPCore_"&amp;$B70&amp;"_UnitValues"),MATCH("COMBINED-NHH",WTPCore_Group,0),MATCH("LOW",LMH,0))</f>
        <v>1084.7105753424657</v>
      </c>
      <c r="BX70" s="714">
        <f ca="1">INDEX(INDIRECT("CAM_WTPCore_"&amp;$B70&amp;"_UnitValues"),MATCH("COMBINED-NHH",WTPCore_Group,0),MATCH("HIGH",LMH,0))</f>
        <v>1627.0658630136988</v>
      </c>
      <c r="BY70" s="853" t="s">
        <v>128</v>
      </c>
      <c r="BZ70" s="771">
        <f ca="1">INDEX(CAM_WTPMaxdiff_WTP_NHH_Unitvalues,MATCH($B70,WTPMaxdiff_WTP_options,0))</f>
        <v>2070.7327127938515</v>
      </c>
      <c r="CA70" s="853" t="s">
        <v>128</v>
      </c>
      <c r="CB70" s="853" t="s">
        <v>128</v>
      </c>
      <c r="CC70" s="853" t="s">
        <v>128</v>
      </c>
      <c r="CD70" s="853" t="s">
        <v>128</v>
      </c>
      <c r="CE70" s="852" t="s">
        <v>128</v>
      </c>
      <c r="CF70" s="852" t="s">
        <v>128</v>
      </c>
      <c r="CG70" s="852" t="s">
        <v>128</v>
      </c>
      <c r="CH70" s="853" t="s">
        <v>128</v>
      </c>
      <c r="CI70" s="367" t="str">
        <f t="shared" si="124"/>
        <v>x</v>
      </c>
      <c r="CJ70" s="367" t="str">
        <f t="shared" si="125"/>
        <v>x</v>
      </c>
      <c r="CK70" s="853" t="s">
        <v>128</v>
      </c>
      <c r="CL70" s="714">
        <f t="shared" ca="1" si="96"/>
        <v>1608.9426000552728</v>
      </c>
      <c r="CM70" s="852" t="s">
        <v>128</v>
      </c>
      <c r="CN70" s="852" t="s">
        <v>128</v>
      </c>
      <c r="CO70" s="852" t="str">
        <f t="shared" si="97"/>
        <v>x</v>
      </c>
      <c r="CP70" s="852" t="str">
        <f t="shared" si="98"/>
        <v>x</v>
      </c>
      <c r="CQ70" s="852" t="str">
        <f t="shared" si="99"/>
        <v>x</v>
      </c>
      <c r="CR70" s="852" t="str">
        <f t="shared" si="100"/>
        <v>x</v>
      </c>
      <c r="CS70" s="853" t="s">
        <v>128</v>
      </c>
      <c r="CT70" s="714" t="str">
        <f t="shared" ca="1" si="148"/>
        <v/>
      </c>
      <c r="CU70" s="714" t="str">
        <f t="shared" ca="1" si="148"/>
        <v/>
      </c>
      <c r="CV70" s="714" t="str">
        <f t="shared" ca="1" si="148"/>
        <v/>
      </c>
      <c r="CW70" s="714" t="str">
        <f t="shared" ca="1" si="148"/>
        <v/>
      </c>
      <c r="CX70" s="714" t="str">
        <f t="shared" ca="1" si="148"/>
        <v/>
      </c>
      <c r="CY70" s="714" t="str">
        <f t="shared" ca="1" si="148"/>
        <v/>
      </c>
      <c r="CZ70" s="714" t="str">
        <f t="shared" ca="1" si="148"/>
        <v/>
      </c>
      <c r="DA70" s="714" t="str">
        <f t="shared" ca="1" si="148"/>
        <v/>
      </c>
      <c r="DB70" s="714"/>
      <c r="DC70" s="714" t="str">
        <f t="shared" ca="1" si="149"/>
        <v/>
      </c>
      <c r="DD70" s="714" t="str">
        <f t="shared" ca="1" si="149"/>
        <v/>
      </c>
      <c r="DE70" s="714" t="str">
        <f t="shared" ca="1" si="149"/>
        <v/>
      </c>
      <c r="DF70" s="714" t="str">
        <f t="shared" ca="1" si="149"/>
        <v/>
      </c>
      <c r="DG70" s="714" t="str">
        <f t="shared" ca="1" si="149"/>
        <v/>
      </c>
      <c r="DH70" s="714" t="str">
        <f t="shared" ca="1" si="149"/>
        <v/>
      </c>
      <c r="DI70" s="714" t="str">
        <f t="shared" ca="1" si="143"/>
        <v/>
      </c>
      <c r="DJ70" s="714" t="str">
        <f t="shared" ca="1" si="143"/>
        <v/>
      </c>
      <c r="DK70" s="714">
        <f t="shared" ca="1" si="146"/>
        <v>2147.7283392662798</v>
      </c>
      <c r="DL70" s="714">
        <f t="shared" ca="1" si="146"/>
        <v>2409.5431263889295</v>
      </c>
      <c r="DM70" s="714" t="str">
        <f t="shared" ca="1" si="146"/>
        <v/>
      </c>
      <c r="DN70" s="714"/>
      <c r="DO70" s="714" t="str">
        <f t="shared" ca="1" si="147"/>
        <v/>
      </c>
      <c r="DP70" s="714" t="str">
        <f t="shared" ca="1" si="147"/>
        <v/>
      </c>
      <c r="DQ70" s="714" t="str">
        <f t="shared" ca="1" si="147"/>
        <v/>
      </c>
      <c r="DR70" s="714">
        <f t="shared" ca="1" si="147"/>
        <v>269.55633451060936</v>
      </c>
      <c r="DS70" s="714" t="str">
        <f t="shared" ca="1" si="147"/>
        <v/>
      </c>
      <c r="DT70" s="714" t="str">
        <f t="shared" ca="1" si="147"/>
        <v/>
      </c>
      <c r="DU70" s="714" t="str">
        <f t="shared" ca="1" si="147"/>
        <v/>
      </c>
      <c r="DV70" s="714" t="str">
        <f ca="1">IFERROR(INDEX(INDIRECT("PR19_Comp"&amp;DV$52&amp;"_UnitValues_NHH_CAM"),MATCH($B70,INDIRECT("PR19_Comp"&amp;DV$52&amp;"_WTPCore_Options"),0)),"")</f>
        <v/>
      </c>
      <c r="DW70" s="714"/>
      <c r="DX70" s="714"/>
      <c r="DY70" s="714"/>
      <c r="DZ70" s="714"/>
      <c r="EA70" s="714"/>
      <c r="EB70" s="714"/>
      <c r="EC70" s="714"/>
      <c r="ED70" s="714"/>
      <c r="EE70" s="714"/>
      <c r="EF70" s="714"/>
      <c r="EG70" s="714"/>
      <c r="EH70" s="714"/>
      <c r="EI70" s="714"/>
      <c r="EJ70" s="714"/>
      <c r="EK70" s="714"/>
      <c r="EL70" s="714"/>
      <c r="EM70" s="714"/>
      <c r="EN70" s="714"/>
      <c r="EO70" s="779">
        <f t="shared" ca="1" si="126"/>
        <v>1577.4663968903794</v>
      </c>
      <c r="EP70" s="714">
        <f t="shared" ca="1" si="150"/>
        <v>1446.2807671232879</v>
      </c>
      <c r="EQ70" s="714">
        <f t="shared" ca="1" si="151"/>
        <v>2070.7327127938515</v>
      </c>
      <c r="ER70" s="774">
        <f t="shared" ca="1" si="127"/>
        <v>1472.5178930767063</v>
      </c>
      <c r="ES70" s="714">
        <f t="shared" ca="1" si="128"/>
        <v>1972.0794496131571</v>
      </c>
      <c r="ET70" s="714">
        <f ca="1">EO70-ER70</f>
        <v>104.94850381367314</v>
      </c>
      <c r="EU70" s="714">
        <f ca="1">ES70-EO70</f>
        <v>394.61305272277764</v>
      </c>
      <c r="EV70" s="776"/>
      <c r="EX70" s="779">
        <f t="shared" ca="1" si="152"/>
        <v>966.04436613424684</v>
      </c>
      <c r="EY70" s="780">
        <f t="shared" ca="1" si="152"/>
        <v>571.97859078522458</v>
      </c>
      <c r="EZ70" s="781">
        <f t="shared" ca="1" si="152"/>
        <v>1639.4894545108973</v>
      </c>
      <c r="FA70" s="781">
        <f t="shared" ca="1" si="153"/>
        <v>628.06857323963425</v>
      </c>
      <c r="FB70" s="781">
        <f t="shared" ca="1" si="153"/>
        <v>1491.878781971843</v>
      </c>
      <c r="FC70" s="782">
        <f t="shared" ca="1" si="153"/>
        <v>321.06815475664928</v>
      </c>
      <c r="FD70" s="783">
        <f t="shared" ca="1" si="153"/>
        <v>542.74205397555932</v>
      </c>
      <c r="FE70" s="740"/>
      <c r="FF70" s="740"/>
      <c r="FG70" s="740"/>
      <c r="FH70" s="740"/>
    </row>
    <row r="71" spans="1:164" x14ac:dyDescent="0.35">
      <c r="A71" s="50"/>
      <c r="B71" s="50"/>
      <c r="C71" s="50"/>
      <c r="D71" s="50"/>
      <c r="E71" s="50"/>
      <c r="F71" s="50"/>
      <c r="G71" s="50"/>
      <c r="H71" s="242"/>
      <c r="I71" s="242"/>
      <c r="J71" s="242"/>
      <c r="K71" s="242"/>
      <c r="L71" s="242"/>
      <c r="M71" s="831"/>
      <c r="N71" s="831"/>
      <c r="O71" s="831"/>
      <c r="P71" s="50"/>
      <c r="Q71" s="50"/>
      <c r="R71" s="50"/>
      <c r="S71" s="50"/>
      <c r="T71" s="50"/>
      <c r="U71" s="831"/>
      <c r="V71" s="831"/>
      <c r="W71" s="843"/>
      <c r="X71" s="843"/>
      <c r="Y71" s="843" t="str">
        <f t="shared" ref="Y71" si="154">IFERROR(INDEX(SSW_NHH_ODI,MATCH($A71,ODI_Options,0)),"")</f>
        <v/>
      </c>
      <c r="Z71" s="843"/>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V71" s="50"/>
      <c r="BW71" s="50"/>
      <c r="BX71" s="50"/>
      <c r="BY71" s="50"/>
      <c r="BZ71" s="50"/>
      <c r="CA71" s="242"/>
      <c r="CB71" s="242"/>
      <c r="CC71" s="242"/>
      <c r="CD71" s="242"/>
      <c r="CE71" s="831"/>
      <c r="CF71" s="831"/>
      <c r="CG71" s="831"/>
      <c r="CH71" s="50"/>
      <c r="CI71" s="50"/>
      <c r="CJ71" s="50"/>
      <c r="CK71" s="50"/>
      <c r="CL71" s="50"/>
      <c r="CM71" s="831"/>
      <c r="CN71" s="831"/>
      <c r="CO71" s="831"/>
      <c r="CP71" s="831"/>
      <c r="CQ71" s="843" t="str">
        <f t="shared" ref="CQ71" si="155">IFERROR(INDEX(CAM_NHH_ODI,MATCH($A71,ODI_Options,0)),"")</f>
        <v/>
      </c>
      <c r="CR71" s="843"/>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X71" s="50"/>
      <c r="EY71" s="50"/>
      <c r="EZ71" s="50"/>
      <c r="FA71" s="50"/>
      <c r="FB71" s="50"/>
      <c r="FC71" s="50"/>
    </row>
    <row r="72" spans="1:164" x14ac:dyDescent="0.35">
      <c r="C72" s="43"/>
      <c r="D72" s="123" t="s">
        <v>165</v>
      </c>
      <c r="E72" s="123"/>
      <c r="F72" s="123"/>
      <c r="G72" s="123"/>
      <c r="AG72" s="123" t="s">
        <v>161</v>
      </c>
      <c r="CH72" s="123"/>
      <c r="CY72" s="123" t="s">
        <v>161</v>
      </c>
    </row>
    <row r="73" spans="1:164" x14ac:dyDescent="0.35">
      <c r="C73" s="43"/>
      <c r="AG73" s="5"/>
      <c r="CH73" s="123"/>
      <c r="CY73" s="5"/>
    </row>
    <row r="74" spans="1:164" ht="19.5" x14ac:dyDescent="0.45">
      <c r="A74" s="85" t="s">
        <v>166</v>
      </c>
      <c r="B74" s="137"/>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196"/>
      <c r="BF74" s="196"/>
      <c r="BG74" s="196"/>
      <c r="BH74" s="196"/>
      <c r="BI74" s="196"/>
      <c r="BJ74" s="196"/>
      <c r="BK74" s="196"/>
      <c r="BL74" s="196"/>
      <c r="BM74" s="196"/>
      <c r="BN74" s="196"/>
      <c r="BO74" s="196"/>
      <c r="BP74" s="196"/>
      <c r="BQ74" s="196"/>
      <c r="BR74" s="196"/>
      <c r="BS74" s="196"/>
      <c r="BT74" s="196"/>
      <c r="BU74" s="685"/>
      <c r="BV74" s="98"/>
      <c r="BW74" s="98"/>
      <c r="BX74" s="98"/>
      <c r="BY74" s="98"/>
      <c r="BZ74" s="98"/>
      <c r="CA74" s="98"/>
      <c r="CB74" s="98"/>
      <c r="CC74" s="98"/>
      <c r="CD74" s="98"/>
      <c r="CE74" s="98"/>
      <c r="CF74" s="98"/>
      <c r="CG74" s="98"/>
      <c r="CH74" s="98"/>
      <c r="CI74" s="98"/>
      <c r="CJ74" s="210"/>
      <c r="CK74" s="210"/>
      <c r="CL74" s="210"/>
      <c r="CM74" s="210"/>
      <c r="CN74" s="210"/>
      <c r="CO74" s="98"/>
      <c r="CP74" s="98"/>
      <c r="CQ74" s="98"/>
      <c r="CR74" s="98"/>
      <c r="CS74" s="98"/>
      <c r="CT74" s="98"/>
      <c r="CU74" s="98"/>
      <c r="CV74" s="98"/>
      <c r="CW74" s="98"/>
      <c r="CX74" s="98"/>
      <c r="CY74" s="98"/>
      <c r="CZ74" s="98"/>
      <c r="DA74" s="98"/>
      <c r="DB74" s="98"/>
      <c r="DC74" s="98"/>
      <c r="DD74" s="98"/>
      <c r="DE74" s="98"/>
      <c r="DF74" s="98"/>
      <c r="DG74" s="98"/>
      <c r="DH74" s="98"/>
      <c r="DI74" s="98"/>
      <c r="DJ74" s="98"/>
      <c r="DK74" s="98"/>
      <c r="DL74" s="98"/>
      <c r="DM74" s="98"/>
      <c r="DN74" s="98"/>
      <c r="DO74" s="98"/>
      <c r="DP74" s="98"/>
      <c r="DQ74" s="98"/>
      <c r="DR74" s="98"/>
      <c r="DS74" s="98"/>
      <c r="DT74" s="98"/>
      <c r="DU74" s="98"/>
      <c r="DV74" s="98"/>
      <c r="DW74" s="98"/>
      <c r="DX74" s="98"/>
      <c r="DY74" s="98"/>
      <c r="DZ74" s="98"/>
      <c r="EA74" s="98"/>
      <c r="EB74" s="98"/>
      <c r="EC74" s="98"/>
      <c r="ED74" s="98"/>
      <c r="EE74" s="98"/>
      <c r="EF74" s="98"/>
      <c r="EG74" s="98"/>
      <c r="EH74" s="98"/>
      <c r="EI74" s="98"/>
      <c r="EJ74" s="98"/>
      <c r="EK74" s="98"/>
      <c r="EL74" s="98"/>
      <c r="EM74" s="98"/>
      <c r="EN74" s="98"/>
      <c r="EO74" s="50"/>
      <c r="EP74" s="196"/>
      <c r="EQ74" s="196"/>
      <c r="ER74" s="196"/>
      <c r="ES74" s="196"/>
      <c r="ET74" s="196"/>
      <c r="EU74" s="196"/>
      <c r="EX74" s="50"/>
      <c r="EY74" s="50"/>
      <c r="EZ74" s="50"/>
      <c r="FA74" s="50"/>
      <c r="FB74" s="50"/>
      <c r="FC74" s="50"/>
      <c r="FD74" s="50"/>
      <c r="FE74" s="50"/>
      <c r="FF74" s="50"/>
      <c r="FG74" s="50"/>
      <c r="FH74" s="50"/>
    </row>
    <row r="75" spans="1:164" ht="20" thickBot="1" x14ac:dyDescent="0.5">
      <c r="A75" s="85"/>
      <c r="B75" s="137"/>
      <c r="C75" s="137"/>
      <c r="D75" s="137"/>
      <c r="E75" s="137"/>
      <c r="F75" s="137"/>
      <c r="G75" s="137"/>
      <c r="H75" s="137"/>
      <c r="I75" s="137"/>
      <c r="J75" s="137"/>
      <c r="K75" s="137"/>
      <c r="L75" s="137"/>
      <c r="M75" s="137"/>
      <c r="N75" s="137"/>
      <c r="O75" s="137"/>
      <c r="P75" s="241"/>
      <c r="Q75" s="137"/>
      <c r="R75" s="137"/>
      <c r="S75" s="137"/>
      <c r="T75" s="137"/>
      <c r="U75" s="98"/>
      <c r="V75" s="137"/>
      <c r="W75" s="137"/>
      <c r="X75" s="137"/>
      <c r="Y75" s="137"/>
      <c r="Z75" s="137"/>
      <c r="AA75" s="98"/>
      <c r="AB75" s="679" t="s">
        <v>83</v>
      </c>
      <c r="AC75" s="679"/>
      <c r="AD75" s="679"/>
      <c r="AE75" s="679"/>
      <c r="AF75" s="679"/>
      <c r="AG75" s="679"/>
      <c r="AH75" s="679"/>
      <c r="AI75" s="679"/>
      <c r="AJ75" s="679"/>
      <c r="AK75" s="679"/>
      <c r="AL75" s="679"/>
      <c r="AM75" s="679"/>
      <c r="AN75" s="679"/>
      <c r="AO75" s="679"/>
      <c r="AP75" s="682"/>
      <c r="AQ75" s="682" t="s">
        <v>83</v>
      </c>
      <c r="AR75" s="682"/>
      <c r="AS75" s="682"/>
      <c r="AT75" s="682"/>
      <c r="AU75" s="682"/>
      <c r="AV75" s="682"/>
      <c r="AW75" s="682"/>
      <c r="AX75" s="682"/>
      <c r="AY75" s="682"/>
      <c r="AZ75" s="682"/>
      <c r="BA75" s="682"/>
      <c r="BB75" s="682"/>
      <c r="BC75" s="682"/>
      <c r="BD75" s="682"/>
      <c r="BE75" s="137"/>
      <c r="BF75" s="137"/>
      <c r="BG75" s="137"/>
      <c r="BH75" s="137"/>
      <c r="BI75" s="137"/>
      <c r="BJ75" s="137"/>
      <c r="BK75" s="137"/>
      <c r="BL75" s="137"/>
      <c r="BM75" s="137"/>
      <c r="BN75" s="137"/>
      <c r="BO75" s="137"/>
      <c r="BP75" s="137"/>
      <c r="BQ75" s="137"/>
      <c r="BR75" s="137"/>
      <c r="BS75" s="137"/>
      <c r="BT75" s="137"/>
      <c r="BU75" s="686"/>
      <c r="BV75" s="137"/>
      <c r="BW75" s="137"/>
      <c r="BX75" s="137"/>
      <c r="BY75" s="137"/>
      <c r="BZ75" s="137"/>
      <c r="CA75" s="137"/>
      <c r="CB75" s="137"/>
      <c r="CC75" s="137"/>
      <c r="CD75" s="137"/>
      <c r="CE75" s="137"/>
      <c r="CF75" s="137"/>
      <c r="CG75" s="137"/>
      <c r="CH75" s="137"/>
      <c r="CI75" s="137"/>
      <c r="CJ75" s="137"/>
      <c r="CK75" s="137"/>
      <c r="CL75" s="137"/>
      <c r="CM75" s="137"/>
      <c r="CN75" s="137"/>
      <c r="CO75" s="137"/>
      <c r="CP75" s="137"/>
      <c r="CQ75" s="137"/>
      <c r="CR75" s="137"/>
      <c r="CS75" s="98"/>
      <c r="CT75" s="679" t="s">
        <v>84</v>
      </c>
      <c r="CU75" s="679"/>
      <c r="CV75" s="679"/>
      <c r="CW75" s="679"/>
      <c r="CX75" s="679"/>
      <c r="CY75" s="679"/>
      <c r="CZ75" s="679"/>
      <c r="DA75" s="679"/>
      <c r="DB75" s="679"/>
      <c r="DC75" s="679"/>
      <c r="DD75" s="679"/>
      <c r="DE75" s="679"/>
      <c r="DF75" s="679"/>
      <c r="DG75" s="679"/>
      <c r="DH75" s="679"/>
      <c r="DI75" s="679" t="s">
        <v>83</v>
      </c>
      <c r="DJ75" s="679"/>
      <c r="DK75" s="679"/>
      <c r="DL75" s="679"/>
      <c r="DM75" s="679"/>
      <c r="DN75" s="679"/>
      <c r="DO75" s="679"/>
      <c r="DP75" s="679"/>
      <c r="DQ75" s="679"/>
      <c r="DR75" s="679"/>
      <c r="DS75" s="679"/>
      <c r="DT75" s="679"/>
      <c r="DU75" s="679"/>
      <c r="DV75" s="679"/>
      <c r="DW75" s="679"/>
      <c r="DX75" s="679"/>
      <c r="DY75" s="679"/>
      <c r="DZ75" s="679"/>
      <c r="EA75" s="679"/>
      <c r="EB75" s="679"/>
      <c r="EC75" s="679"/>
      <c r="ED75" s="679"/>
      <c r="EE75" s="679"/>
      <c r="EF75" s="679"/>
      <c r="EG75" s="679"/>
      <c r="EH75" s="679"/>
      <c r="EI75" s="679"/>
      <c r="EJ75" s="679"/>
      <c r="EK75" s="679"/>
      <c r="EL75" s="679"/>
      <c r="EM75" s="679"/>
      <c r="EN75" s="679"/>
      <c r="EO75" s="50"/>
      <c r="EP75" s="137"/>
      <c r="EQ75" s="137"/>
      <c r="ER75" s="137"/>
      <c r="ES75" s="137"/>
      <c r="ET75" s="137"/>
      <c r="EU75" s="137"/>
      <c r="EX75" s="50"/>
      <c r="EY75" s="50"/>
      <c r="EZ75" s="50"/>
      <c r="FA75" s="50"/>
      <c r="FB75" s="50"/>
      <c r="FC75" s="50"/>
      <c r="FD75" s="50"/>
      <c r="FE75" s="50"/>
      <c r="FF75" s="50"/>
      <c r="FG75" s="50"/>
      <c r="FH75" s="50"/>
    </row>
    <row r="76" spans="1:164" s="53" customFormat="1" ht="47.25" customHeight="1" x14ac:dyDescent="0.35">
      <c r="A76" s="54"/>
      <c r="B76" s="54"/>
      <c r="C76" s="249"/>
      <c r="D76" s="249" t="s">
        <v>52</v>
      </c>
      <c r="E76" s="584" t="s">
        <v>85</v>
      </c>
      <c r="F76" s="584" t="s">
        <v>86</v>
      </c>
      <c r="G76" s="584" t="s">
        <v>62</v>
      </c>
      <c r="H76" s="584" t="s">
        <v>54</v>
      </c>
      <c r="I76" s="584" t="s">
        <v>56</v>
      </c>
      <c r="J76" s="584" t="s">
        <v>87</v>
      </c>
      <c r="K76" s="584" t="s">
        <v>88</v>
      </c>
      <c r="L76" s="581" t="s">
        <v>60</v>
      </c>
      <c r="M76" s="249" t="s">
        <v>63</v>
      </c>
      <c r="N76" s="249" t="s">
        <v>65</v>
      </c>
      <c r="O76" s="249" t="s">
        <v>66</v>
      </c>
      <c r="P76" s="249" t="s">
        <v>67</v>
      </c>
      <c r="Q76" s="249" t="s">
        <v>68</v>
      </c>
      <c r="R76" s="249" t="s">
        <v>70</v>
      </c>
      <c r="S76" s="249" t="s">
        <v>71</v>
      </c>
      <c r="T76" s="249" t="s">
        <v>72</v>
      </c>
      <c r="U76" s="249" t="s">
        <v>73</v>
      </c>
      <c r="V76" s="249"/>
      <c r="W76" s="249"/>
      <c r="X76" s="249"/>
      <c r="Y76" s="249"/>
      <c r="Z76" s="249"/>
      <c r="AA76" s="249" t="s">
        <v>73</v>
      </c>
      <c r="AB76" s="676" t="s">
        <v>89</v>
      </c>
      <c r="AC76" s="676" t="s">
        <v>90</v>
      </c>
      <c r="AD76" s="676" t="s">
        <v>91</v>
      </c>
      <c r="AE76" s="676" t="s">
        <v>92</v>
      </c>
      <c r="AF76" s="676" t="s">
        <v>93</v>
      </c>
      <c r="AG76" s="677" t="s">
        <v>94</v>
      </c>
      <c r="AH76" s="676" t="s">
        <v>95</v>
      </c>
      <c r="AI76" s="676" t="s">
        <v>96</v>
      </c>
      <c r="AJ76" s="676" t="s">
        <v>97</v>
      </c>
      <c r="AK76" s="676" t="s">
        <v>98</v>
      </c>
      <c r="AL76" s="676" t="s">
        <v>99</v>
      </c>
      <c r="AM76" s="676" t="s">
        <v>100</v>
      </c>
      <c r="AN76" s="676" t="s">
        <v>101</v>
      </c>
      <c r="AO76" s="676" t="s">
        <v>102</v>
      </c>
      <c r="AP76" s="676" t="s">
        <v>103</v>
      </c>
      <c r="AQ76" s="676" t="s">
        <v>89</v>
      </c>
      <c r="AR76" s="676" t="s">
        <v>90</v>
      </c>
      <c r="AS76" s="676" t="s">
        <v>91</v>
      </c>
      <c r="AT76" s="676" t="s">
        <v>92</v>
      </c>
      <c r="AU76" s="676" t="s">
        <v>93</v>
      </c>
      <c r="AV76" s="676" t="s">
        <v>94</v>
      </c>
      <c r="AW76" s="676" t="s">
        <v>95</v>
      </c>
      <c r="AX76" s="676" t="s">
        <v>97</v>
      </c>
      <c r="AY76" s="676" t="s">
        <v>98</v>
      </c>
      <c r="AZ76" s="676" t="s">
        <v>100</v>
      </c>
      <c r="BA76" s="676" t="s">
        <v>101</v>
      </c>
      <c r="BB76" s="676" t="s">
        <v>104</v>
      </c>
      <c r="BC76" s="676" t="s">
        <v>105</v>
      </c>
      <c r="BD76" s="676" t="s">
        <v>106</v>
      </c>
      <c r="BE76" s="397" t="s">
        <v>107</v>
      </c>
      <c r="BF76" s="88" t="s">
        <v>108</v>
      </c>
      <c r="BG76" s="88" t="s">
        <v>109</v>
      </c>
      <c r="BH76" s="88" t="s">
        <v>110</v>
      </c>
      <c r="BI76" s="88" t="s">
        <v>111</v>
      </c>
      <c r="BJ76" s="88" t="s">
        <v>112</v>
      </c>
      <c r="BK76" s="88" t="s">
        <v>113</v>
      </c>
      <c r="BL76" s="88"/>
      <c r="BM76" s="88"/>
      <c r="BN76" s="88"/>
      <c r="BO76" s="88"/>
      <c r="BP76" s="88"/>
      <c r="BQ76" s="88"/>
      <c r="BR76" s="88"/>
      <c r="BS76" s="88"/>
      <c r="BT76" s="88"/>
      <c r="BU76" s="687"/>
      <c r="BV76" s="249" t="s">
        <v>52</v>
      </c>
      <c r="BW76" s="584" t="s">
        <v>85</v>
      </c>
      <c r="BX76" s="249" t="s">
        <v>86</v>
      </c>
      <c r="BY76" s="584" t="s">
        <v>62</v>
      </c>
      <c r="BZ76" s="581" t="s">
        <v>54</v>
      </c>
      <c r="CA76" s="249" t="s">
        <v>56</v>
      </c>
      <c r="CB76" s="249" t="s">
        <v>87</v>
      </c>
      <c r="CC76" s="249" t="s">
        <v>88</v>
      </c>
      <c r="CD76" s="581" t="s">
        <v>60</v>
      </c>
      <c r="CE76" s="249" t="s">
        <v>63</v>
      </c>
      <c r="CF76" s="249" t="s">
        <v>65</v>
      </c>
      <c r="CG76" s="249" t="s">
        <v>66</v>
      </c>
      <c r="CH76" s="396" t="s">
        <v>67</v>
      </c>
      <c r="CI76" s="249" t="s">
        <v>68</v>
      </c>
      <c r="CJ76" s="581" t="s">
        <v>70</v>
      </c>
      <c r="CK76" s="249" t="s">
        <v>71</v>
      </c>
      <c r="CL76" s="249" t="s">
        <v>72</v>
      </c>
      <c r="CM76" s="249"/>
      <c r="CN76" s="249"/>
      <c r="CO76" s="249"/>
      <c r="CP76" s="249"/>
      <c r="CQ76" s="249"/>
      <c r="CR76" s="249"/>
      <c r="CS76" s="249" t="s">
        <v>73</v>
      </c>
      <c r="CT76" s="676" t="s">
        <v>89</v>
      </c>
      <c r="CU76" s="676" t="s">
        <v>90</v>
      </c>
      <c r="CV76" s="676" t="s">
        <v>91</v>
      </c>
      <c r="CW76" s="676" t="s">
        <v>92</v>
      </c>
      <c r="CX76" s="676" t="s">
        <v>93</v>
      </c>
      <c r="CY76" s="677" t="s">
        <v>94</v>
      </c>
      <c r="CZ76" s="676" t="s">
        <v>95</v>
      </c>
      <c r="DA76" s="676" t="s">
        <v>96</v>
      </c>
      <c r="DB76" s="676" t="s">
        <v>97</v>
      </c>
      <c r="DC76" s="676" t="s">
        <v>98</v>
      </c>
      <c r="DD76" s="676" t="s">
        <v>99</v>
      </c>
      <c r="DE76" s="676" t="s">
        <v>100</v>
      </c>
      <c r="DF76" s="676" t="s">
        <v>101</v>
      </c>
      <c r="DG76" s="676" t="s">
        <v>102</v>
      </c>
      <c r="DH76" s="676" t="s">
        <v>103</v>
      </c>
      <c r="DI76" s="676" t="s">
        <v>89</v>
      </c>
      <c r="DJ76" s="676" t="s">
        <v>90</v>
      </c>
      <c r="DK76" s="676" t="s">
        <v>91</v>
      </c>
      <c r="DL76" s="676" t="s">
        <v>92</v>
      </c>
      <c r="DM76" s="676" t="s">
        <v>93</v>
      </c>
      <c r="DN76" s="676" t="s">
        <v>94</v>
      </c>
      <c r="DO76" s="676" t="s">
        <v>95</v>
      </c>
      <c r="DP76" s="676" t="s">
        <v>97</v>
      </c>
      <c r="DQ76" s="676" t="s">
        <v>98</v>
      </c>
      <c r="DR76" s="676" t="s">
        <v>100</v>
      </c>
      <c r="DS76" s="676" t="s">
        <v>101</v>
      </c>
      <c r="DT76" s="676" t="s">
        <v>104</v>
      </c>
      <c r="DU76" s="676" t="s">
        <v>105</v>
      </c>
      <c r="DV76" s="676" t="s">
        <v>106</v>
      </c>
      <c r="DW76" s="676"/>
      <c r="DX76" s="676"/>
      <c r="DY76" s="676"/>
      <c r="DZ76" s="676"/>
      <c r="EA76" s="676"/>
      <c r="EB76" s="676"/>
      <c r="EC76" s="676"/>
      <c r="ED76" s="676"/>
      <c r="EE76" s="676"/>
      <c r="EF76" s="676"/>
      <c r="EG76" s="676"/>
      <c r="EH76" s="676"/>
      <c r="EI76" s="676"/>
      <c r="EJ76" s="676"/>
      <c r="EK76" s="676"/>
      <c r="EL76" s="676"/>
      <c r="EM76" s="676"/>
      <c r="EN76" s="676"/>
      <c r="EO76" s="397" t="s">
        <v>107</v>
      </c>
      <c r="EP76" s="88" t="s">
        <v>108</v>
      </c>
      <c r="EQ76" s="88" t="s">
        <v>109</v>
      </c>
      <c r="ER76" s="88" t="s">
        <v>110</v>
      </c>
      <c r="ES76" s="88" t="s">
        <v>111</v>
      </c>
      <c r="ET76" s="88" t="s">
        <v>112</v>
      </c>
      <c r="EU76" s="88" t="s">
        <v>113</v>
      </c>
      <c r="EV76" s="693"/>
      <c r="EX76" s="397" t="s">
        <v>107</v>
      </c>
      <c r="EY76" s="591" t="s">
        <v>115</v>
      </c>
      <c r="EZ76" s="647" t="s">
        <v>116</v>
      </c>
      <c r="FA76" s="647" t="s">
        <v>117</v>
      </c>
      <c r="FB76" s="647" t="s">
        <v>118</v>
      </c>
      <c r="FC76" s="648" t="s">
        <v>119</v>
      </c>
      <c r="FD76" s="594" t="s">
        <v>120</v>
      </c>
      <c r="FE76" s="54"/>
      <c r="FF76" s="54"/>
      <c r="FG76" s="54"/>
      <c r="FH76" s="54"/>
    </row>
    <row r="77" spans="1:164" x14ac:dyDescent="0.35">
      <c r="A77" s="54"/>
      <c r="B77" s="54"/>
      <c r="C77" s="205" t="s">
        <v>121</v>
      </c>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8"/>
      <c r="AC77" s="248"/>
      <c r="AD77" s="248"/>
      <c r="AE77" s="248"/>
      <c r="AF77" s="248"/>
      <c r="AG77" s="248"/>
      <c r="AH77" s="248"/>
      <c r="AI77" s="248"/>
      <c r="AJ77" s="248"/>
      <c r="AK77" s="248"/>
      <c r="AL77" s="248"/>
      <c r="AM77" s="248"/>
      <c r="AN77" s="248"/>
      <c r="AO77" s="248"/>
      <c r="AP77" s="248"/>
      <c r="AQ77" s="248"/>
      <c r="AR77" s="248"/>
      <c r="AS77" s="248"/>
      <c r="AT77" s="248"/>
      <c r="AU77" s="248"/>
      <c r="AV77" s="248"/>
      <c r="AW77" s="248"/>
      <c r="AX77" s="248"/>
      <c r="AY77" s="248"/>
      <c r="AZ77" s="248"/>
      <c r="BA77" s="248"/>
      <c r="BB77" s="248"/>
      <c r="BC77" s="248"/>
      <c r="BD77" s="248"/>
      <c r="BE77" s="425"/>
      <c r="BV77" s="247"/>
      <c r="BW77" s="247"/>
      <c r="BX77" s="247"/>
      <c r="BY77" s="247"/>
      <c r="BZ77" s="247"/>
      <c r="CA77" s="247"/>
      <c r="CB77" s="247"/>
      <c r="CC77" s="247"/>
      <c r="CD77" s="247"/>
      <c r="CE77" s="247"/>
      <c r="CF77" s="247"/>
      <c r="CG77" s="247"/>
      <c r="CH77" s="247"/>
      <c r="CI77" s="247"/>
      <c r="CJ77" s="247"/>
      <c r="CK77" s="247"/>
      <c r="CL77" s="247"/>
      <c r="CM77" s="247"/>
      <c r="CN77" s="247"/>
      <c r="CO77" s="247"/>
      <c r="CP77" s="247"/>
      <c r="CQ77" s="247"/>
      <c r="CR77" s="247"/>
      <c r="CS77" s="247"/>
      <c r="CT77" s="247"/>
      <c r="CU77" s="247"/>
      <c r="CV77" s="247"/>
      <c r="CW77" s="247"/>
      <c r="CX77" s="247"/>
      <c r="CY77" s="247"/>
      <c r="CZ77" s="247"/>
      <c r="DA77" s="247"/>
      <c r="DB77" s="247"/>
      <c r="DC77" s="247"/>
      <c r="DD77" s="247"/>
      <c r="DE77" s="247"/>
      <c r="DF77" s="247"/>
      <c r="DG77" s="247"/>
      <c r="DH77" s="247"/>
      <c r="DI77" s="247"/>
      <c r="DJ77" s="247"/>
      <c r="DK77" s="247"/>
      <c r="DL77" s="247"/>
      <c r="DM77" s="247"/>
      <c r="DN77" s="247"/>
      <c r="DO77" s="247"/>
      <c r="DP77" s="247"/>
      <c r="DQ77" s="247"/>
      <c r="DR77" s="247"/>
      <c r="DS77" s="247"/>
      <c r="DT77" s="247"/>
      <c r="DU77" s="247"/>
      <c r="DV77" s="247"/>
      <c r="DW77" s="247"/>
      <c r="DX77" s="247"/>
      <c r="DY77" s="247"/>
      <c r="DZ77" s="247"/>
      <c r="EA77" s="247"/>
      <c r="EB77" s="247"/>
      <c r="EC77" s="247"/>
      <c r="ED77" s="247"/>
      <c r="EE77" s="247"/>
      <c r="EF77" s="247"/>
      <c r="EG77" s="247"/>
      <c r="EH77" s="247"/>
      <c r="EI77" s="247"/>
      <c r="EJ77" s="247"/>
      <c r="EK77" s="247"/>
      <c r="EL77" s="247"/>
      <c r="EM77" s="247"/>
      <c r="EN77" s="247"/>
      <c r="EO77" s="398"/>
      <c r="EX77" s="398"/>
      <c r="EY77" s="587"/>
      <c r="FD77" s="588"/>
    </row>
    <row r="78" spans="1:164" x14ac:dyDescent="0.35">
      <c r="A78" s="54" t="s">
        <v>122</v>
      </c>
      <c r="B78" s="54" t="s">
        <v>123</v>
      </c>
      <c r="C78" s="54" t="s">
        <v>124</v>
      </c>
      <c r="BE78" s="399"/>
      <c r="EO78" s="399"/>
      <c r="EX78" s="399"/>
      <c r="EY78" s="587"/>
      <c r="FD78" s="588"/>
    </row>
    <row r="79" spans="1:164" x14ac:dyDescent="0.35">
      <c r="A79" s="200" t="s">
        <v>125</v>
      </c>
      <c r="B79" s="7" t="s">
        <v>126</v>
      </c>
      <c r="C79" s="7" t="s">
        <v>127</v>
      </c>
      <c r="D79" s="244"/>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479">
        <f ca="1">SUM(BE31+BE55)</f>
        <v>84029.708455016007</v>
      </c>
      <c r="BF79" s="400">
        <f ca="1">SUM(BF31+BF55)</f>
        <v>59.561253493896444</v>
      </c>
      <c r="BG79" s="400">
        <f ca="1">SUM(BG31+BG55)</f>
        <v>416194.20696232031</v>
      </c>
      <c r="BH79" s="10">
        <f ca="1">0.8*BF79+0.2*BE79</f>
        <v>16853.59069379832</v>
      </c>
      <c r="BI79" s="400">
        <f ca="1">0.8*BG79+0.2*BE79</f>
        <v>349761.30726085947</v>
      </c>
      <c r="BJ79" s="400">
        <f ca="1">BE79-BH79</f>
        <v>67176.117761217683</v>
      </c>
      <c r="BK79" s="400">
        <f t="shared" ref="BK79:BK94" ca="1" si="156">BI79-BE79</f>
        <v>265731.59880584345</v>
      </c>
      <c r="BL79" s="400"/>
      <c r="BM79" s="400"/>
      <c r="BN79" s="400"/>
      <c r="BO79" s="400"/>
      <c r="BP79" s="400"/>
      <c r="BQ79" s="400"/>
      <c r="BR79" s="400"/>
      <c r="BS79" s="400"/>
      <c r="BT79" s="400"/>
      <c r="BU79" s="688"/>
      <c r="BV79" s="244"/>
      <c r="BW79" s="244"/>
      <c r="BX79" s="244"/>
      <c r="BY79" s="244"/>
      <c r="BZ79" s="244"/>
      <c r="CA79" s="244"/>
      <c r="CB79" s="244"/>
      <c r="CC79" s="244"/>
      <c r="CD79" s="244"/>
      <c r="CE79" s="244"/>
      <c r="CF79" s="244"/>
      <c r="CG79" s="244"/>
      <c r="CH79" s="244"/>
      <c r="CI79" s="244"/>
      <c r="CJ79" s="244"/>
      <c r="CK79" s="244"/>
      <c r="CL79" s="244"/>
      <c r="CM79" s="244"/>
      <c r="CN79" s="244"/>
      <c r="CO79" s="244"/>
      <c r="CP79" s="244"/>
      <c r="CQ79" s="244"/>
      <c r="CR79" s="244"/>
      <c r="CS79" s="244"/>
      <c r="CT79" s="244"/>
      <c r="CU79" s="244"/>
      <c r="CV79" s="244"/>
      <c r="CW79" s="244"/>
      <c r="CX79" s="244"/>
      <c r="CY79" s="244"/>
      <c r="CZ79" s="244"/>
      <c r="DA79" s="244"/>
      <c r="DB79" s="244"/>
      <c r="DC79" s="244"/>
      <c r="DD79" s="244"/>
      <c r="DE79" s="244"/>
      <c r="DF79" s="244"/>
      <c r="DG79" s="244"/>
      <c r="DH79" s="244"/>
      <c r="DI79" s="244"/>
      <c r="DJ79" s="244"/>
      <c r="DK79" s="244"/>
      <c r="DL79" s="244"/>
      <c r="DM79" s="244"/>
      <c r="DN79" s="244"/>
      <c r="DO79" s="244"/>
      <c r="DP79" s="244"/>
      <c r="DQ79" s="244"/>
      <c r="DR79" s="244"/>
      <c r="DS79" s="244"/>
      <c r="DT79" s="244"/>
      <c r="DU79" s="244"/>
      <c r="DV79" s="244"/>
      <c r="DW79" s="244"/>
      <c r="DX79" s="244"/>
      <c r="DY79" s="244"/>
      <c r="DZ79" s="244"/>
      <c r="EA79" s="244"/>
      <c r="EB79" s="244"/>
      <c r="EC79" s="244"/>
      <c r="ED79" s="244"/>
      <c r="EE79" s="244"/>
      <c r="EF79" s="244"/>
      <c r="EG79" s="244"/>
      <c r="EH79" s="244"/>
      <c r="EI79" s="244"/>
      <c r="EJ79" s="244"/>
      <c r="EK79" s="244"/>
      <c r="EL79" s="244"/>
      <c r="EM79" s="244"/>
      <c r="EN79" s="244"/>
      <c r="EO79" s="479">
        <f ca="1">SUM(EO31+EO55)</f>
        <v>32453.935907829946</v>
      </c>
      <c r="EP79" s="400">
        <f ca="1">SUM(EP31+EP55)</f>
        <v>138.96822419865262</v>
      </c>
      <c r="EQ79" s="400">
        <f ca="1">SUM(EQ31+EQ55)</f>
        <v>145900.28309174543</v>
      </c>
      <c r="ER79" s="10">
        <f ca="1">0.8*EP79+0.2*EO79</f>
        <v>6601.9617609249117</v>
      </c>
      <c r="ES79" s="400">
        <f ca="1">0.8*EQ79+0.2*EO79</f>
        <v>123211.01365496234</v>
      </c>
      <c r="ET79" s="400">
        <f ca="1">EO79-ER79</f>
        <v>25851.974146905035</v>
      </c>
      <c r="EU79" s="400">
        <f ca="1">ES79-EO79</f>
        <v>90757.077747132396</v>
      </c>
      <c r="EX79" s="479">
        <f ca="1">(BE79*AllProps_SSW+EO79*AllProps_CAM)/AllProps_All</f>
        <v>73592.156136015474</v>
      </c>
      <c r="EY79" s="592">
        <f t="shared" ref="EY79:EY94" ca="1" si="157">(BF79*AllProps_SSW+EP79*AllProps_CAM)/AllProps_All</f>
        <v>75.631093465095375</v>
      </c>
      <c r="EZ79" s="244">
        <f t="shared" ref="EZ79:EZ94" ca="1" si="158">(BG79*AllProps_SSW+EQ79*AllProps_CAM)/AllProps_All</f>
        <v>361493.97015392384</v>
      </c>
      <c r="FA79" s="244">
        <f t="shared" ref="FA79:FA94" ca="1" si="159">(BH79*HHProps_SSW+ER79*HHProps_CAM)/HHProps_All</f>
        <v>14790.844284091643</v>
      </c>
      <c r="FB79" s="244">
        <f t="shared" ref="FB79:FB94" ca="1" si="160">(BI79*HHProps_SSW+ES79*HHProps_CAM)/HHProps_All</f>
        <v>304176.76573936146</v>
      </c>
      <c r="FC79" s="260">
        <f t="shared" ref="FC79:FC94" ca="1" si="161">(BJ79*HHProps_SSW+ET79*HHProps_CAM)/HHProps_All</f>
        <v>58861.221715645093</v>
      </c>
      <c r="FD79" s="589">
        <f t="shared" ref="FD79:FD94" ca="1" si="162">(BK79*HHProps_SSW+EU79*HHProps_CAM)/HHProps_All</f>
        <v>230524.69973962472</v>
      </c>
      <c r="FE79" s="260"/>
      <c r="FF79" s="260"/>
      <c r="FG79" s="260"/>
      <c r="FH79" s="260"/>
    </row>
    <row r="80" spans="1:164" x14ac:dyDescent="0.35">
      <c r="A80" s="200" t="s">
        <v>129</v>
      </c>
      <c r="B80" s="7" t="s">
        <v>130</v>
      </c>
      <c r="C80" s="7" t="s">
        <v>127</v>
      </c>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479">
        <f ca="1">SUM(BE32+BE56)</f>
        <v>1835.7077488713896</v>
      </c>
      <c r="BF80" s="400">
        <f t="shared" ref="BE80:BG94" ca="1" si="163">SUM(BF32+BF56)</f>
        <v>0</v>
      </c>
      <c r="BG80" s="400">
        <f t="shared" ca="1" si="163"/>
        <v>5681.2850541000562</v>
      </c>
      <c r="BH80" s="10">
        <f t="shared" ref="BH80:BH94" ca="1" si="164">0.8*BF80+0.2*BE80</f>
        <v>367.14154977427796</v>
      </c>
      <c r="BI80" s="400">
        <f t="shared" ref="BI80:BI94" ca="1" si="165">0.8*BG80+0.2*BE80</f>
        <v>4912.1695930543237</v>
      </c>
      <c r="BJ80" s="400">
        <f t="shared" ref="BJ80:BJ94" ca="1" si="166">BE80-BH80</f>
        <v>1468.5661990971116</v>
      </c>
      <c r="BK80" s="400">
        <f t="shared" ca="1" si="156"/>
        <v>3076.4618441829343</v>
      </c>
      <c r="BL80" s="400"/>
      <c r="BM80" s="400"/>
      <c r="BN80" s="400"/>
      <c r="BO80" s="400"/>
      <c r="BP80" s="400"/>
      <c r="BQ80" s="400"/>
      <c r="BR80" s="400"/>
      <c r="BS80" s="400"/>
      <c r="BT80" s="400"/>
      <c r="BU80" s="688"/>
      <c r="BV80" s="244"/>
      <c r="BW80" s="244"/>
      <c r="BX80" s="244"/>
      <c r="BY80" s="244"/>
      <c r="BZ80" s="244"/>
      <c r="CA80" s="244"/>
      <c r="CB80" s="244"/>
      <c r="CC80" s="244"/>
      <c r="CD80" s="244"/>
      <c r="CE80" s="244"/>
      <c r="CF80" s="244"/>
      <c r="CG80" s="244"/>
      <c r="CH80" s="244"/>
      <c r="CI80" s="244"/>
      <c r="CJ80" s="244"/>
      <c r="CK80" s="244"/>
      <c r="CL80" s="244"/>
      <c r="CM80" s="244"/>
      <c r="CN80" s="244"/>
      <c r="CO80" s="244"/>
      <c r="CP80" s="244"/>
      <c r="CQ80" s="244"/>
      <c r="CR80" s="244"/>
      <c r="CS80" s="244"/>
      <c r="CT80" s="244"/>
      <c r="CU80" s="244"/>
      <c r="CV80" s="244"/>
      <c r="CW80" s="244"/>
      <c r="CX80" s="244"/>
      <c r="CY80" s="244"/>
      <c r="CZ80" s="244"/>
      <c r="DA80" s="244"/>
      <c r="DB80" s="244"/>
      <c r="DC80" s="244"/>
      <c r="DD80" s="244"/>
      <c r="DE80" s="244"/>
      <c r="DF80" s="244"/>
      <c r="DG80" s="244"/>
      <c r="DH80" s="244"/>
      <c r="DI80" s="244"/>
      <c r="DJ80" s="244"/>
      <c r="DK80" s="244"/>
      <c r="DL80" s="244"/>
      <c r="DM80" s="244"/>
      <c r="DN80" s="244"/>
      <c r="DO80" s="244"/>
      <c r="DP80" s="244"/>
      <c r="DQ80" s="244"/>
      <c r="DR80" s="244"/>
      <c r="DS80" s="244"/>
      <c r="DT80" s="244"/>
      <c r="DU80" s="244"/>
      <c r="DV80" s="244"/>
      <c r="DW80" s="244"/>
      <c r="DX80" s="244"/>
      <c r="DY80" s="244"/>
      <c r="DZ80" s="244"/>
      <c r="EA80" s="244"/>
      <c r="EB80" s="244"/>
      <c r="EC80" s="244"/>
      <c r="ED80" s="244"/>
      <c r="EE80" s="244"/>
      <c r="EF80" s="244"/>
      <c r="EG80" s="244"/>
      <c r="EH80" s="244"/>
      <c r="EI80" s="244"/>
      <c r="EJ80" s="244"/>
      <c r="EK80" s="244"/>
      <c r="EL80" s="244"/>
      <c r="EM80" s="244"/>
      <c r="EN80" s="244"/>
      <c r="EO80" s="479">
        <f t="shared" ref="EO80:EQ94" ca="1" si="167">SUM(EO32+EO56)</f>
        <v>2754.9894827187486</v>
      </c>
      <c r="EP80" s="400">
        <f t="shared" ca="1" si="167"/>
        <v>0</v>
      </c>
      <c r="EQ80" s="400">
        <f t="shared" ca="1" si="167"/>
        <v>6153.227886669255</v>
      </c>
      <c r="ER80" s="10">
        <f t="shared" ref="ER80:ER94" ca="1" si="168">0.8*EP80+0.2*EO80</f>
        <v>550.99789654374979</v>
      </c>
      <c r="ES80" s="400">
        <f t="shared" ref="ES80:ES94" ca="1" si="169">0.8*EQ80+0.2*EO80</f>
        <v>5473.5802058791542</v>
      </c>
      <c r="ET80" s="400">
        <f t="shared" ref="ET80:ET94" ca="1" si="170">EO80-ER80</f>
        <v>2203.9915861749987</v>
      </c>
      <c r="EU80" s="400">
        <f t="shared" ref="EU80:EU94" ca="1" si="171">ES80-EO80</f>
        <v>2718.5907231604056</v>
      </c>
      <c r="EX80" s="479">
        <f t="shared" ref="EX80:EX94" ca="1" si="172">(BE80*AllProps_SSW+EO80*AllProps_CAM)/AllProps_All</f>
        <v>2021.7457027218131</v>
      </c>
      <c r="EY80" s="592">
        <f t="shared" ca="1" si="157"/>
        <v>0</v>
      </c>
      <c r="EZ80" s="244">
        <f t="shared" ca="1" si="158"/>
        <v>5776.7936187465993</v>
      </c>
      <c r="FA80" s="244">
        <f t="shared" ca="1" si="159"/>
        <v>404.13557498566598</v>
      </c>
      <c r="FB80" s="244">
        <f t="shared" ca="1" si="160"/>
        <v>5025.1319070005675</v>
      </c>
      <c r="FC80" s="260">
        <f t="shared" ca="1" si="161"/>
        <v>1616.5422999426637</v>
      </c>
      <c r="FD80" s="589">
        <f t="shared" ca="1" si="162"/>
        <v>3004.4540320722385</v>
      </c>
      <c r="FE80" s="260"/>
      <c r="FF80" s="260"/>
      <c r="FG80" s="260"/>
      <c r="FH80" s="260"/>
    </row>
    <row r="81" spans="1:164" x14ac:dyDescent="0.35">
      <c r="A81" s="200" t="s">
        <v>131</v>
      </c>
      <c r="B81" s="7" t="s">
        <v>132</v>
      </c>
      <c r="C81" s="7" t="s">
        <v>127</v>
      </c>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479">
        <f t="shared" ca="1" si="163"/>
        <v>1979.9402028464265</v>
      </c>
      <c r="BF81" s="400">
        <f t="shared" ca="1" si="163"/>
        <v>0</v>
      </c>
      <c r="BG81" s="400">
        <f t="shared" ca="1" si="163"/>
        <v>8183.5063963924322</v>
      </c>
      <c r="BH81" s="10">
        <f t="shared" ca="1" si="164"/>
        <v>395.98804056928532</v>
      </c>
      <c r="BI81" s="400">
        <f t="shared" ca="1" si="165"/>
        <v>6942.7931576832316</v>
      </c>
      <c r="BJ81" s="400">
        <f t="shared" ca="1" si="166"/>
        <v>1583.9521622771413</v>
      </c>
      <c r="BK81" s="400">
        <f t="shared" ca="1" si="156"/>
        <v>4962.8529548368051</v>
      </c>
      <c r="BL81" s="400"/>
      <c r="BM81" s="400"/>
      <c r="BN81" s="400"/>
      <c r="BO81" s="400"/>
      <c r="BP81" s="400"/>
      <c r="BQ81" s="400"/>
      <c r="BR81" s="400"/>
      <c r="BS81" s="400"/>
      <c r="BT81" s="400"/>
      <c r="BU81" s="688"/>
      <c r="BV81" s="244"/>
      <c r="BW81" s="244"/>
      <c r="BX81" s="244"/>
      <c r="BY81" s="244"/>
      <c r="BZ81" s="244"/>
      <c r="CA81" s="244"/>
      <c r="CB81" s="244"/>
      <c r="CC81" s="244"/>
      <c r="CD81" s="244"/>
      <c r="CE81" s="244"/>
      <c r="CF81" s="244"/>
      <c r="CG81" s="244"/>
      <c r="CH81" s="244"/>
      <c r="CI81" s="244"/>
      <c r="CJ81" s="244"/>
      <c r="CK81" s="244"/>
      <c r="CL81" s="244"/>
      <c r="CM81" s="244"/>
      <c r="CN81" s="244"/>
      <c r="CO81" s="244"/>
      <c r="CP81" s="244"/>
      <c r="CQ81" s="244"/>
      <c r="CR81" s="244"/>
      <c r="CS81" s="244"/>
      <c r="CT81" s="244"/>
      <c r="CU81" s="244"/>
      <c r="CV81" s="244"/>
      <c r="CW81" s="244"/>
      <c r="CX81" s="244"/>
      <c r="CY81" s="244"/>
      <c r="CZ81" s="244"/>
      <c r="DA81" s="244"/>
      <c r="DB81" s="244"/>
      <c r="DC81" s="244"/>
      <c r="DD81" s="244"/>
      <c r="DE81" s="244"/>
      <c r="DF81" s="244"/>
      <c r="DG81" s="244"/>
      <c r="DH81" s="244"/>
      <c r="DI81" s="244"/>
      <c r="DJ81" s="244"/>
      <c r="DK81" s="244"/>
      <c r="DL81" s="244"/>
      <c r="DM81" s="244"/>
      <c r="DN81" s="244"/>
      <c r="DO81" s="244"/>
      <c r="DP81" s="244"/>
      <c r="DQ81" s="244"/>
      <c r="DR81" s="244"/>
      <c r="DS81" s="244"/>
      <c r="DT81" s="244"/>
      <c r="DU81" s="244"/>
      <c r="DV81" s="244"/>
      <c r="DW81" s="244"/>
      <c r="DX81" s="244"/>
      <c r="DY81" s="244"/>
      <c r="DZ81" s="244"/>
      <c r="EA81" s="244"/>
      <c r="EB81" s="244"/>
      <c r="EC81" s="244"/>
      <c r="ED81" s="244"/>
      <c r="EE81" s="244"/>
      <c r="EF81" s="244"/>
      <c r="EG81" s="244"/>
      <c r="EH81" s="244"/>
      <c r="EI81" s="244"/>
      <c r="EJ81" s="244"/>
      <c r="EK81" s="244"/>
      <c r="EL81" s="244"/>
      <c r="EM81" s="244"/>
      <c r="EN81" s="244"/>
      <c r="EO81" s="479">
        <f t="shared" ca="1" si="167"/>
        <v>2650.9181039591072</v>
      </c>
      <c r="EP81" s="400">
        <f t="shared" ca="1" si="167"/>
        <v>0</v>
      </c>
      <c r="EQ81" s="400">
        <f t="shared" ca="1" si="167"/>
        <v>8554.1784919447655</v>
      </c>
      <c r="ER81" s="10">
        <f t="shared" ca="1" si="168"/>
        <v>530.18362079182145</v>
      </c>
      <c r="ES81" s="400">
        <f t="shared" ca="1" si="169"/>
        <v>7373.5264143476343</v>
      </c>
      <c r="ET81" s="400">
        <f t="shared" ca="1" si="170"/>
        <v>2120.7344831672858</v>
      </c>
      <c r="EU81" s="400">
        <f t="shared" ca="1" si="171"/>
        <v>4722.6083103885267</v>
      </c>
      <c r="EX81" s="479">
        <f t="shared" ca="1" si="172"/>
        <v>2115.7281242265567</v>
      </c>
      <c r="EY81" s="592">
        <f t="shared" ca="1" si="157"/>
        <v>0</v>
      </c>
      <c r="EZ81" s="244">
        <f t="shared" ca="1" si="158"/>
        <v>8258.5204814840599</v>
      </c>
      <c r="FA81" s="244">
        <f t="shared" ca="1" si="159"/>
        <v>422.98974469992379</v>
      </c>
      <c r="FB81" s="244">
        <f t="shared" ca="1" si="160"/>
        <v>7029.4616749055704</v>
      </c>
      <c r="FC81" s="260">
        <f t="shared" ca="1" si="161"/>
        <v>1691.9589787996952</v>
      </c>
      <c r="FD81" s="589">
        <f t="shared" ca="1" si="162"/>
        <v>4914.5129514059508</v>
      </c>
      <c r="FE81" s="260"/>
      <c r="FF81" s="260"/>
      <c r="FG81" s="260"/>
      <c r="FH81" s="260"/>
    </row>
    <row r="82" spans="1:164" x14ac:dyDescent="0.35">
      <c r="A82" s="200" t="s">
        <v>133</v>
      </c>
      <c r="B82" s="7" t="s">
        <v>134</v>
      </c>
      <c r="C82" s="7" t="s">
        <v>127</v>
      </c>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479">
        <f t="shared" ca="1" si="163"/>
        <v>39.632513912111534</v>
      </c>
      <c r="BF82" s="400">
        <f t="shared" ca="1" si="163"/>
        <v>0</v>
      </c>
      <c r="BG82" s="400">
        <f t="shared" ca="1" si="163"/>
        <v>89.000191001054716</v>
      </c>
      <c r="BH82" s="10">
        <f t="shared" ca="1" si="164"/>
        <v>7.9265027824223075</v>
      </c>
      <c r="BI82" s="400">
        <f t="shared" ca="1" si="165"/>
        <v>79.126655583266086</v>
      </c>
      <c r="BJ82" s="400">
        <f t="shared" ca="1" si="166"/>
        <v>31.706011129689227</v>
      </c>
      <c r="BK82" s="400">
        <f t="shared" ca="1" si="156"/>
        <v>39.494141671154551</v>
      </c>
      <c r="BL82" s="400"/>
      <c r="BM82" s="400"/>
      <c r="BN82" s="400"/>
      <c r="BO82" s="400"/>
      <c r="BP82" s="400"/>
      <c r="BQ82" s="400"/>
      <c r="BR82" s="400"/>
      <c r="BS82" s="400"/>
      <c r="BT82" s="400"/>
      <c r="BU82" s="688"/>
      <c r="BV82" s="244"/>
      <c r="BW82" s="244"/>
      <c r="BX82" s="244"/>
      <c r="BY82" s="244"/>
      <c r="BZ82" s="244"/>
      <c r="CA82" s="244"/>
      <c r="CB82" s="244"/>
      <c r="CC82" s="244"/>
      <c r="CD82" s="244"/>
      <c r="CE82" s="244"/>
      <c r="CF82" s="244"/>
      <c r="CG82" s="244"/>
      <c r="CH82" s="244"/>
      <c r="CI82" s="244"/>
      <c r="CJ82" s="244"/>
      <c r="CK82" s="244"/>
      <c r="CL82" s="244"/>
      <c r="CM82" s="244"/>
      <c r="CN82" s="244"/>
      <c r="CO82" s="244"/>
      <c r="CP82" s="244"/>
      <c r="CQ82" s="244"/>
      <c r="CR82" s="244"/>
      <c r="CS82" s="244"/>
      <c r="CT82" s="244"/>
      <c r="CU82" s="244"/>
      <c r="CV82" s="244"/>
      <c r="CW82" s="244"/>
      <c r="CX82" s="244"/>
      <c r="CY82" s="244"/>
      <c r="CZ82" s="244"/>
      <c r="DA82" s="244"/>
      <c r="DB82" s="244"/>
      <c r="DC82" s="244"/>
      <c r="DD82" s="244"/>
      <c r="DE82" s="244"/>
      <c r="DF82" s="244"/>
      <c r="DG82" s="244"/>
      <c r="DH82" s="244"/>
      <c r="DI82" s="244"/>
      <c r="DJ82" s="244"/>
      <c r="DK82" s="244"/>
      <c r="DL82" s="244"/>
      <c r="DM82" s="244"/>
      <c r="DN82" s="244"/>
      <c r="DO82" s="244"/>
      <c r="DP82" s="244"/>
      <c r="DQ82" s="244"/>
      <c r="DR82" s="244"/>
      <c r="DS82" s="244"/>
      <c r="DT82" s="244"/>
      <c r="DU82" s="244"/>
      <c r="DV82" s="244"/>
      <c r="DW82" s="244"/>
      <c r="DX82" s="244"/>
      <c r="DY82" s="244"/>
      <c r="DZ82" s="244"/>
      <c r="EA82" s="244"/>
      <c r="EB82" s="244"/>
      <c r="EC82" s="244"/>
      <c r="ED82" s="244"/>
      <c r="EE82" s="244"/>
      <c r="EF82" s="244"/>
      <c r="EG82" s="244"/>
      <c r="EH82" s="244"/>
      <c r="EI82" s="244"/>
      <c r="EJ82" s="244"/>
      <c r="EK82" s="244"/>
      <c r="EL82" s="244"/>
      <c r="EM82" s="244"/>
      <c r="EN82" s="244"/>
      <c r="EO82" s="479">
        <f t="shared" ca="1" si="167"/>
        <v>34.22810337922693</v>
      </c>
      <c r="EP82" s="400">
        <f t="shared" ca="1" si="167"/>
        <v>0</v>
      </c>
      <c r="EQ82" s="400">
        <f t="shared" ca="1" si="167"/>
        <v>152.62108061352069</v>
      </c>
      <c r="ER82" s="10">
        <f t="shared" ca="1" si="168"/>
        <v>6.8456206758453861</v>
      </c>
      <c r="ES82" s="400">
        <f t="shared" ca="1" si="169"/>
        <v>128.94248516666195</v>
      </c>
      <c r="ET82" s="400">
        <f t="shared" ca="1" si="170"/>
        <v>27.382482703381545</v>
      </c>
      <c r="EU82" s="400">
        <f t="shared" ca="1" si="171"/>
        <v>94.71438178743503</v>
      </c>
      <c r="EX82" s="479">
        <f t="shared" ca="1" si="172"/>
        <v>38.538806248523308</v>
      </c>
      <c r="EY82" s="592">
        <f t="shared" ca="1" si="157"/>
        <v>0</v>
      </c>
      <c r="EZ82" s="244">
        <f t="shared" ca="1" si="158"/>
        <v>101.87535178132113</v>
      </c>
      <c r="FA82" s="244">
        <f t="shared" ca="1" si="159"/>
        <v>7.7090167907563156</v>
      </c>
      <c r="FB82" s="244">
        <f t="shared" ca="1" si="160"/>
        <v>89.150177141893934</v>
      </c>
      <c r="FC82" s="260">
        <f t="shared" ca="1" si="161"/>
        <v>30.836067163025263</v>
      </c>
      <c r="FD82" s="589">
        <f t="shared" ca="1" si="162"/>
        <v>50.605093188112349</v>
      </c>
      <c r="FE82" s="260"/>
      <c r="FF82" s="260"/>
      <c r="FG82" s="260"/>
      <c r="FH82" s="260"/>
    </row>
    <row r="83" spans="1:164" x14ac:dyDescent="0.35">
      <c r="A83" s="200" t="s">
        <v>135</v>
      </c>
      <c r="B83" s="7" t="s">
        <v>136</v>
      </c>
      <c r="C83" s="7" t="s">
        <v>127</v>
      </c>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479">
        <f t="shared" ca="1" si="163"/>
        <v>330.49228732004951</v>
      </c>
      <c r="BF83" s="400">
        <f t="shared" ca="1" si="163"/>
        <v>0</v>
      </c>
      <c r="BG83" s="400">
        <f t="shared" ca="1" si="163"/>
        <v>1107.4953805085502</v>
      </c>
      <c r="BH83" s="10">
        <f t="shared" ca="1" si="164"/>
        <v>66.098457464009911</v>
      </c>
      <c r="BI83" s="400">
        <f t="shared" ca="1" si="165"/>
        <v>952.09476187085011</v>
      </c>
      <c r="BJ83" s="400">
        <f t="shared" ca="1" si="166"/>
        <v>264.39382985603959</v>
      </c>
      <c r="BK83" s="400">
        <f t="shared" ca="1" si="156"/>
        <v>621.60247455080059</v>
      </c>
      <c r="BL83" s="400"/>
      <c r="BM83" s="400"/>
      <c r="BN83" s="400"/>
      <c r="BO83" s="400"/>
      <c r="BP83" s="400"/>
      <c r="BQ83" s="400"/>
      <c r="BR83" s="400"/>
      <c r="BS83" s="400"/>
      <c r="BT83" s="400"/>
      <c r="BU83" s="688"/>
      <c r="BV83" s="244"/>
      <c r="BW83" s="244"/>
      <c r="BX83" s="244"/>
      <c r="BY83" s="244"/>
      <c r="BZ83" s="244"/>
      <c r="CA83" s="244"/>
      <c r="CB83" s="244"/>
      <c r="CC83" s="244"/>
      <c r="CD83" s="244"/>
      <c r="CE83" s="244"/>
      <c r="CF83" s="244"/>
      <c r="CG83" s="244"/>
      <c r="CH83" s="244"/>
      <c r="CI83" s="244"/>
      <c r="CJ83" s="244"/>
      <c r="CK83" s="244"/>
      <c r="CL83" s="244"/>
      <c r="CM83" s="244"/>
      <c r="CN83" s="244"/>
      <c r="CO83" s="244"/>
      <c r="CP83" s="244"/>
      <c r="CQ83" s="244"/>
      <c r="CR83" s="244"/>
      <c r="CS83" s="244"/>
      <c r="CT83" s="244"/>
      <c r="CU83" s="244"/>
      <c r="CV83" s="244"/>
      <c r="CW83" s="244"/>
      <c r="CX83" s="244"/>
      <c r="CY83" s="244"/>
      <c r="CZ83" s="244"/>
      <c r="DA83" s="244"/>
      <c r="DB83" s="244"/>
      <c r="DC83" s="244"/>
      <c r="DD83" s="244"/>
      <c r="DE83" s="244"/>
      <c r="DF83" s="244"/>
      <c r="DG83" s="244"/>
      <c r="DH83" s="244"/>
      <c r="DI83" s="244"/>
      <c r="DJ83" s="244"/>
      <c r="DK83" s="244"/>
      <c r="DL83" s="244"/>
      <c r="DM83" s="244"/>
      <c r="DN83" s="244"/>
      <c r="DO83" s="244"/>
      <c r="DP83" s="244"/>
      <c r="DQ83" s="244"/>
      <c r="DR83" s="244"/>
      <c r="DS83" s="244"/>
      <c r="DT83" s="244"/>
      <c r="DU83" s="244"/>
      <c r="DV83" s="244"/>
      <c r="DW83" s="244"/>
      <c r="DX83" s="244"/>
      <c r="DY83" s="244"/>
      <c r="DZ83" s="244"/>
      <c r="EA83" s="244"/>
      <c r="EB83" s="244"/>
      <c r="EC83" s="244"/>
      <c r="ED83" s="244"/>
      <c r="EE83" s="244"/>
      <c r="EF83" s="244"/>
      <c r="EG83" s="244"/>
      <c r="EH83" s="244"/>
      <c r="EI83" s="244"/>
      <c r="EJ83" s="244"/>
      <c r="EK83" s="244"/>
      <c r="EL83" s="244"/>
      <c r="EM83" s="244"/>
      <c r="EN83" s="244"/>
      <c r="EO83" s="479">
        <f t="shared" ca="1" si="167"/>
        <v>1087.5916525909597</v>
      </c>
      <c r="EP83" s="400">
        <f t="shared" ca="1" si="167"/>
        <v>5.6902010050251253</v>
      </c>
      <c r="EQ83" s="400">
        <f t="shared" ca="1" si="167"/>
        <v>5921.7388013003156</v>
      </c>
      <c r="ER83" s="10">
        <f t="shared" ca="1" si="168"/>
        <v>222.07049132221206</v>
      </c>
      <c r="ES83" s="400">
        <f t="shared" ca="1" si="169"/>
        <v>4954.909371558444</v>
      </c>
      <c r="ET83" s="400">
        <f t="shared" ca="1" si="170"/>
        <v>865.52116126874762</v>
      </c>
      <c r="EU83" s="400">
        <f t="shared" ca="1" si="171"/>
        <v>3867.3177189674843</v>
      </c>
      <c r="EX83" s="479">
        <f t="shared" ca="1" si="172"/>
        <v>483.70888196179777</v>
      </c>
      <c r="EY83" s="674">
        <f t="shared" ca="1" si="157"/>
        <v>1.1515439859139738</v>
      </c>
      <c r="EZ83" s="244">
        <f t="shared" ca="1" si="158"/>
        <v>2081.7690578431166</v>
      </c>
      <c r="FA83" s="244">
        <f t="shared" ca="1" si="159"/>
        <v>97.481836140931804</v>
      </c>
      <c r="FB83" s="244">
        <f t="shared" ca="1" si="160"/>
        <v>1757.5073961867358</v>
      </c>
      <c r="FC83" s="260">
        <f t="shared" ca="1" si="161"/>
        <v>385.34760732568219</v>
      </c>
      <c r="FD83" s="589">
        <f t="shared" ca="1" si="162"/>
        <v>1274.6779527201218</v>
      </c>
      <c r="FE83" s="260"/>
      <c r="FF83" s="260"/>
      <c r="FG83" s="260"/>
      <c r="FH83" s="260"/>
    </row>
    <row r="84" spans="1:164" x14ac:dyDescent="0.35">
      <c r="A84" s="200" t="s">
        <v>137</v>
      </c>
      <c r="B84" s="7" t="s">
        <v>138</v>
      </c>
      <c r="C84" s="7" t="s">
        <v>127</v>
      </c>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479">
        <f t="shared" ca="1" si="163"/>
        <v>3227.6939780397211</v>
      </c>
      <c r="BF84" s="400">
        <f t="shared" ca="1" si="163"/>
        <v>0</v>
      </c>
      <c r="BG84" s="400">
        <f t="shared" ca="1" si="163"/>
        <v>17013.984525745043</v>
      </c>
      <c r="BH84" s="10">
        <f t="shared" ca="1" si="164"/>
        <v>645.53879560794428</v>
      </c>
      <c r="BI84" s="400">
        <f t="shared" ca="1" si="165"/>
        <v>14256.726416203981</v>
      </c>
      <c r="BJ84" s="400">
        <f t="shared" ca="1" si="166"/>
        <v>2582.1551824317767</v>
      </c>
      <c r="BK84" s="400">
        <f t="shared" ca="1" si="156"/>
        <v>11029.03243816426</v>
      </c>
      <c r="BL84" s="400"/>
      <c r="BM84" s="400"/>
      <c r="BN84" s="400"/>
      <c r="BO84" s="400"/>
      <c r="BP84" s="400"/>
      <c r="BQ84" s="400"/>
      <c r="BR84" s="400"/>
      <c r="BS84" s="400"/>
      <c r="BT84" s="400"/>
      <c r="BU84" s="688"/>
      <c r="BV84" s="244"/>
      <c r="BW84" s="244"/>
      <c r="BX84" s="244"/>
      <c r="BY84" s="244"/>
      <c r="BZ84" s="244"/>
      <c r="CA84" s="244"/>
      <c r="CB84" s="244"/>
      <c r="CC84" s="244"/>
      <c r="CD84" s="244"/>
      <c r="CE84" s="244"/>
      <c r="CF84" s="244"/>
      <c r="CG84" s="244"/>
      <c r="CH84" s="244"/>
      <c r="CI84" s="244"/>
      <c r="CJ84" s="244"/>
      <c r="CK84" s="244"/>
      <c r="CL84" s="244"/>
      <c r="CM84" s="244"/>
      <c r="CN84" s="244"/>
      <c r="CO84" s="244"/>
      <c r="CP84" s="244"/>
      <c r="CQ84" s="244"/>
      <c r="CR84" s="244"/>
      <c r="CS84" s="244"/>
      <c r="CT84" s="244"/>
      <c r="CU84" s="244"/>
      <c r="CV84" s="244"/>
      <c r="CW84" s="244"/>
      <c r="CX84" s="244"/>
      <c r="CY84" s="244"/>
      <c r="CZ84" s="244"/>
      <c r="DA84" s="244"/>
      <c r="DB84" s="244"/>
      <c r="DC84" s="244"/>
      <c r="DD84" s="244"/>
      <c r="DE84" s="244"/>
      <c r="DF84" s="244"/>
      <c r="DG84" s="244"/>
      <c r="DH84" s="244"/>
      <c r="DI84" s="244"/>
      <c r="DJ84" s="244"/>
      <c r="DK84" s="244"/>
      <c r="DL84" s="244"/>
      <c r="DM84" s="244"/>
      <c r="DN84" s="244"/>
      <c r="DO84" s="244"/>
      <c r="DP84" s="244"/>
      <c r="DQ84" s="244"/>
      <c r="DR84" s="244"/>
      <c r="DS84" s="244"/>
      <c r="DT84" s="244"/>
      <c r="DU84" s="244"/>
      <c r="DV84" s="244"/>
      <c r="DW84" s="244"/>
      <c r="DX84" s="244"/>
      <c r="DY84" s="244"/>
      <c r="DZ84" s="244"/>
      <c r="EA84" s="244"/>
      <c r="EB84" s="244"/>
      <c r="EC84" s="244"/>
      <c r="ED84" s="244"/>
      <c r="EE84" s="244"/>
      <c r="EF84" s="244"/>
      <c r="EG84" s="244"/>
      <c r="EH84" s="244"/>
      <c r="EI84" s="244"/>
      <c r="EJ84" s="244"/>
      <c r="EK84" s="244"/>
      <c r="EL84" s="244"/>
      <c r="EM84" s="244"/>
      <c r="EN84" s="244"/>
      <c r="EO84" s="479">
        <f t="shared" ca="1" si="167"/>
        <v>3927.134754152306</v>
      </c>
      <c r="EP84" s="400">
        <f t="shared" ca="1" si="167"/>
        <v>0</v>
      </c>
      <c r="EQ84" s="400">
        <f t="shared" ca="1" si="167"/>
        <v>16854.538482235195</v>
      </c>
      <c r="ER84" s="10">
        <f t="shared" ca="1" si="168"/>
        <v>785.42695083046124</v>
      </c>
      <c r="ES84" s="400">
        <f t="shared" ca="1" si="169"/>
        <v>14269.057736618617</v>
      </c>
      <c r="ET84" s="400">
        <f t="shared" ca="1" si="170"/>
        <v>3141.7078033218449</v>
      </c>
      <c r="EU84" s="400">
        <f t="shared" ca="1" si="171"/>
        <v>10341.922982466311</v>
      </c>
      <c r="EX84" s="479">
        <f t="shared" ca="1" si="172"/>
        <v>3369.2420215137831</v>
      </c>
      <c r="EY84" s="592">
        <f t="shared" ca="1" si="157"/>
        <v>0</v>
      </c>
      <c r="EZ84" s="244">
        <f t="shared" ca="1" si="158"/>
        <v>16981.716925300101</v>
      </c>
      <c r="FA84" s="244">
        <f t="shared" ca="1" si="159"/>
        <v>673.68591172335948</v>
      </c>
      <c r="FB84" s="244">
        <f t="shared" ca="1" si="160"/>
        <v>14259.207620613426</v>
      </c>
      <c r="FC84" s="260">
        <f t="shared" ca="1" si="161"/>
        <v>2694.7436468934375</v>
      </c>
      <c r="FD84" s="589">
        <f t="shared" ca="1" si="162"/>
        <v>10890.778061996629</v>
      </c>
      <c r="FE84" s="260"/>
      <c r="FF84" s="260"/>
      <c r="FG84" s="260"/>
      <c r="FH84" s="260"/>
    </row>
    <row r="85" spans="1:164" x14ac:dyDescent="0.35">
      <c r="A85" s="200" t="s">
        <v>139</v>
      </c>
      <c r="B85" s="7" t="s">
        <v>140</v>
      </c>
      <c r="C85" s="7" t="s">
        <v>127</v>
      </c>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479">
        <f t="shared" ca="1" si="163"/>
        <v>1124.9901217261836</v>
      </c>
      <c r="BF85" s="400">
        <f t="shared" ca="1" si="163"/>
        <v>0</v>
      </c>
      <c r="BG85" s="400">
        <f t="shared" ca="1" si="163"/>
        <v>4682.2881288028357</v>
      </c>
      <c r="BH85" s="10">
        <f t="shared" ca="1" si="164"/>
        <v>224.99802434523673</v>
      </c>
      <c r="BI85" s="400">
        <f t="shared" ca="1" si="165"/>
        <v>3970.8285273875058</v>
      </c>
      <c r="BJ85" s="400">
        <f t="shared" ca="1" si="166"/>
        <v>899.99209738094692</v>
      </c>
      <c r="BK85" s="400">
        <f t="shared" ca="1" si="156"/>
        <v>2845.8384056613222</v>
      </c>
      <c r="BL85" s="400"/>
      <c r="BM85" s="400"/>
      <c r="BN85" s="400"/>
      <c r="BO85" s="400"/>
      <c r="BP85" s="400"/>
      <c r="BQ85" s="400"/>
      <c r="BR85" s="400"/>
      <c r="BS85" s="400"/>
      <c r="BT85" s="400"/>
      <c r="BU85" s="688"/>
      <c r="BV85" s="244"/>
      <c r="BW85" s="244"/>
      <c r="BX85" s="244"/>
      <c r="BY85" s="244"/>
      <c r="BZ85" s="244"/>
      <c r="CA85" s="244"/>
      <c r="CB85" s="244"/>
      <c r="CC85" s="244"/>
      <c r="CD85" s="244"/>
      <c r="CE85" s="244"/>
      <c r="CF85" s="244"/>
      <c r="CG85" s="244"/>
      <c r="CH85" s="244"/>
      <c r="CI85" s="244"/>
      <c r="CJ85" s="244"/>
      <c r="CK85" s="244"/>
      <c r="CL85" s="244"/>
      <c r="CM85" s="244"/>
      <c r="CN85" s="244"/>
      <c r="CO85" s="244"/>
      <c r="CP85" s="244"/>
      <c r="CQ85" s="244"/>
      <c r="CR85" s="244"/>
      <c r="CS85" s="244"/>
      <c r="CT85" s="244"/>
      <c r="CU85" s="244"/>
      <c r="CV85" s="244"/>
      <c r="CW85" s="244"/>
      <c r="CX85" s="244"/>
      <c r="CY85" s="244"/>
      <c r="CZ85" s="244"/>
      <c r="DA85" s="244"/>
      <c r="DB85" s="244"/>
      <c r="DC85" s="244"/>
      <c r="DD85" s="244"/>
      <c r="DE85" s="244"/>
      <c r="DF85" s="244"/>
      <c r="DG85" s="244"/>
      <c r="DH85" s="244"/>
      <c r="DI85" s="244"/>
      <c r="DJ85" s="244"/>
      <c r="DK85" s="244"/>
      <c r="DL85" s="244"/>
      <c r="DM85" s="244"/>
      <c r="DN85" s="244"/>
      <c r="DO85" s="244"/>
      <c r="DP85" s="244"/>
      <c r="DQ85" s="244"/>
      <c r="DR85" s="244"/>
      <c r="DS85" s="244"/>
      <c r="DT85" s="244"/>
      <c r="DU85" s="244"/>
      <c r="DV85" s="244"/>
      <c r="DW85" s="244"/>
      <c r="DX85" s="244"/>
      <c r="DY85" s="244"/>
      <c r="DZ85" s="244"/>
      <c r="EA85" s="244"/>
      <c r="EB85" s="244"/>
      <c r="EC85" s="244"/>
      <c r="ED85" s="244"/>
      <c r="EE85" s="244"/>
      <c r="EF85" s="244"/>
      <c r="EG85" s="244"/>
      <c r="EH85" s="244"/>
      <c r="EI85" s="244"/>
      <c r="EJ85" s="244"/>
      <c r="EK85" s="244"/>
      <c r="EL85" s="244"/>
      <c r="EM85" s="244"/>
      <c r="EN85" s="244"/>
      <c r="EO85" s="479">
        <f t="shared" ca="1" si="167"/>
        <v>1422.0325068713653</v>
      </c>
      <c r="EP85" s="400">
        <f t="shared" ca="1" si="167"/>
        <v>0</v>
      </c>
      <c r="EQ85" s="400">
        <f t="shared" ca="1" si="167"/>
        <v>4729.8383015777144</v>
      </c>
      <c r="ER85" s="10">
        <f t="shared" ca="1" si="168"/>
        <v>284.40650137427309</v>
      </c>
      <c r="ES85" s="400">
        <f t="shared" ca="1" si="169"/>
        <v>4068.2771426364448</v>
      </c>
      <c r="ET85" s="400">
        <f t="shared" ca="1" si="170"/>
        <v>1137.6260054970921</v>
      </c>
      <c r="EU85" s="400">
        <f t="shared" ca="1" si="171"/>
        <v>2646.2446357650797</v>
      </c>
      <c r="EX85" s="479">
        <f t="shared" ca="1" si="172"/>
        <v>1185.1035292970932</v>
      </c>
      <c r="EY85" s="592">
        <f t="shared" ca="1" si="157"/>
        <v>0</v>
      </c>
      <c r="EZ85" s="244">
        <f t="shared" ca="1" si="158"/>
        <v>4691.9110077555697</v>
      </c>
      <c r="FA85" s="244">
        <f t="shared" ca="1" si="159"/>
        <v>236.95169761025593</v>
      </c>
      <c r="FB85" s="244">
        <f t="shared" ca="1" si="160"/>
        <v>3990.4363167985193</v>
      </c>
      <c r="FC85" s="260">
        <f t="shared" ca="1" si="161"/>
        <v>947.80679044102374</v>
      </c>
      <c r="FD85" s="589">
        <f t="shared" ca="1" si="162"/>
        <v>2805.6778287472398</v>
      </c>
      <c r="FE85" s="260"/>
      <c r="FF85" s="260"/>
      <c r="FG85" s="260"/>
      <c r="FH85" s="260"/>
    </row>
    <row r="86" spans="1:164" x14ac:dyDescent="0.35">
      <c r="A86" s="200" t="s">
        <v>141</v>
      </c>
      <c r="B86" s="7" t="s">
        <v>142</v>
      </c>
      <c r="C86" s="7" t="s">
        <v>127</v>
      </c>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479">
        <f t="shared" ca="1" si="163"/>
        <v>21048.503770088868</v>
      </c>
      <c r="BF86" s="400">
        <f t="shared" ca="1" si="163"/>
        <v>318.85255794360069</v>
      </c>
      <c r="BG86" s="400">
        <f t="shared" ca="1" si="163"/>
        <v>89794.303455166242</v>
      </c>
      <c r="BH86" s="10">
        <f t="shared" ca="1" si="164"/>
        <v>4464.7828003726545</v>
      </c>
      <c r="BI86" s="400">
        <f t="shared" ca="1" si="165"/>
        <v>76045.14351815077</v>
      </c>
      <c r="BJ86" s="400">
        <f t="shared" ca="1" si="166"/>
        <v>16583.720969716214</v>
      </c>
      <c r="BK86" s="400">
        <f t="shared" ca="1" si="156"/>
        <v>54996.639748061905</v>
      </c>
      <c r="BL86" s="400"/>
      <c r="BM86" s="400"/>
      <c r="BN86" s="400"/>
      <c r="BO86" s="400"/>
      <c r="BP86" s="400"/>
      <c r="BQ86" s="400"/>
      <c r="BR86" s="400"/>
      <c r="BS86" s="400"/>
      <c r="BT86" s="400"/>
      <c r="BU86" s="688"/>
      <c r="BV86" s="244"/>
      <c r="BW86" s="244"/>
      <c r="BX86" s="244"/>
      <c r="BY86" s="244"/>
      <c r="BZ86" s="244"/>
      <c r="CA86" s="244"/>
      <c r="CB86" s="244"/>
      <c r="CC86" s="244"/>
      <c r="CD86" s="244"/>
      <c r="CE86" s="244"/>
      <c r="CF86" s="244"/>
      <c r="CG86" s="244"/>
      <c r="CH86" s="244"/>
      <c r="CI86" s="244"/>
      <c r="CJ86" s="244"/>
      <c r="CK86" s="244"/>
      <c r="CL86" s="244"/>
      <c r="CM86" s="244"/>
      <c r="CN86" s="244"/>
      <c r="CO86" s="244"/>
      <c r="CP86" s="244"/>
      <c r="CQ86" s="244"/>
      <c r="CR86" s="244"/>
      <c r="CS86" s="244"/>
      <c r="CT86" s="244"/>
      <c r="CU86" s="244"/>
      <c r="CV86" s="244"/>
      <c r="CW86" s="244"/>
      <c r="CX86" s="244"/>
      <c r="CY86" s="244"/>
      <c r="CZ86" s="244"/>
      <c r="DA86" s="244"/>
      <c r="DB86" s="244"/>
      <c r="DC86" s="244"/>
      <c r="DD86" s="244"/>
      <c r="DE86" s="244"/>
      <c r="DF86" s="244"/>
      <c r="DG86" s="244"/>
      <c r="DH86" s="244"/>
      <c r="DI86" s="244"/>
      <c r="DJ86" s="244"/>
      <c r="DK86" s="244"/>
      <c r="DL86" s="244"/>
      <c r="DM86" s="244"/>
      <c r="DN86" s="244"/>
      <c r="DO86" s="244"/>
      <c r="DP86" s="244"/>
      <c r="DQ86" s="244"/>
      <c r="DR86" s="244"/>
      <c r="DS86" s="244"/>
      <c r="DT86" s="244"/>
      <c r="DU86" s="244"/>
      <c r="DV86" s="244"/>
      <c r="DW86" s="244"/>
      <c r="DX86" s="244"/>
      <c r="DY86" s="244"/>
      <c r="DZ86" s="244"/>
      <c r="EA86" s="244"/>
      <c r="EB86" s="244"/>
      <c r="EC86" s="244"/>
      <c r="ED86" s="244"/>
      <c r="EE86" s="244"/>
      <c r="EF86" s="244"/>
      <c r="EG86" s="244"/>
      <c r="EH86" s="244"/>
      <c r="EI86" s="244"/>
      <c r="EJ86" s="244"/>
      <c r="EK86" s="244"/>
      <c r="EL86" s="244"/>
      <c r="EM86" s="244"/>
      <c r="EN86" s="244"/>
      <c r="EO86" s="479">
        <f t="shared" ca="1" si="167"/>
        <v>34522.766690312841</v>
      </c>
      <c r="EP86" s="400">
        <f t="shared" ca="1" si="167"/>
        <v>153.33650806266579</v>
      </c>
      <c r="EQ86" s="400">
        <f t="shared" ca="1" si="167"/>
        <v>145131.79638831917</v>
      </c>
      <c r="ER86" s="10">
        <f t="shared" ca="1" si="168"/>
        <v>7027.2225445127015</v>
      </c>
      <c r="ES86" s="400">
        <f t="shared" ca="1" si="169"/>
        <v>123009.99044871792</v>
      </c>
      <c r="ET86" s="400">
        <f t="shared" ca="1" si="170"/>
        <v>27495.544145800141</v>
      </c>
      <c r="EU86" s="400">
        <f t="shared" ca="1" si="171"/>
        <v>88487.223758405074</v>
      </c>
      <c r="EX86" s="479">
        <f t="shared" ca="1" si="172"/>
        <v>23775.333001025512</v>
      </c>
      <c r="EY86" s="592">
        <f t="shared" ca="1" si="157"/>
        <v>285.35655109879747</v>
      </c>
      <c r="EZ86" s="244">
        <f t="shared" ca="1" si="158"/>
        <v>100993.12703388583</v>
      </c>
      <c r="FA86" s="244">
        <f t="shared" ca="1" si="159"/>
        <v>4980.3753385853179</v>
      </c>
      <c r="FB86" s="244">
        <f t="shared" ca="1" si="160"/>
        <v>85495.014365290161</v>
      </c>
      <c r="FC86" s="260">
        <f t="shared" ca="1" si="161"/>
        <v>18779.306103279221</v>
      </c>
      <c r="FD86" s="589">
        <f t="shared" ca="1" si="162"/>
        <v>61735.332923425623</v>
      </c>
      <c r="FE86" s="260"/>
      <c r="FF86" s="260"/>
      <c r="FG86" s="260"/>
      <c r="FH86" s="260"/>
    </row>
    <row r="87" spans="1:164" x14ac:dyDescent="0.35">
      <c r="A87" s="200" t="s">
        <v>143</v>
      </c>
      <c r="B87" s="7" t="s">
        <v>144</v>
      </c>
      <c r="C87" s="7" t="s">
        <v>145</v>
      </c>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479">
        <f t="shared" ca="1" si="163"/>
        <v>731367.05490990565</v>
      </c>
      <c r="BF87" s="400">
        <f t="shared" ca="1" si="163"/>
        <v>0</v>
      </c>
      <c r="BG87" s="400">
        <f t="shared" ca="1" si="163"/>
        <v>1665377.3035033229</v>
      </c>
      <c r="BH87" s="10">
        <f t="shared" ca="1" si="164"/>
        <v>146273.41098198114</v>
      </c>
      <c r="BI87" s="400">
        <f t="shared" ca="1" si="165"/>
        <v>1478575.2537846395</v>
      </c>
      <c r="BJ87" s="400">
        <f t="shared" ca="1" si="166"/>
        <v>585093.64392792457</v>
      </c>
      <c r="BK87" s="400">
        <f t="shared" ca="1" si="156"/>
        <v>747208.19887473388</v>
      </c>
      <c r="BL87" s="400"/>
      <c r="BM87" s="400"/>
      <c r="BN87" s="400"/>
      <c r="BO87" s="400"/>
      <c r="BP87" s="400"/>
      <c r="BQ87" s="400"/>
      <c r="BR87" s="400"/>
      <c r="BS87" s="400"/>
      <c r="BT87" s="400"/>
      <c r="BU87" s="688"/>
      <c r="BV87" s="244"/>
      <c r="BW87" s="244"/>
      <c r="BX87" s="244"/>
      <c r="BY87" s="244"/>
      <c r="BZ87" s="244"/>
      <c r="CA87" s="244"/>
      <c r="CB87" s="244"/>
      <c r="CC87" s="244"/>
      <c r="CD87" s="244"/>
      <c r="CE87" s="244"/>
      <c r="CF87" s="244"/>
      <c r="CG87" s="244"/>
      <c r="CH87" s="244"/>
      <c r="CI87" s="244"/>
      <c r="CJ87" s="244"/>
      <c r="CK87" s="244"/>
      <c r="CL87" s="244"/>
      <c r="CM87" s="244"/>
      <c r="CN87" s="244"/>
      <c r="CO87" s="244"/>
      <c r="CP87" s="244"/>
      <c r="CQ87" s="244"/>
      <c r="CR87" s="244"/>
      <c r="CS87" s="244"/>
      <c r="CT87" s="244"/>
      <c r="CU87" s="244"/>
      <c r="CV87" s="244"/>
      <c r="CW87" s="244"/>
      <c r="CX87" s="244"/>
      <c r="CY87" s="244"/>
      <c r="CZ87" s="244"/>
      <c r="DA87" s="244"/>
      <c r="DB87" s="244"/>
      <c r="DC87" s="244"/>
      <c r="DD87" s="244"/>
      <c r="DE87" s="244"/>
      <c r="DF87" s="244"/>
      <c r="DG87" s="244"/>
      <c r="DH87" s="244"/>
      <c r="DI87" s="244"/>
      <c r="DJ87" s="244"/>
      <c r="DK87" s="244"/>
      <c r="DL87" s="244"/>
      <c r="DM87" s="244"/>
      <c r="DN87" s="244"/>
      <c r="DO87" s="244"/>
      <c r="DP87" s="244"/>
      <c r="DQ87" s="244"/>
      <c r="DR87" s="244"/>
      <c r="DS87" s="244"/>
      <c r="DT87" s="244"/>
      <c r="DU87" s="244"/>
      <c r="DV87" s="244"/>
      <c r="DW87" s="244"/>
      <c r="DX87" s="244"/>
      <c r="DY87" s="244"/>
      <c r="DZ87" s="244"/>
      <c r="EA87" s="244"/>
      <c r="EB87" s="244"/>
      <c r="EC87" s="244"/>
      <c r="ED87" s="244"/>
      <c r="EE87" s="244"/>
      <c r="EF87" s="244"/>
      <c r="EG87" s="244"/>
      <c r="EH87" s="244"/>
      <c r="EI87" s="244"/>
      <c r="EJ87" s="244"/>
      <c r="EK87" s="244"/>
      <c r="EL87" s="244"/>
      <c r="EM87" s="244"/>
      <c r="EN87" s="244"/>
      <c r="EO87" s="479">
        <f t="shared" ca="1" si="167"/>
        <v>504546.9951568016</v>
      </c>
      <c r="EP87" s="400">
        <f t="shared" ca="1" si="167"/>
        <v>0</v>
      </c>
      <c r="EQ87" s="400">
        <f t="shared" ca="1" si="167"/>
        <v>1419814.6559999997</v>
      </c>
      <c r="ER87" s="10">
        <f t="shared" ca="1" si="168"/>
        <v>100909.39903136033</v>
      </c>
      <c r="ES87" s="400">
        <f t="shared" ca="1" si="169"/>
        <v>1236761.1238313601</v>
      </c>
      <c r="ET87" s="400">
        <f t="shared" ca="1" si="170"/>
        <v>403637.59612544125</v>
      </c>
      <c r="EU87" s="400">
        <f t="shared" ca="1" si="171"/>
        <v>732214.1286745586</v>
      </c>
      <c r="EX87" s="479">
        <f t="shared" ca="1" si="172"/>
        <v>685464.76157041371</v>
      </c>
      <c r="EY87" s="592">
        <f t="shared" ca="1" si="157"/>
        <v>0</v>
      </c>
      <c r="EZ87" s="244">
        <f t="shared" ca="1" si="158"/>
        <v>1615682.0133636883</v>
      </c>
      <c r="FA87" s="244">
        <f t="shared" ca="1" si="159"/>
        <v>137145.64666337875</v>
      </c>
      <c r="FB87" s="244">
        <f t="shared" ca="1" si="160"/>
        <v>1429919.4517024953</v>
      </c>
      <c r="FC87" s="260">
        <f t="shared" ca="1" si="161"/>
        <v>548582.586653515</v>
      </c>
      <c r="FD87" s="589">
        <f t="shared" ca="1" si="162"/>
        <v>744191.21838560177</v>
      </c>
      <c r="FE87" s="260"/>
      <c r="FF87" s="260"/>
      <c r="FG87" s="260"/>
      <c r="FH87" s="260"/>
    </row>
    <row r="88" spans="1:164" x14ac:dyDescent="0.35">
      <c r="A88" s="200" t="s">
        <v>146</v>
      </c>
      <c r="B88" s="7" t="s">
        <v>147</v>
      </c>
      <c r="C88" s="7" t="s">
        <v>145</v>
      </c>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479">
        <f t="shared" ca="1" si="163"/>
        <v>4957754.6414963342</v>
      </c>
      <c r="BF88" s="400">
        <f t="shared" ca="1" si="163"/>
        <v>409026.0048</v>
      </c>
      <c r="BG88" s="400">
        <f t="shared" ca="1" si="163"/>
        <v>10241817.252593232</v>
      </c>
      <c r="BH88" s="10">
        <f t="shared" ca="1" si="164"/>
        <v>1318771.7321392668</v>
      </c>
      <c r="BI88" s="400">
        <f t="shared" ca="1" si="165"/>
        <v>9185004.730373852</v>
      </c>
      <c r="BJ88" s="400">
        <f t="shared" ca="1" si="166"/>
        <v>3638982.9093570672</v>
      </c>
      <c r="BK88" s="400">
        <f t="shared" ca="1" si="156"/>
        <v>4227250.0888775177</v>
      </c>
      <c r="BL88" s="400"/>
      <c r="BM88" s="400"/>
      <c r="BN88" s="400"/>
      <c r="BO88" s="400"/>
      <c r="BP88" s="400"/>
      <c r="BQ88" s="400"/>
      <c r="BR88" s="400"/>
      <c r="BS88" s="400"/>
      <c r="BT88" s="400"/>
      <c r="BU88" s="688"/>
      <c r="BV88" s="244"/>
      <c r="BW88" s="244"/>
      <c r="BX88" s="244"/>
      <c r="BY88" s="244"/>
      <c r="BZ88" s="244"/>
      <c r="CA88" s="244"/>
      <c r="CB88" s="244"/>
      <c r="CC88" s="244"/>
      <c r="CD88" s="244"/>
      <c r="CE88" s="244"/>
      <c r="CF88" s="244"/>
      <c r="CG88" s="244"/>
      <c r="CH88" s="244"/>
      <c r="CI88" s="244"/>
      <c r="CJ88" s="244"/>
      <c r="CK88" s="244"/>
      <c r="CL88" s="244"/>
      <c r="CM88" s="244"/>
      <c r="CN88" s="244"/>
      <c r="CO88" s="244"/>
      <c r="CP88" s="244"/>
      <c r="CQ88" s="244"/>
      <c r="CR88" s="244"/>
      <c r="CS88" s="244"/>
      <c r="CT88" s="244"/>
      <c r="CU88" s="244"/>
      <c r="CV88" s="244"/>
      <c r="CW88" s="244"/>
      <c r="CX88" s="244"/>
      <c r="CY88" s="244"/>
      <c r="CZ88" s="244"/>
      <c r="DA88" s="244"/>
      <c r="DB88" s="244"/>
      <c r="DC88" s="244"/>
      <c r="DD88" s="244"/>
      <c r="DE88" s="244"/>
      <c r="DF88" s="244"/>
      <c r="DG88" s="244"/>
      <c r="DH88" s="244"/>
      <c r="DI88" s="244"/>
      <c r="DJ88" s="244"/>
      <c r="DK88" s="244"/>
      <c r="DL88" s="244"/>
      <c r="DM88" s="244"/>
      <c r="DN88" s="244"/>
      <c r="DO88" s="244"/>
      <c r="DP88" s="244"/>
      <c r="DQ88" s="244"/>
      <c r="DR88" s="244"/>
      <c r="DS88" s="244"/>
      <c r="DT88" s="244"/>
      <c r="DU88" s="244"/>
      <c r="DV88" s="244"/>
      <c r="DW88" s="244"/>
      <c r="DX88" s="244"/>
      <c r="DY88" s="244"/>
      <c r="DZ88" s="244"/>
      <c r="EA88" s="244"/>
      <c r="EB88" s="244"/>
      <c r="EC88" s="244"/>
      <c r="ED88" s="244"/>
      <c r="EE88" s="244"/>
      <c r="EF88" s="244"/>
      <c r="EG88" s="244"/>
      <c r="EH88" s="244"/>
      <c r="EI88" s="244"/>
      <c r="EJ88" s="244"/>
      <c r="EK88" s="244"/>
      <c r="EL88" s="244"/>
      <c r="EM88" s="244"/>
      <c r="EN88" s="244"/>
      <c r="EO88" s="479">
        <f t="shared" ca="1" si="167"/>
        <v>2006451.38148598</v>
      </c>
      <c r="EP88" s="400">
        <f t="shared" ca="1" si="167"/>
        <v>701068.87731756456</v>
      </c>
      <c r="EQ88" s="400">
        <f t="shared" ca="1" si="167"/>
        <v>2866283.4769271854</v>
      </c>
      <c r="ER88" s="10">
        <f t="shared" ca="1" si="168"/>
        <v>962145.37815124774</v>
      </c>
      <c r="ES88" s="400">
        <f t="shared" ca="1" si="169"/>
        <v>2694317.0578389447</v>
      </c>
      <c r="ET88" s="400">
        <f t="shared" ca="1" si="170"/>
        <v>1044306.0033347323</v>
      </c>
      <c r="EU88" s="400">
        <f t="shared" ca="1" si="171"/>
        <v>687865.67635296471</v>
      </c>
      <c r="EX88" s="479">
        <f t="shared" ca="1" si="172"/>
        <v>4360490.0603906941</v>
      </c>
      <c r="EY88" s="592">
        <f t="shared" ca="1" si="157"/>
        <v>468127.64517784421</v>
      </c>
      <c r="EZ88" s="244">
        <f t="shared" ca="1" si="158"/>
        <v>8749207.1400905158</v>
      </c>
      <c r="FA88" s="244">
        <f t="shared" ca="1" si="159"/>
        <v>1247014.3815647976</v>
      </c>
      <c r="FB88" s="244">
        <f t="shared" ca="1" si="160"/>
        <v>7879003.2372729797</v>
      </c>
      <c r="FC88" s="260">
        <f t="shared" ca="1" si="161"/>
        <v>3116903.8810102753</v>
      </c>
      <c r="FD88" s="589">
        <f t="shared" ca="1" si="162"/>
        <v>3515084.9746979051</v>
      </c>
      <c r="FE88" s="260"/>
      <c r="FF88" s="260"/>
      <c r="FG88" s="260"/>
      <c r="FH88" s="260"/>
    </row>
    <row r="89" spans="1:164" x14ac:dyDescent="0.35">
      <c r="A89" s="200" t="s">
        <v>40</v>
      </c>
      <c r="B89" s="7" t="s">
        <v>40</v>
      </c>
      <c r="C89" s="7" t="s">
        <v>148</v>
      </c>
      <c r="D89" s="244"/>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479">
        <f t="shared" ca="1" si="163"/>
        <v>147946.95006209196</v>
      </c>
      <c r="BF89" s="400">
        <f t="shared" ca="1" si="163"/>
        <v>7522.6030400999907</v>
      </c>
      <c r="BG89" s="400">
        <f t="shared" ca="1" si="163"/>
        <v>429166.85370224167</v>
      </c>
      <c r="BH89" s="10">
        <f t="shared" ca="1" si="164"/>
        <v>35607.472444498388</v>
      </c>
      <c r="BI89" s="400">
        <f t="shared" ca="1" si="165"/>
        <v>372922.87297421176</v>
      </c>
      <c r="BJ89" s="400">
        <f t="shared" ca="1" si="166"/>
        <v>112339.47761759357</v>
      </c>
      <c r="BK89" s="400">
        <f t="shared" ca="1" si="156"/>
        <v>224975.9229121198</v>
      </c>
      <c r="BL89" s="400"/>
      <c r="BM89" s="400"/>
      <c r="BN89" s="400"/>
      <c r="BO89" s="400"/>
      <c r="BP89" s="400"/>
      <c r="BQ89" s="400"/>
      <c r="BR89" s="400"/>
      <c r="BS89" s="400"/>
      <c r="BT89" s="400"/>
      <c r="BU89" s="688"/>
      <c r="BV89" s="244"/>
      <c r="BW89" s="244"/>
      <c r="BX89" s="244"/>
      <c r="BY89" s="244"/>
      <c r="BZ89" s="244"/>
      <c r="CA89" s="244"/>
      <c r="CB89" s="244"/>
      <c r="CC89" s="244"/>
      <c r="CD89" s="244"/>
      <c r="CE89" s="244"/>
      <c r="CF89" s="244"/>
      <c r="CG89" s="244"/>
      <c r="CH89" s="244"/>
      <c r="CI89" s="244"/>
      <c r="CJ89" s="244"/>
      <c r="CK89" s="244"/>
      <c r="CL89" s="244"/>
      <c r="CM89" s="244"/>
      <c r="CN89" s="244"/>
      <c r="CO89" s="244"/>
      <c r="CP89" s="244"/>
      <c r="CQ89" s="244"/>
      <c r="CR89" s="244"/>
      <c r="CS89" s="244"/>
      <c r="CT89" s="244"/>
      <c r="CU89" s="244"/>
      <c r="CV89" s="244"/>
      <c r="CW89" s="244"/>
      <c r="CX89" s="244"/>
      <c r="CY89" s="244"/>
      <c r="CZ89" s="244"/>
      <c r="DA89" s="244"/>
      <c r="DB89" s="244"/>
      <c r="DC89" s="244"/>
      <c r="DD89" s="244"/>
      <c r="DE89" s="244"/>
      <c r="DF89" s="244"/>
      <c r="DG89" s="244"/>
      <c r="DH89" s="244"/>
      <c r="DI89" s="244"/>
      <c r="DJ89" s="244"/>
      <c r="DK89" s="244"/>
      <c r="DL89" s="244"/>
      <c r="DM89" s="244"/>
      <c r="DN89" s="244"/>
      <c r="DO89" s="244"/>
      <c r="DP89" s="244"/>
      <c r="DQ89" s="244"/>
      <c r="DR89" s="244"/>
      <c r="DS89" s="244"/>
      <c r="DT89" s="244"/>
      <c r="DU89" s="244"/>
      <c r="DV89" s="244"/>
      <c r="DW89" s="244"/>
      <c r="DX89" s="244"/>
      <c r="DY89" s="244"/>
      <c r="DZ89" s="244"/>
      <c r="EA89" s="244"/>
      <c r="EB89" s="244"/>
      <c r="EC89" s="244"/>
      <c r="ED89" s="244"/>
      <c r="EE89" s="244"/>
      <c r="EF89" s="244"/>
      <c r="EG89" s="244"/>
      <c r="EH89" s="244"/>
      <c r="EI89" s="244"/>
      <c r="EJ89" s="244"/>
      <c r="EK89" s="244"/>
      <c r="EL89" s="244"/>
      <c r="EM89" s="244"/>
      <c r="EN89" s="244"/>
      <c r="EO89" s="479">
        <f t="shared" ca="1" si="167"/>
        <v>258542.0311916942</v>
      </c>
      <c r="EP89" s="400">
        <f t="shared" ca="1" si="167"/>
        <v>22926.97013788715</v>
      </c>
      <c r="EQ89" s="400">
        <f t="shared" ca="1" si="167"/>
        <v>883072.41576073261</v>
      </c>
      <c r="ER89" s="10">
        <f t="shared" ca="1" si="168"/>
        <v>70049.982348648569</v>
      </c>
      <c r="ES89" s="400">
        <f t="shared" ca="1" si="169"/>
        <v>758166.33884692495</v>
      </c>
      <c r="ET89" s="400">
        <f t="shared" ca="1" si="170"/>
        <v>188492.04884304563</v>
      </c>
      <c r="EU89" s="400">
        <f t="shared" ca="1" si="171"/>
        <v>499624.30765523075</v>
      </c>
      <c r="EX89" s="479">
        <f t="shared" ca="1" si="172"/>
        <v>170328.42664507939</v>
      </c>
      <c r="EY89" s="592">
        <f t="shared" ca="1" si="157"/>
        <v>10640.033561904478</v>
      </c>
      <c r="EZ89" s="244">
        <f t="shared" ca="1" si="158"/>
        <v>521025.15883061191</v>
      </c>
      <c r="FA89" s="244">
        <f t="shared" ca="1" si="159"/>
        <v>42537.704128777572</v>
      </c>
      <c r="FB89" s="244">
        <f t="shared" ca="1" si="160"/>
        <v>450438.31771916343</v>
      </c>
      <c r="FC89" s="260">
        <f t="shared" ca="1" si="161"/>
        <v>127662.25645730767</v>
      </c>
      <c r="FD89" s="589">
        <f t="shared" ca="1" si="162"/>
        <v>280238.35713307821</v>
      </c>
      <c r="FE89" s="260"/>
      <c r="FF89" s="260"/>
      <c r="FG89" s="260"/>
      <c r="FH89" s="260"/>
    </row>
    <row r="90" spans="1:164" x14ac:dyDescent="0.35">
      <c r="A90" s="200" t="s">
        <v>41</v>
      </c>
      <c r="B90" s="7" t="s">
        <v>149</v>
      </c>
      <c r="C90" s="7" t="s">
        <v>150</v>
      </c>
      <c r="D90" s="246"/>
      <c r="E90" s="244"/>
      <c r="F90" s="244"/>
      <c r="G90" s="244"/>
      <c r="H90" s="246"/>
      <c r="I90" s="244"/>
      <c r="J90" s="244"/>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479">
        <f t="shared" ca="1" si="163"/>
        <v>8.968990256943778</v>
      </c>
      <c r="BF90" s="400">
        <f t="shared" ca="1" si="163"/>
        <v>1.7719298245614032</v>
      </c>
      <c r="BG90" s="400">
        <f t="shared" ca="1" si="163"/>
        <v>26.493731890352418</v>
      </c>
      <c r="BH90" s="10">
        <f t="shared" ca="1" si="164"/>
        <v>3.2113419110378785</v>
      </c>
      <c r="BI90" s="400">
        <f t="shared" ca="1" si="165"/>
        <v>22.98878356367069</v>
      </c>
      <c r="BJ90" s="400">
        <f t="shared" ca="1" si="166"/>
        <v>5.7576483459058991</v>
      </c>
      <c r="BK90" s="400">
        <f t="shared" ca="1" si="156"/>
        <v>14.019793306726912</v>
      </c>
      <c r="BL90" s="400"/>
      <c r="BM90" s="400"/>
      <c r="BN90" s="400"/>
      <c r="BO90" s="400"/>
      <c r="BP90" s="400"/>
      <c r="BQ90" s="400"/>
      <c r="BR90" s="400"/>
      <c r="BS90" s="400"/>
      <c r="BT90" s="400"/>
      <c r="BU90" s="688"/>
      <c r="BV90" s="244"/>
      <c r="BW90" s="244"/>
      <c r="BX90" s="244"/>
      <c r="BY90" s="244"/>
      <c r="BZ90" s="244"/>
      <c r="CA90" s="244"/>
      <c r="CB90" s="244"/>
      <c r="CC90" s="244"/>
      <c r="CD90" s="244"/>
      <c r="CE90" s="244"/>
      <c r="CF90" s="244"/>
      <c r="CG90" s="244"/>
      <c r="CH90" s="244"/>
      <c r="CI90" s="244"/>
      <c r="CJ90" s="244"/>
      <c r="CK90" s="244"/>
      <c r="CL90" s="244"/>
      <c r="CM90" s="244"/>
      <c r="CN90" s="244"/>
      <c r="CO90" s="244"/>
      <c r="CP90" s="244"/>
      <c r="CQ90" s="244"/>
      <c r="CR90" s="244"/>
      <c r="CS90" s="244"/>
      <c r="CT90" s="244"/>
      <c r="CU90" s="244"/>
      <c r="CV90" s="244"/>
      <c r="CW90" s="244"/>
      <c r="CX90" s="244"/>
      <c r="CY90" s="244"/>
      <c r="CZ90" s="244"/>
      <c r="DA90" s="244"/>
      <c r="DB90" s="244"/>
      <c r="DC90" s="244"/>
      <c r="DD90" s="244"/>
      <c r="DE90" s="244"/>
      <c r="DF90" s="244"/>
      <c r="DG90" s="244"/>
      <c r="DH90" s="244"/>
      <c r="DI90" s="244"/>
      <c r="DJ90" s="244"/>
      <c r="DK90" s="244"/>
      <c r="DL90" s="244"/>
      <c r="DM90" s="244"/>
      <c r="DN90" s="244"/>
      <c r="DO90" s="244"/>
      <c r="DP90" s="244"/>
      <c r="DQ90" s="244"/>
      <c r="DR90" s="244"/>
      <c r="DS90" s="244"/>
      <c r="DT90" s="244"/>
      <c r="DU90" s="244"/>
      <c r="DV90" s="244"/>
      <c r="DW90" s="244"/>
      <c r="DX90" s="244"/>
      <c r="DY90" s="244"/>
      <c r="DZ90" s="244"/>
      <c r="EA90" s="244"/>
      <c r="EB90" s="244"/>
      <c r="EC90" s="244"/>
      <c r="ED90" s="244"/>
      <c r="EE90" s="244"/>
      <c r="EF90" s="244"/>
      <c r="EG90" s="244"/>
      <c r="EH90" s="244"/>
      <c r="EI90" s="244"/>
      <c r="EJ90" s="244"/>
      <c r="EK90" s="244"/>
      <c r="EL90" s="244"/>
      <c r="EM90" s="244"/>
      <c r="EN90" s="244"/>
      <c r="EO90" s="479">
        <f t="shared" ca="1" si="167"/>
        <v>6.2292249888062914</v>
      </c>
      <c r="EP90" s="400">
        <f t="shared" ca="1" si="167"/>
        <v>1.6568526033734807</v>
      </c>
      <c r="EQ90" s="400">
        <f t="shared" ca="1" si="167"/>
        <v>9.4166450083520168</v>
      </c>
      <c r="ER90" s="10">
        <f t="shared" ca="1" si="168"/>
        <v>2.5713270804600432</v>
      </c>
      <c r="ES90" s="400">
        <f t="shared" ca="1" si="169"/>
        <v>8.779161004442873</v>
      </c>
      <c r="ET90" s="400">
        <f t="shared" ca="1" si="170"/>
        <v>3.6578979083462482</v>
      </c>
      <c r="EU90" s="400">
        <f t="shared" ca="1" si="171"/>
        <v>2.5499360156365816</v>
      </c>
      <c r="EX90" s="479">
        <f t="shared" ca="1" si="172"/>
        <v>8.4145352887355376</v>
      </c>
      <c r="EY90" s="592">
        <f t="shared" ca="1" si="157"/>
        <v>1.7486412831095959</v>
      </c>
      <c r="EZ90" s="244">
        <f t="shared" ca="1" si="158"/>
        <v>23.037787771940533</v>
      </c>
      <c r="FA90" s="244">
        <f t="shared" ca="1" si="159"/>
        <v>3.0825635185913796</v>
      </c>
      <c r="FB90" s="244">
        <f t="shared" ca="1" si="160"/>
        <v>20.129643020323037</v>
      </c>
      <c r="FC90" s="260">
        <f t="shared" ca="1" si="161"/>
        <v>5.3351542520680528</v>
      </c>
      <c r="FD90" s="589">
        <f t="shared" ca="1" si="162"/>
        <v>11.711925249663604</v>
      </c>
      <c r="FE90" s="260"/>
      <c r="FF90" s="260"/>
      <c r="FG90" s="260"/>
      <c r="FH90" s="260"/>
    </row>
    <row r="91" spans="1:164" x14ac:dyDescent="0.35">
      <c r="A91" s="7" t="s">
        <v>151</v>
      </c>
      <c r="B91" s="7" t="s">
        <v>152</v>
      </c>
      <c r="C91" s="7" t="s">
        <v>150</v>
      </c>
      <c r="D91" s="90"/>
      <c r="E91" s="90"/>
      <c r="F91" s="90"/>
      <c r="G91" s="90"/>
      <c r="H91" s="90"/>
      <c r="I91" s="90"/>
      <c r="J91" s="90"/>
      <c r="K91" s="90"/>
      <c r="L91" s="90"/>
      <c r="M91" s="90"/>
      <c r="N91" s="90"/>
      <c r="O91" s="90"/>
      <c r="P91" s="90"/>
      <c r="Q91" s="90"/>
      <c r="R91" s="90"/>
      <c r="S91" s="244"/>
      <c r="T91" s="675"/>
      <c r="U91" s="244"/>
      <c r="V91" s="675"/>
      <c r="W91" s="675"/>
      <c r="X91" s="675"/>
      <c r="Y91" s="675"/>
      <c r="Z91" s="675"/>
      <c r="AA91" s="244"/>
      <c r="AB91" s="90"/>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710">
        <f t="shared" ca="1" si="163"/>
        <v>0.30143035209488078</v>
      </c>
      <c r="BF91" s="642">
        <f t="shared" ca="1" si="163"/>
        <v>0</v>
      </c>
      <c r="BG91" s="400">
        <f t="shared" ca="1" si="163"/>
        <v>0.88494403629728691</v>
      </c>
      <c r="BH91" s="10">
        <f t="shared" ca="1" si="164"/>
        <v>6.0286070418976156E-2</v>
      </c>
      <c r="BI91" s="400">
        <f t="shared" ca="1" si="165"/>
        <v>0.76824129945680575</v>
      </c>
      <c r="BJ91" s="642">
        <f t="shared" ca="1" si="166"/>
        <v>0.24114428167590463</v>
      </c>
      <c r="BK91" s="642">
        <f t="shared" ca="1" si="156"/>
        <v>0.46681094736192497</v>
      </c>
      <c r="BL91" s="642"/>
      <c r="BM91" s="642"/>
      <c r="BN91" s="642"/>
      <c r="BO91" s="642"/>
      <c r="BP91" s="642"/>
      <c r="BQ91" s="642"/>
      <c r="BR91" s="642"/>
      <c r="BS91" s="642"/>
      <c r="BT91" s="642"/>
      <c r="BU91" s="689"/>
      <c r="BV91" s="244"/>
      <c r="BW91" s="244"/>
      <c r="BX91" s="244"/>
      <c r="BY91" s="244"/>
      <c r="BZ91" s="244"/>
      <c r="CA91" s="244"/>
      <c r="CB91" s="244"/>
      <c r="CC91" s="244"/>
      <c r="CD91" s="244"/>
      <c r="CE91" s="244"/>
      <c r="CF91" s="244"/>
      <c r="CG91" s="244"/>
      <c r="CH91" s="244"/>
      <c r="CI91" s="244"/>
      <c r="CJ91" s="244"/>
      <c r="CK91" s="244"/>
      <c r="CL91" s="244"/>
      <c r="CM91" s="244"/>
      <c r="CN91" s="244"/>
      <c r="CO91" s="675"/>
      <c r="CP91" s="675"/>
      <c r="CQ91" s="675"/>
      <c r="CR91" s="675"/>
      <c r="CS91" s="244"/>
      <c r="CT91" s="244"/>
      <c r="CU91" s="244"/>
      <c r="CV91" s="244"/>
      <c r="CW91" s="244"/>
      <c r="CX91" s="244"/>
      <c r="CY91" s="244"/>
      <c r="CZ91" s="244"/>
      <c r="DA91" s="244"/>
      <c r="DB91" s="244"/>
      <c r="DC91" s="244"/>
      <c r="DD91" s="244"/>
      <c r="DE91" s="244"/>
      <c r="DF91" s="244"/>
      <c r="DG91" s="244"/>
      <c r="DH91" s="244"/>
      <c r="DI91" s="244"/>
      <c r="DJ91" s="244"/>
      <c r="DK91" s="244"/>
      <c r="DL91" s="244"/>
      <c r="DM91" s="244"/>
      <c r="DN91" s="244"/>
      <c r="DO91" s="244"/>
      <c r="DP91" s="244"/>
      <c r="DQ91" s="244"/>
      <c r="DR91" s="244"/>
      <c r="DS91" s="244"/>
      <c r="DT91" s="244"/>
      <c r="DU91" s="244"/>
      <c r="DV91" s="244"/>
      <c r="DW91" s="244"/>
      <c r="DX91" s="244"/>
      <c r="DY91" s="244"/>
      <c r="DZ91" s="244"/>
      <c r="EA91" s="244"/>
      <c r="EB91" s="244"/>
      <c r="EC91" s="244"/>
      <c r="ED91" s="244"/>
      <c r="EE91" s="244"/>
      <c r="EF91" s="244"/>
      <c r="EG91" s="244"/>
      <c r="EH91" s="244"/>
      <c r="EI91" s="244"/>
      <c r="EJ91" s="244"/>
      <c r="EK91" s="244"/>
      <c r="EL91" s="244"/>
      <c r="EM91" s="244"/>
      <c r="EN91" s="244"/>
      <c r="EO91" s="479">
        <f t="shared" ca="1" si="167"/>
        <v>1.3357107560905652</v>
      </c>
      <c r="EP91" s="400">
        <f t="shared" ca="1" si="167"/>
        <v>0</v>
      </c>
      <c r="EQ91" s="400">
        <f t="shared" ca="1" si="167"/>
        <v>2.8979999999999997</v>
      </c>
      <c r="ER91" s="10">
        <f t="shared" ca="1" si="168"/>
        <v>0.26714215121811308</v>
      </c>
      <c r="ES91" s="400">
        <f t="shared" ca="1" si="169"/>
        <v>2.5855421512181129</v>
      </c>
      <c r="ET91" s="400">
        <f t="shared" ca="1" si="170"/>
        <v>1.0685686048724521</v>
      </c>
      <c r="EU91" s="400">
        <f t="shared" ca="1" si="171"/>
        <v>1.2498313951275477</v>
      </c>
      <c r="EX91" s="650">
        <f t="shared" ca="1" si="172"/>
        <v>0.51074095077462756</v>
      </c>
      <c r="EY91" s="704">
        <f t="shared" ca="1" si="157"/>
        <v>0</v>
      </c>
      <c r="EZ91" s="244">
        <f t="shared" ca="1" si="158"/>
        <v>1.2923325426546088</v>
      </c>
      <c r="FA91" s="246">
        <f t="shared" ca="1" si="159"/>
        <v>0.10190790835208381</v>
      </c>
      <c r="FB91" s="244">
        <f t="shared" ca="1" si="160"/>
        <v>1.1339032671180591</v>
      </c>
      <c r="FC91" s="10">
        <f t="shared" ca="1" si="161"/>
        <v>0.40763163340833525</v>
      </c>
      <c r="FD91" s="641">
        <f t="shared" ca="1" si="162"/>
        <v>0.62436372535764006</v>
      </c>
      <c r="FE91" s="10"/>
      <c r="FF91" s="10"/>
      <c r="FG91" s="10"/>
      <c r="FH91" s="10"/>
    </row>
    <row r="92" spans="1:164" x14ac:dyDescent="0.35">
      <c r="A92" s="200" t="s">
        <v>153</v>
      </c>
      <c r="B92" s="7" t="s">
        <v>154</v>
      </c>
      <c r="C92" s="7" t="s">
        <v>155</v>
      </c>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479">
        <f t="shared" ca="1" si="163"/>
        <v>14135.6900472614</v>
      </c>
      <c r="BF92" s="400">
        <f t="shared" ca="1" si="163"/>
        <v>0</v>
      </c>
      <c r="BG92" s="400">
        <f t="shared" ca="1" si="163"/>
        <v>46733.04151578428</v>
      </c>
      <c r="BH92" s="10">
        <f t="shared" ca="1" si="164"/>
        <v>2827.1380094522801</v>
      </c>
      <c r="BI92" s="400">
        <f t="shared" ca="1" si="165"/>
        <v>40213.571222079707</v>
      </c>
      <c r="BJ92" s="400">
        <f t="shared" ca="1" si="166"/>
        <v>11308.552037809121</v>
      </c>
      <c r="BK92" s="400">
        <f t="shared" ca="1" si="156"/>
        <v>26077.881174818307</v>
      </c>
      <c r="BL92" s="400"/>
      <c r="BM92" s="400"/>
      <c r="BN92" s="400"/>
      <c r="BO92" s="400"/>
      <c r="BP92" s="400"/>
      <c r="BQ92" s="400"/>
      <c r="BR92" s="400"/>
      <c r="BS92" s="400"/>
      <c r="BT92" s="400"/>
      <c r="BU92" s="688"/>
      <c r="BV92" s="244"/>
      <c r="BW92" s="244"/>
      <c r="BX92" s="244"/>
      <c r="BY92" s="244"/>
      <c r="BZ92" s="244"/>
      <c r="CA92" s="244"/>
      <c r="CB92" s="244"/>
      <c r="CC92" s="244"/>
      <c r="CD92" s="244"/>
      <c r="CE92" s="244"/>
      <c r="CF92" s="244"/>
      <c r="CG92" s="244"/>
      <c r="CH92" s="244"/>
      <c r="CI92" s="244"/>
      <c r="CJ92" s="244"/>
      <c r="CK92" s="244"/>
      <c r="CL92" s="244"/>
      <c r="CM92" s="244"/>
      <c r="CN92" s="244"/>
      <c r="CO92" s="244"/>
      <c r="CP92" s="244"/>
      <c r="CQ92" s="244"/>
      <c r="CR92" s="244"/>
      <c r="CS92" s="244"/>
      <c r="CT92" s="244"/>
      <c r="CU92" s="244"/>
      <c r="CV92" s="244"/>
      <c r="CW92" s="244"/>
      <c r="CX92" s="244"/>
      <c r="CY92" s="244"/>
      <c r="CZ92" s="244"/>
      <c r="DA92" s="244"/>
      <c r="DB92" s="244"/>
      <c r="DC92" s="244"/>
      <c r="DD92" s="244"/>
      <c r="DE92" s="244"/>
      <c r="DF92" s="244"/>
      <c r="DG92" s="244"/>
      <c r="DH92" s="244"/>
      <c r="DI92" s="244"/>
      <c r="DJ92" s="244"/>
      <c r="DK92" s="244"/>
      <c r="DL92" s="244"/>
      <c r="DM92" s="244"/>
      <c r="DN92" s="244"/>
      <c r="DO92" s="244"/>
      <c r="DP92" s="244"/>
      <c r="DQ92" s="244"/>
      <c r="DR92" s="244"/>
      <c r="DS92" s="244"/>
      <c r="DT92" s="244"/>
      <c r="DU92" s="244"/>
      <c r="DV92" s="244"/>
      <c r="DW92" s="244"/>
      <c r="DX92" s="244"/>
      <c r="DY92" s="244"/>
      <c r="DZ92" s="244"/>
      <c r="EA92" s="244"/>
      <c r="EB92" s="244"/>
      <c r="EC92" s="244"/>
      <c r="ED92" s="244"/>
      <c r="EE92" s="244"/>
      <c r="EF92" s="244"/>
      <c r="EG92" s="244"/>
      <c r="EH92" s="244"/>
      <c r="EI92" s="244"/>
      <c r="EJ92" s="244"/>
      <c r="EK92" s="244"/>
      <c r="EL92" s="244"/>
      <c r="EM92" s="244"/>
      <c r="EN92" s="244"/>
      <c r="EO92" s="479">
        <f t="shared" ca="1" si="167"/>
        <v>38708.619554178447</v>
      </c>
      <c r="EP92" s="400">
        <f t="shared" ca="1" si="167"/>
        <v>0</v>
      </c>
      <c r="EQ92" s="400">
        <f t="shared" ca="1" si="167"/>
        <v>169367.98502206086</v>
      </c>
      <c r="ER92" s="10">
        <f t="shared" ca="1" si="168"/>
        <v>7741.7239108356898</v>
      </c>
      <c r="ES92" s="400">
        <f ca="1">0.8*EQ92+0.2*EO92</f>
        <v>143236.11192848437</v>
      </c>
      <c r="ET92" s="400">
        <f ca="1">EO92-ER92</f>
        <v>30966.895643342759</v>
      </c>
      <c r="EU92" s="400">
        <f ca="1">ES92-EO92</f>
        <v>104527.49237430593</v>
      </c>
      <c r="EX92" s="479">
        <f t="shared" ca="1" si="172"/>
        <v>19108.591560756071</v>
      </c>
      <c r="EY92" s="592">
        <f t="shared" ca="1" si="157"/>
        <v>0</v>
      </c>
      <c r="EZ92" s="244">
        <f t="shared" ca="1" si="158"/>
        <v>71551.06315207429</v>
      </c>
      <c r="FA92" s="244">
        <f t="shared" ca="1" si="159"/>
        <v>3816.009581926593</v>
      </c>
      <c r="FB92" s="244">
        <f t="shared" ca="1" si="160"/>
        <v>60942.898956480312</v>
      </c>
      <c r="FC92" s="260">
        <f t="shared" ca="1" si="161"/>
        <v>15264.038327706372</v>
      </c>
      <c r="FD92" s="589">
        <f t="shared" ca="1" si="162"/>
        <v>41862.851046847347</v>
      </c>
      <c r="FE92" s="260"/>
      <c r="FF92" s="260"/>
      <c r="FG92" s="260"/>
      <c r="FH92" s="260"/>
    </row>
    <row r="93" spans="1:164" x14ac:dyDescent="0.35">
      <c r="A93" s="200" t="s">
        <v>156</v>
      </c>
      <c r="B93" s="7" t="s">
        <v>157</v>
      </c>
      <c r="C93" s="7" t="s">
        <v>155</v>
      </c>
      <c r="D93" s="244"/>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479">
        <f t="shared" ca="1" si="163"/>
        <v>14803.018592547865</v>
      </c>
      <c r="BF93" s="400">
        <f t="shared" ca="1" si="163"/>
        <v>4635.4136575535067</v>
      </c>
      <c r="BG93" s="400">
        <f t="shared" ca="1" si="163"/>
        <v>30933.986299190256</v>
      </c>
      <c r="BH93" s="10">
        <f t="shared" ca="1" si="164"/>
        <v>6668.9346445523788</v>
      </c>
      <c r="BI93" s="400">
        <f t="shared" ca="1" si="165"/>
        <v>27707.792757861778</v>
      </c>
      <c r="BJ93" s="400">
        <f t="shared" ca="1" si="166"/>
        <v>8134.0839479954866</v>
      </c>
      <c r="BK93" s="400">
        <f t="shared" ca="1" si="156"/>
        <v>12904.774165313913</v>
      </c>
      <c r="BL93" s="400"/>
      <c r="BM93" s="400"/>
      <c r="BN93" s="400"/>
      <c r="BO93" s="400"/>
      <c r="BP93" s="400"/>
      <c r="BQ93" s="400"/>
      <c r="BR93" s="400"/>
      <c r="BS93" s="400"/>
      <c r="BT93" s="400"/>
      <c r="BU93" s="688"/>
      <c r="BV93" s="244"/>
      <c r="BW93" s="244"/>
      <c r="BX93" s="244"/>
      <c r="BY93" s="244"/>
      <c r="BZ93" s="244"/>
      <c r="CA93" s="244"/>
      <c r="CB93" s="244"/>
      <c r="CC93" s="244"/>
      <c r="CD93" s="244"/>
      <c r="CE93" s="244"/>
      <c r="CF93" s="244"/>
      <c r="CG93" s="244"/>
      <c r="CH93" s="244"/>
      <c r="CI93" s="244"/>
      <c r="CJ93" s="244"/>
      <c r="CK93" s="244"/>
      <c r="CL93" s="244"/>
      <c r="CM93" s="244"/>
      <c r="CN93" s="244"/>
      <c r="CO93" s="244"/>
      <c r="CP93" s="244"/>
      <c r="CQ93" s="244"/>
      <c r="CR93" s="244"/>
      <c r="CS93" s="244"/>
      <c r="CT93" s="244"/>
      <c r="CU93" s="244"/>
      <c r="CV93" s="244"/>
      <c r="CW93" s="244"/>
      <c r="CX93" s="244"/>
      <c r="CY93" s="244"/>
      <c r="CZ93" s="244"/>
      <c r="DA93" s="244"/>
      <c r="DB93" s="244"/>
      <c r="DC93" s="244"/>
      <c r="DD93" s="244"/>
      <c r="DE93" s="244"/>
      <c r="DF93" s="244"/>
      <c r="DG93" s="244"/>
      <c r="DH93" s="244"/>
      <c r="DI93" s="244"/>
      <c r="DJ93" s="244"/>
      <c r="DK93" s="244"/>
      <c r="DL93" s="244"/>
      <c r="DM93" s="244"/>
      <c r="DN93" s="244"/>
      <c r="DO93" s="244"/>
      <c r="DP93" s="244"/>
      <c r="DQ93" s="244"/>
      <c r="DR93" s="244"/>
      <c r="DS93" s="244"/>
      <c r="DT93" s="244"/>
      <c r="DU93" s="244"/>
      <c r="DV93" s="244"/>
      <c r="DW93" s="244"/>
      <c r="DX93" s="244"/>
      <c r="DY93" s="244"/>
      <c r="DZ93" s="244"/>
      <c r="EA93" s="244"/>
      <c r="EB93" s="244"/>
      <c r="EC93" s="244"/>
      <c r="ED93" s="244"/>
      <c r="EE93" s="244"/>
      <c r="EF93" s="244"/>
      <c r="EG93" s="244"/>
      <c r="EH93" s="244"/>
      <c r="EI93" s="244"/>
      <c r="EJ93" s="244"/>
      <c r="EK93" s="244"/>
      <c r="EL93" s="244"/>
      <c r="EM93" s="244"/>
      <c r="EN93" s="244"/>
      <c r="EO93" s="479">
        <f t="shared" ca="1" si="167"/>
        <v>22218.536072019229</v>
      </c>
      <c r="EP93" s="400">
        <f t="shared" ca="1" si="167"/>
        <v>7267.7349677688253</v>
      </c>
      <c r="EQ93" s="400">
        <f t="shared" ca="1" si="167"/>
        <v>35345.166379718947</v>
      </c>
      <c r="ER93" s="10">
        <f t="shared" ca="1" si="168"/>
        <v>10257.895188618906</v>
      </c>
      <c r="ES93" s="400">
        <f t="shared" ca="1" si="169"/>
        <v>32719.840318179005</v>
      </c>
      <c r="ET93" s="400">
        <f ca="1">EO93-ER93</f>
        <v>11960.640883400323</v>
      </c>
      <c r="EU93" s="400">
        <f ca="1">ES93-EO93</f>
        <v>10501.304246159776</v>
      </c>
      <c r="EX93" s="479">
        <f t="shared" ca="1" si="172"/>
        <v>16303.720333731346</v>
      </c>
      <c r="EY93" s="592">
        <f t="shared" ca="1" si="157"/>
        <v>5168.1248519550227</v>
      </c>
      <c r="EZ93" s="244">
        <f t="shared" ca="1" si="158"/>
        <v>31826.690772728252</v>
      </c>
      <c r="FA93" s="244">
        <f t="shared" ca="1" si="159"/>
        <v>7391.0750502700439</v>
      </c>
      <c r="FB93" s="244">
        <f t="shared" ca="1" si="160"/>
        <v>28716.27474428749</v>
      </c>
      <c r="FC93" s="260">
        <f t="shared" ca="1" si="161"/>
        <v>8904.0314979632494</v>
      </c>
      <c r="FD93" s="589">
        <f t="shared" ca="1" si="162"/>
        <v>12421.168196054197</v>
      </c>
      <c r="FE93" s="260"/>
      <c r="FF93" s="260"/>
      <c r="FG93" s="260"/>
      <c r="FH93" s="260"/>
    </row>
    <row r="94" spans="1:164" ht="15" thickBot="1" x14ac:dyDescent="0.4">
      <c r="A94" s="200" t="s">
        <v>158</v>
      </c>
      <c r="B94" s="7" t="s">
        <v>159</v>
      </c>
      <c r="C94" s="7" t="s">
        <v>160</v>
      </c>
      <c r="D94" s="244"/>
      <c r="E94" s="244"/>
      <c r="F94" s="244"/>
      <c r="G94" s="244"/>
      <c r="H94" s="244"/>
      <c r="I94" s="244"/>
      <c r="J94" s="244"/>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480">
        <f t="shared" ca="1" si="163"/>
        <v>1462.966180277087</v>
      </c>
      <c r="BF94" s="400">
        <f t="shared" ca="1" si="163"/>
        <v>661.57756753511194</v>
      </c>
      <c r="BG94" s="400">
        <f t="shared" ca="1" si="163"/>
        <v>2284.4449486431613</v>
      </c>
      <c r="BH94" s="10">
        <f t="shared" ca="1" si="164"/>
        <v>821.85529008350704</v>
      </c>
      <c r="BI94" s="400">
        <f t="shared" ca="1" si="165"/>
        <v>2120.1491949699466</v>
      </c>
      <c r="BJ94" s="400">
        <f t="shared" ca="1" si="166"/>
        <v>641.11089019357996</v>
      </c>
      <c r="BK94" s="400">
        <f t="shared" ca="1" si="156"/>
        <v>657.18301469285962</v>
      </c>
      <c r="BL94" s="400"/>
      <c r="BM94" s="400"/>
      <c r="BN94" s="400"/>
      <c r="BO94" s="400"/>
      <c r="BP94" s="400"/>
      <c r="BQ94" s="400"/>
      <c r="BR94" s="400"/>
      <c r="BS94" s="400"/>
      <c r="BT94" s="400"/>
      <c r="BU94" s="688"/>
      <c r="BV94" s="244"/>
      <c r="BW94" s="244"/>
      <c r="BX94" s="244"/>
      <c r="BY94" s="244"/>
      <c r="BZ94" s="244"/>
      <c r="CA94" s="244"/>
      <c r="CB94" s="244"/>
      <c r="CC94" s="244"/>
      <c r="CD94" s="244"/>
      <c r="CE94" s="244"/>
      <c r="CF94" s="244"/>
      <c r="CG94" s="244"/>
      <c r="CH94" s="244"/>
      <c r="CI94" s="244"/>
      <c r="CJ94" s="244"/>
      <c r="CK94" s="244"/>
      <c r="CL94" s="244"/>
      <c r="CM94" s="244"/>
      <c r="CN94" s="244"/>
      <c r="CO94" s="244"/>
      <c r="CP94" s="244"/>
      <c r="CQ94" s="244"/>
      <c r="CR94" s="244"/>
      <c r="CS94" s="244"/>
      <c r="CT94" s="244"/>
      <c r="CU94" s="244"/>
      <c r="CV94" s="244"/>
      <c r="CW94" s="244"/>
      <c r="CX94" s="244"/>
      <c r="CY94" s="244"/>
      <c r="CZ94" s="244"/>
      <c r="DA94" s="244"/>
      <c r="DB94" s="244"/>
      <c r="DC94" s="244"/>
      <c r="DD94" s="244"/>
      <c r="DE94" s="244"/>
      <c r="DF94" s="244"/>
      <c r="DG94" s="244"/>
      <c r="DH94" s="244"/>
      <c r="DI94" s="244"/>
      <c r="DJ94" s="244"/>
      <c r="DK94" s="244"/>
      <c r="DL94" s="244"/>
      <c r="DM94" s="244"/>
      <c r="DN94" s="244"/>
      <c r="DO94" s="244"/>
      <c r="DP94" s="244"/>
      <c r="DQ94" s="244"/>
      <c r="DR94" s="244"/>
      <c r="DS94" s="244"/>
      <c r="DT94" s="244"/>
      <c r="DU94" s="244"/>
      <c r="DV94" s="244"/>
      <c r="DW94" s="244"/>
      <c r="DX94" s="244"/>
      <c r="DY94" s="244"/>
      <c r="DZ94" s="244"/>
      <c r="EA94" s="244"/>
      <c r="EB94" s="244"/>
      <c r="EC94" s="244"/>
      <c r="ED94" s="244"/>
      <c r="EE94" s="244"/>
      <c r="EF94" s="244"/>
      <c r="EG94" s="244"/>
      <c r="EH94" s="244"/>
      <c r="EI94" s="244"/>
      <c r="EJ94" s="244"/>
      <c r="EK94" s="244"/>
      <c r="EL94" s="244"/>
      <c r="EM94" s="244"/>
      <c r="EN94" s="244"/>
      <c r="EO94" s="479">
        <f t="shared" ca="1" si="167"/>
        <v>1989.5063643555104</v>
      </c>
      <c r="EP94" s="400">
        <f t="shared" ca="1" si="167"/>
        <v>1719.7545780783053</v>
      </c>
      <c r="EQ94" s="400">
        <f t="shared" ca="1" si="167"/>
        <v>2661.2514737529073</v>
      </c>
      <c r="ER94" s="10">
        <f t="shared" ca="1" si="168"/>
        <v>1773.7049353337463</v>
      </c>
      <c r="ES94" s="400">
        <f t="shared" ca="1" si="169"/>
        <v>2526.9024518734282</v>
      </c>
      <c r="ET94" s="400">
        <f t="shared" ca="1" si="170"/>
        <v>215.80142902176408</v>
      </c>
      <c r="EU94" s="400">
        <f t="shared" ca="1" si="171"/>
        <v>537.39608751791775</v>
      </c>
      <c r="EX94" s="480">
        <f t="shared" ca="1" si="172"/>
        <v>1569.5237837399663</v>
      </c>
      <c r="EY94" s="593">
        <f t="shared" ca="1" si="157"/>
        <v>875.72419811060979</v>
      </c>
      <c r="EZ94" s="651">
        <f t="shared" ca="1" si="158"/>
        <v>2360.7004776587578</v>
      </c>
      <c r="FA94" s="651">
        <f t="shared" ca="1" si="159"/>
        <v>1013.3784569067312</v>
      </c>
      <c r="FB94" s="651">
        <f t="shared" ca="1" si="160"/>
        <v>2201.9926586583056</v>
      </c>
      <c r="FC94" s="649">
        <f t="shared" ca="1" si="161"/>
        <v>555.53370340785546</v>
      </c>
      <c r="FD94" s="590">
        <f t="shared" ca="1" si="162"/>
        <v>633.08049834371877</v>
      </c>
      <c r="FE94" s="260"/>
      <c r="FF94" s="260"/>
      <c r="FG94" s="260"/>
      <c r="FH94" s="260"/>
    </row>
    <row r="95" spans="1:164" ht="15" thickBot="1" x14ac:dyDescent="0.4">
      <c r="A95" s="50"/>
      <c r="B95" s="50"/>
      <c r="C95" s="50"/>
      <c r="D95" s="50"/>
      <c r="E95" s="50"/>
      <c r="F95" s="50"/>
      <c r="G95" s="50"/>
      <c r="H95" s="242"/>
      <c r="I95" s="242"/>
      <c r="J95" s="242"/>
      <c r="K95" s="242"/>
      <c r="L95" s="242"/>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V95" s="50"/>
      <c r="BW95" s="50"/>
      <c r="BX95" s="50"/>
      <c r="BY95" s="50"/>
      <c r="BZ95" s="50"/>
      <c r="CA95" s="242"/>
      <c r="CB95" s="242"/>
      <c r="CC95" s="242"/>
      <c r="CD95" s="242"/>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86"/>
      <c r="EP95" s="50"/>
      <c r="EQ95" s="50"/>
      <c r="ER95" s="50"/>
      <c r="ES95" s="50"/>
      <c r="ET95" s="50"/>
      <c r="EU95" s="50"/>
      <c r="EX95" s="50"/>
      <c r="EY95" s="50"/>
      <c r="EZ95" s="50"/>
      <c r="FA95" s="50"/>
      <c r="FB95" s="50"/>
      <c r="FC95" s="50"/>
      <c r="FD95" s="50"/>
      <c r="FE95" s="50"/>
      <c r="FF95" s="50"/>
      <c r="FG95" s="50"/>
      <c r="FH95" s="50"/>
    </row>
    <row r="96" spans="1:164" x14ac:dyDescent="0.35">
      <c r="A96" s="7" t="s">
        <v>167</v>
      </c>
      <c r="C96" s="43"/>
      <c r="AG96" s="5"/>
      <c r="CH96" s="123"/>
      <c r="CY96" s="123" t="s">
        <v>161</v>
      </c>
      <c r="EO96" s="7" t="s">
        <v>168</v>
      </c>
    </row>
    <row r="97" spans="1:166" x14ac:dyDescent="0.35">
      <c r="C97" s="43"/>
      <c r="AG97" s="5"/>
      <c r="CH97" s="123"/>
      <c r="CY97" s="5"/>
    </row>
    <row r="98" spans="1:166" x14ac:dyDescent="0.35">
      <c r="C98" s="43"/>
      <c r="AG98" s="5"/>
      <c r="CH98" s="123"/>
      <c r="CY98" s="5"/>
    </row>
    <row r="99" spans="1:166" x14ac:dyDescent="0.35">
      <c r="C99" s="43"/>
      <c r="AG99" s="5"/>
      <c r="CH99" s="123"/>
      <c r="CY99" s="5"/>
    </row>
    <row r="100" spans="1:166" x14ac:dyDescent="0.35">
      <c r="C100" s="43"/>
    </row>
    <row r="101" spans="1:166" x14ac:dyDescent="0.35">
      <c r="C101" s="43"/>
    </row>
    <row r="102" spans="1:166" ht="19.5" x14ac:dyDescent="0.45">
      <c r="A102" s="640" t="s">
        <v>169</v>
      </c>
      <c r="B102" s="640" t="s">
        <v>24</v>
      </c>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5"/>
      <c r="BR102" s="85"/>
      <c r="BS102" s="85"/>
      <c r="BT102" s="85"/>
      <c r="BU102" s="697"/>
      <c r="BV102" s="640" t="s">
        <v>169</v>
      </c>
      <c r="BW102" s="85"/>
      <c r="BX102" s="640" t="s">
        <v>26</v>
      </c>
      <c r="BY102" s="85"/>
      <c r="BZ102" s="85"/>
      <c r="CA102" s="85"/>
      <c r="CB102" s="85"/>
      <c r="CC102" s="85"/>
      <c r="CD102" s="85"/>
      <c r="CE102" s="85"/>
      <c r="CF102" s="85"/>
      <c r="CG102" s="85"/>
      <c r="CH102" s="85"/>
      <c r="CI102" s="85"/>
      <c r="CJ102" s="85"/>
      <c r="CK102" s="85"/>
      <c r="CL102" s="85"/>
      <c r="CM102" s="85"/>
      <c r="CN102" s="85"/>
      <c r="CO102" s="85"/>
      <c r="CP102" s="85"/>
      <c r="CQ102" s="85"/>
      <c r="CR102" s="85"/>
      <c r="CS102" s="85"/>
      <c r="CT102" s="85"/>
      <c r="CU102" s="85"/>
      <c r="CV102" s="85"/>
      <c r="CW102" s="85"/>
      <c r="CX102" s="85"/>
      <c r="CY102" s="85"/>
      <c r="CZ102" s="85"/>
      <c r="DA102" s="85"/>
      <c r="DB102" s="85"/>
      <c r="DC102" s="85"/>
      <c r="DD102" s="85"/>
      <c r="DE102" s="85"/>
      <c r="DF102" s="85"/>
      <c r="DG102" s="85"/>
      <c r="DH102" s="85"/>
      <c r="DI102" s="85"/>
      <c r="DJ102" s="85"/>
      <c r="DK102" s="85"/>
      <c r="DL102" s="85"/>
      <c r="DM102" s="85"/>
      <c r="DN102" s="85"/>
      <c r="DO102" s="85"/>
      <c r="DP102" s="85"/>
      <c r="DQ102" s="85"/>
      <c r="DR102" s="85"/>
      <c r="DS102" s="85"/>
      <c r="DT102" s="85"/>
      <c r="DU102" s="85"/>
      <c r="DV102" s="85"/>
      <c r="DW102" s="85"/>
      <c r="DX102" s="85"/>
      <c r="DY102" s="85"/>
      <c r="DZ102" s="85"/>
      <c r="EA102" s="85"/>
      <c r="EB102" s="85"/>
      <c r="EC102" s="85"/>
      <c r="ED102" s="85"/>
      <c r="EE102" s="85"/>
      <c r="EF102" s="85"/>
      <c r="EG102" s="85"/>
      <c r="EH102" s="85"/>
      <c r="EI102" s="85"/>
      <c r="EJ102" s="85"/>
      <c r="EK102" s="85"/>
      <c r="EL102" s="85"/>
      <c r="EM102" s="85"/>
      <c r="EN102" s="85"/>
      <c r="EO102" s="85"/>
      <c r="EP102" s="85"/>
      <c r="EQ102" s="85"/>
      <c r="ER102" s="85"/>
      <c r="ES102" s="85"/>
      <c r="ET102" s="50"/>
      <c r="EU102" s="50"/>
      <c r="EX102" s="50"/>
      <c r="EY102" s="50"/>
      <c r="EZ102" s="50"/>
      <c r="FA102" s="50"/>
      <c r="FB102" s="50"/>
      <c r="FC102" s="50"/>
      <c r="FD102" s="50"/>
      <c r="FE102" s="50"/>
      <c r="FF102" s="50"/>
      <c r="FG102" s="50"/>
      <c r="FH102" s="50"/>
    </row>
    <row r="103" spans="1:166" ht="19.5" x14ac:dyDescent="0.45">
      <c r="A103" s="50"/>
      <c r="B103" s="85"/>
      <c r="C103" s="85"/>
      <c r="D103" s="705"/>
      <c r="E103" s="705"/>
      <c r="F103" s="70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5"/>
      <c r="BR103" s="85"/>
      <c r="BS103" s="85"/>
      <c r="BT103" s="85"/>
      <c r="BU103" s="697"/>
      <c r="BV103" s="85"/>
      <c r="BW103" s="85"/>
      <c r="BX103" s="85"/>
      <c r="BY103" s="85"/>
      <c r="BZ103" s="85"/>
      <c r="CA103" s="85"/>
      <c r="CB103" s="85"/>
      <c r="CC103" s="85"/>
      <c r="CD103" s="85"/>
      <c r="CE103" s="85"/>
      <c r="CF103" s="85"/>
      <c r="CG103" s="85"/>
      <c r="CH103" s="85"/>
      <c r="CI103" s="85"/>
      <c r="CJ103" s="85"/>
      <c r="CK103" s="85"/>
      <c r="CL103" s="85"/>
      <c r="CM103" s="85"/>
      <c r="CN103" s="85"/>
      <c r="CO103" s="85"/>
      <c r="CP103" s="85"/>
      <c r="CQ103" s="85"/>
      <c r="CR103" s="85"/>
      <c r="CS103" s="85"/>
      <c r="CT103" s="85"/>
      <c r="CU103" s="85"/>
      <c r="CV103" s="85"/>
      <c r="CW103" s="85"/>
      <c r="CX103" s="85"/>
      <c r="CY103" s="85"/>
      <c r="CZ103" s="85"/>
      <c r="DA103" s="85"/>
      <c r="DB103" s="85"/>
      <c r="DC103" s="85"/>
      <c r="DD103" s="85"/>
      <c r="DE103" s="85"/>
      <c r="DF103" s="85"/>
      <c r="DG103" s="85"/>
      <c r="DH103" s="85"/>
      <c r="DI103" s="85"/>
      <c r="DJ103" s="85"/>
      <c r="DK103" s="85"/>
      <c r="DL103" s="85"/>
      <c r="DM103" s="85"/>
      <c r="DN103" s="85"/>
      <c r="DO103" s="85"/>
      <c r="DP103" s="85"/>
      <c r="DQ103" s="85"/>
      <c r="DR103" s="85"/>
      <c r="DS103" s="85"/>
      <c r="DT103" s="85"/>
      <c r="DU103" s="85"/>
      <c r="DV103" s="85"/>
      <c r="DW103" s="85"/>
      <c r="DX103" s="85"/>
      <c r="DY103" s="85"/>
      <c r="DZ103" s="85"/>
      <c r="EA103" s="85"/>
      <c r="EB103" s="85"/>
      <c r="EC103" s="85"/>
      <c r="ED103" s="85"/>
      <c r="EE103" s="85"/>
      <c r="EF103" s="85"/>
      <c r="EG103" s="85"/>
      <c r="EH103" s="85"/>
      <c r="EI103" s="85"/>
      <c r="EJ103" s="85"/>
      <c r="EK103" s="85"/>
      <c r="EL103" s="85"/>
      <c r="EM103" s="85"/>
      <c r="EN103" s="85"/>
      <c r="EO103" s="85"/>
      <c r="EP103" s="85"/>
      <c r="EQ103" s="85"/>
      <c r="ER103" s="85"/>
      <c r="ES103" s="85"/>
      <c r="ET103" s="50"/>
      <c r="EU103" s="50"/>
      <c r="EX103" s="50"/>
      <c r="EY103" s="50"/>
      <c r="EZ103" s="50"/>
      <c r="FA103" s="50"/>
      <c r="FB103" s="50"/>
      <c r="FC103" s="50"/>
      <c r="FD103" s="50"/>
      <c r="FE103" s="50"/>
      <c r="FF103" s="50"/>
      <c r="FG103" s="50"/>
      <c r="FH103" s="50"/>
    </row>
    <row r="104" spans="1:166" ht="19.5" x14ac:dyDescent="0.45">
      <c r="A104" s="478" t="s">
        <v>170</v>
      </c>
      <c r="D104" s="706" t="s">
        <v>171</v>
      </c>
      <c r="E104" s="706" t="s">
        <v>172</v>
      </c>
      <c r="F104" s="706" t="s">
        <v>173</v>
      </c>
      <c r="G104" s="249"/>
      <c r="H104" s="88"/>
      <c r="I104" s="88"/>
      <c r="J104" s="88"/>
      <c r="K104" s="88"/>
      <c r="L104" s="88"/>
      <c r="BK104" s="402"/>
      <c r="BL104" s="402"/>
      <c r="BM104" s="402"/>
      <c r="BN104" s="402"/>
      <c r="BO104" s="402"/>
      <c r="BP104" s="402"/>
      <c r="BQ104" s="402"/>
      <c r="BR104" s="402"/>
      <c r="BS104" s="402"/>
      <c r="BT104" s="402"/>
      <c r="BU104" s="698"/>
      <c r="BV104" s="100"/>
      <c r="BW104" s="100"/>
      <c r="BX104" s="100"/>
      <c r="BY104" s="100" t="s">
        <v>171</v>
      </c>
      <c r="BZ104" s="51" t="s">
        <v>172</v>
      </c>
      <c r="CA104" s="51" t="s">
        <v>173</v>
      </c>
      <c r="CE104" s="100"/>
      <c r="EY104" s="51" t="s">
        <v>174</v>
      </c>
      <c r="EZ104" s="51" t="s">
        <v>172</v>
      </c>
      <c r="FA104" s="51" t="s">
        <v>173</v>
      </c>
      <c r="FB104" s="51" t="s">
        <v>21</v>
      </c>
      <c r="FC104" s="51" t="s">
        <v>172</v>
      </c>
      <c r="FD104" s="51" t="s">
        <v>173</v>
      </c>
      <c r="FE104" s="51" t="s">
        <v>22</v>
      </c>
      <c r="FF104" s="51" t="s">
        <v>172</v>
      </c>
      <c r="FG104" s="51" t="s">
        <v>173</v>
      </c>
    </row>
    <row r="105" spans="1:166" x14ac:dyDescent="0.35">
      <c r="A105" s="200" t="s">
        <v>125</v>
      </c>
      <c r="B105" s="7" t="s">
        <v>126</v>
      </c>
      <c r="C105" s="7" t="s">
        <v>127</v>
      </c>
      <c r="D105" s="243">
        <f t="shared" ref="D105:D112" ca="1" si="173">VLOOKUP($A105,$A$79:$FD$94,COLUMN($BE$76),0)</f>
        <v>84029.708455016007</v>
      </c>
      <c r="E105" s="243">
        <f t="shared" ref="E105:E112" ca="1" si="174">VLOOKUP($A105,$A$79:$FD$94,COLUMN($BJ$76),0)</f>
        <v>67176.117761217683</v>
      </c>
      <c r="F105" s="243">
        <f t="shared" ref="F105:F112" ca="1" si="175">VLOOKUP($A105,$A$79:$FD$94,COLUMN($BK$76),0)</f>
        <v>265731.59880584345</v>
      </c>
      <c r="G105" s="243"/>
      <c r="H105" s="243"/>
      <c r="I105" s="243"/>
      <c r="J105" s="243"/>
      <c r="K105" s="243"/>
      <c r="L105" s="243"/>
      <c r="BK105" s="243"/>
      <c r="BL105" s="243"/>
      <c r="BM105" s="243"/>
      <c r="BN105" s="243"/>
      <c r="BO105" s="243"/>
      <c r="BP105" s="243"/>
      <c r="BQ105" s="243"/>
      <c r="BR105" s="243"/>
      <c r="BS105" s="243"/>
      <c r="BT105" s="243"/>
      <c r="BU105" s="699"/>
      <c r="BV105" s="243"/>
      <c r="BW105" s="243"/>
      <c r="BX105" s="200" t="s">
        <v>125</v>
      </c>
      <c r="BY105" s="243">
        <f t="shared" ref="BY105:BY112" ca="1" si="176">VLOOKUP($A105,$A$79:$FD$94,COLUMN($EO$76),0)</f>
        <v>32453.935907829946</v>
      </c>
      <c r="BZ105" s="243">
        <f t="shared" ref="BZ105:BZ112" ca="1" si="177">VLOOKUP($A105,$A$79:$FD$94,COLUMN($ET$76),0)</f>
        <v>25851.974146905035</v>
      </c>
      <c r="CA105" s="243">
        <f t="shared" ref="CA105:CA112" ca="1" si="178">VLOOKUP($A105,$A$79:$FD$94,COLUMN($EU$76),0)</f>
        <v>90757.077747132396</v>
      </c>
      <c r="CB105" s="243"/>
      <c r="CE105" s="243"/>
      <c r="EX105" s="200" t="s">
        <v>125</v>
      </c>
      <c r="EY105" s="26">
        <f t="shared" ref="EY105:EY112" ca="1" si="179">VLOOKUP($A105,$A$79:$FD$94,COLUMN($EX$76),0)</f>
        <v>73592.156136015474</v>
      </c>
      <c r="EZ105" s="26">
        <f t="shared" ref="EZ105:EZ112" ca="1" si="180">VLOOKUP($A105,$A$79:$FD$94,COLUMN($FC$76),0)</f>
        <v>58861.221715645093</v>
      </c>
      <c r="FA105" s="26">
        <f t="shared" ref="FA105:FA112" ca="1" si="181">VLOOKUP($A105,$A$79:$FD$94,COLUMN($FD$76),0)</f>
        <v>230524.69973962472</v>
      </c>
      <c r="FB105" s="26"/>
      <c r="FC105" s="26"/>
      <c r="FD105" s="26"/>
      <c r="FE105" s="26"/>
      <c r="FF105" s="26"/>
      <c r="FG105" s="26"/>
      <c r="FH105" s="26"/>
      <c r="FI105" s="26"/>
      <c r="FJ105" s="26"/>
    </row>
    <row r="106" spans="1:166" x14ac:dyDescent="0.35">
      <c r="A106" s="200" t="s">
        <v>141</v>
      </c>
      <c r="B106" s="7" t="s">
        <v>142</v>
      </c>
      <c r="C106" s="7" t="s">
        <v>127</v>
      </c>
      <c r="D106" s="243">
        <f t="shared" ca="1" si="173"/>
        <v>21048.503770088868</v>
      </c>
      <c r="E106" s="243">
        <f t="shared" ca="1" si="174"/>
        <v>16583.720969716214</v>
      </c>
      <c r="F106" s="243">
        <f t="shared" ca="1" si="175"/>
        <v>54996.639748061905</v>
      </c>
      <c r="G106" s="243"/>
      <c r="H106" s="243"/>
      <c r="I106" s="243"/>
      <c r="J106" s="243"/>
      <c r="K106" s="243"/>
      <c r="L106" s="243"/>
      <c r="BK106" s="243"/>
      <c r="BL106" s="243"/>
      <c r="BM106" s="243"/>
      <c r="BN106" s="243"/>
      <c r="BO106" s="243"/>
      <c r="BP106" s="243"/>
      <c r="BQ106" s="243"/>
      <c r="BR106" s="243"/>
      <c r="BS106" s="243"/>
      <c r="BT106" s="243"/>
      <c r="BU106" s="699"/>
      <c r="BV106" s="243"/>
      <c r="BW106" s="243"/>
      <c r="BX106" s="200" t="s">
        <v>141</v>
      </c>
      <c r="BY106" s="243">
        <f t="shared" ca="1" si="176"/>
        <v>34522.766690312841</v>
      </c>
      <c r="BZ106" s="243">
        <f t="shared" ca="1" si="177"/>
        <v>27495.544145800141</v>
      </c>
      <c r="CA106" s="243">
        <f t="shared" ca="1" si="178"/>
        <v>88487.223758405074</v>
      </c>
      <c r="CB106" s="243"/>
      <c r="CE106" s="243"/>
      <c r="EX106" s="200" t="s">
        <v>141</v>
      </c>
      <c r="EY106" s="26">
        <f t="shared" ca="1" si="179"/>
        <v>23775.333001025512</v>
      </c>
      <c r="EZ106" s="26">
        <f t="shared" ca="1" si="180"/>
        <v>18779.306103279221</v>
      </c>
      <c r="FA106" s="26">
        <f t="shared" ca="1" si="181"/>
        <v>61735.332923425623</v>
      </c>
      <c r="FB106" s="26"/>
      <c r="FC106" s="26"/>
      <c r="FD106" s="26"/>
      <c r="FE106" s="26"/>
      <c r="FF106" s="26"/>
      <c r="FG106" s="26"/>
      <c r="FH106" s="26"/>
      <c r="FI106" s="26"/>
      <c r="FJ106" s="26"/>
    </row>
    <row r="107" spans="1:166" x14ac:dyDescent="0.35">
      <c r="A107" s="200" t="s">
        <v>137</v>
      </c>
      <c r="B107" s="7" t="s">
        <v>138</v>
      </c>
      <c r="C107" s="7" t="s">
        <v>127</v>
      </c>
      <c r="D107" s="243">
        <f t="shared" ca="1" si="173"/>
        <v>3227.6939780397211</v>
      </c>
      <c r="E107" s="243">
        <f t="shared" ca="1" si="174"/>
        <v>2582.1551824317767</v>
      </c>
      <c r="F107" s="243">
        <f t="shared" ca="1" si="175"/>
        <v>11029.03243816426</v>
      </c>
      <c r="G107" s="243"/>
      <c r="H107" s="243"/>
      <c r="I107" s="243"/>
      <c r="J107" s="243"/>
      <c r="K107" s="243"/>
      <c r="L107" s="243"/>
      <c r="BK107" s="243"/>
      <c r="BL107" s="243"/>
      <c r="BM107" s="243"/>
      <c r="BN107" s="243"/>
      <c r="BO107" s="243"/>
      <c r="BP107" s="243"/>
      <c r="BQ107" s="243"/>
      <c r="BR107" s="243"/>
      <c r="BS107" s="243"/>
      <c r="BT107" s="243"/>
      <c r="BU107" s="699"/>
      <c r="BV107" s="243"/>
      <c r="BW107" s="243"/>
      <c r="BX107" s="200" t="s">
        <v>137</v>
      </c>
      <c r="BY107" s="243">
        <f t="shared" ca="1" si="176"/>
        <v>3927.134754152306</v>
      </c>
      <c r="BZ107" s="243">
        <f t="shared" ca="1" si="177"/>
        <v>3141.7078033218449</v>
      </c>
      <c r="CA107" s="243">
        <f t="shared" ca="1" si="178"/>
        <v>10341.922982466311</v>
      </c>
      <c r="CB107" s="243"/>
      <c r="CE107" s="243"/>
      <c r="EX107" s="200" t="s">
        <v>137</v>
      </c>
      <c r="EY107" s="26">
        <f t="shared" ca="1" si="179"/>
        <v>3369.2420215137831</v>
      </c>
      <c r="EZ107" s="26">
        <f t="shared" ca="1" si="180"/>
        <v>2694.7436468934375</v>
      </c>
      <c r="FA107" s="26">
        <f t="shared" ca="1" si="181"/>
        <v>10890.778061996629</v>
      </c>
      <c r="FB107" s="26"/>
      <c r="FC107" s="26"/>
      <c r="FD107" s="26"/>
      <c r="FE107" s="26"/>
      <c r="FF107" s="26"/>
      <c r="FG107" s="26"/>
      <c r="FH107" s="26"/>
      <c r="FI107" s="26"/>
      <c r="FJ107" s="26"/>
    </row>
    <row r="108" spans="1:166" x14ac:dyDescent="0.35">
      <c r="A108" s="200" t="s">
        <v>135</v>
      </c>
      <c r="B108" s="7" t="s">
        <v>136</v>
      </c>
      <c r="C108" s="7" t="s">
        <v>127</v>
      </c>
      <c r="D108" s="243">
        <f t="shared" ca="1" si="173"/>
        <v>330.49228732004951</v>
      </c>
      <c r="E108" s="243">
        <f t="shared" ca="1" si="174"/>
        <v>264.39382985603959</v>
      </c>
      <c r="F108" s="243">
        <f t="shared" ca="1" si="175"/>
        <v>621.60247455080059</v>
      </c>
      <c r="G108" s="243"/>
      <c r="H108" s="243"/>
      <c r="I108" s="243"/>
      <c r="J108" s="243"/>
      <c r="K108" s="243"/>
      <c r="L108" s="243"/>
      <c r="BK108" s="243"/>
      <c r="BL108" s="243"/>
      <c r="BM108" s="243"/>
      <c r="BN108" s="243"/>
      <c r="BO108" s="243"/>
      <c r="BP108" s="243"/>
      <c r="BQ108" s="243"/>
      <c r="BR108" s="243"/>
      <c r="BS108" s="243"/>
      <c r="BT108" s="243"/>
      <c r="BU108" s="699"/>
      <c r="BV108" s="243"/>
      <c r="BW108" s="243"/>
      <c r="BX108" s="200" t="s">
        <v>135</v>
      </c>
      <c r="BY108" s="243">
        <f t="shared" ca="1" si="176"/>
        <v>1087.5916525909597</v>
      </c>
      <c r="BZ108" s="243">
        <f t="shared" ca="1" si="177"/>
        <v>865.52116126874762</v>
      </c>
      <c r="CA108" s="243">
        <f t="shared" ca="1" si="178"/>
        <v>3867.3177189674843</v>
      </c>
      <c r="CB108" s="243"/>
      <c r="CE108" s="243"/>
      <c r="EX108" s="200" t="s">
        <v>135</v>
      </c>
      <c r="EY108" s="26">
        <f t="shared" ca="1" si="179"/>
        <v>483.70888196179777</v>
      </c>
      <c r="EZ108" s="26">
        <f t="shared" ca="1" si="180"/>
        <v>385.34760732568219</v>
      </c>
      <c r="FA108" s="26">
        <f t="shared" ca="1" si="181"/>
        <v>1274.6779527201218</v>
      </c>
      <c r="FB108" s="26"/>
      <c r="FC108" s="26"/>
      <c r="FD108" s="26"/>
      <c r="FE108" s="26"/>
      <c r="FF108" s="26"/>
      <c r="FG108" s="26"/>
      <c r="FH108" s="26"/>
      <c r="FI108" s="26"/>
      <c r="FJ108" s="26"/>
    </row>
    <row r="109" spans="1:166" x14ac:dyDescent="0.35">
      <c r="A109" s="200" t="s">
        <v>131</v>
      </c>
      <c r="B109" s="7" t="s">
        <v>132</v>
      </c>
      <c r="C109" s="7" t="s">
        <v>127</v>
      </c>
      <c r="D109" s="243">
        <f t="shared" ca="1" si="173"/>
        <v>1979.9402028464265</v>
      </c>
      <c r="E109" s="243">
        <f t="shared" ca="1" si="174"/>
        <v>1583.9521622771413</v>
      </c>
      <c r="F109" s="243">
        <f t="shared" ca="1" si="175"/>
        <v>4962.8529548368051</v>
      </c>
      <c r="G109" s="243"/>
      <c r="H109" s="243"/>
      <c r="I109" s="243"/>
      <c r="J109" s="243"/>
      <c r="K109" s="243"/>
      <c r="L109" s="243"/>
      <c r="BK109" s="243"/>
      <c r="BL109" s="243"/>
      <c r="BM109" s="243"/>
      <c r="BN109" s="243"/>
      <c r="BO109" s="243"/>
      <c r="BP109" s="243"/>
      <c r="BQ109" s="243"/>
      <c r="BR109" s="243"/>
      <c r="BS109" s="243"/>
      <c r="BT109" s="243"/>
      <c r="BU109" s="699"/>
      <c r="BV109" s="243"/>
      <c r="BW109" s="243"/>
      <c r="BX109" s="200" t="s">
        <v>131</v>
      </c>
      <c r="BY109" s="243">
        <f t="shared" ca="1" si="176"/>
        <v>2650.9181039591072</v>
      </c>
      <c r="BZ109" s="243">
        <f t="shared" ca="1" si="177"/>
        <v>2120.7344831672858</v>
      </c>
      <c r="CA109" s="243">
        <f t="shared" ca="1" si="178"/>
        <v>4722.6083103885267</v>
      </c>
      <c r="CB109" s="243"/>
      <c r="CE109" s="243"/>
      <c r="EX109" s="200" t="s">
        <v>131</v>
      </c>
      <c r="EY109" s="26">
        <f t="shared" ca="1" si="179"/>
        <v>2115.7281242265567</v>
      </c>
      <c r="EZ109" s="26">
        <f t="shared" ca="1" si="180"/>
        <v>1691.9589787996952</v>
      </c>
      <c r="FA109" s="26">
        <f t="shared" ca="1" si="181"/>
        <v>4914.5129514059508</v>
      </c>
      <c r="FB109" s="26"/>
      <c r="FC109" s="26"/>
      <c r="FD109" s="26"/>
      <c r="FE109" s="26"/>
      <c r="FF109" s="26"/>
      <c r="FG109" s="26"/>
      <c r="FH109" s="26"/>
      <c r="FI109" s="26"/>
      <c r="FJ109" s="26"/>
    </row>
    <row r="110" spans="1:166" ht="15" customHeight="1" x14ac:dyDescent="0.35">
      <c r="A110" s="200" t="s">
        <v>129</v>
      </c>
      <c r="B110" s="7" t="s">
        <v>130</v>
      </c>
      <c r="C110" s="7" t="s">
        <v>127</v>
      </c>
      <c r="D110" s="243">
        <f t="shared" ca="1" si="173"/>
        <v>1835.7077488713896</v>
      </c>
      <c r="E110" s="243">
        <f t="shared" ca="1" si="174"/>
        <v>1468.5661990971116</v>
      </c>
      <c r="F110" s="243">
        <f t="shared" ca="1" si="175"/>
        <v>3076.4618441829343</v>
      </c>
      <c r="G110" s="243"/>
      <c r="H110" s="243"/>
      <c r="I110" s="243"/>
      <c r="J110" s="243"/>
      <c r="K110" s="243"/>
      <c r="L110" s="243"/>
      <c r="BK110" s="243"/>
      <c r="BL110" s="243"/>
      <c r="BM110" s="243"/>
      <c r="BN110" s="243"/>
      <c r="BO110" s="243"/>
      <c r="BP110" s="243"/>
      <c r="BQ110" s="243"/>
      <c r="BR110" s="243"/>
      <c r="BS110" s="243"/>
      <c r="BT110" s="243"/>
      <c r="BU110" s="699"/>
      <c r="BV110" s="243"/>
      <c r="BW110" s="243"/>
      <c r="BX110" s="200" t="s">
        <v>129</v>
      </c>
      <c r="BY110" s="243">
        <f t="shared" ca="1" si="176"/>
        <v>2754.9894827187486</v>
      </c>
      <c r="BZ110" s="243">
        <f t="shared" ca="1" si="177"/>
        <v>2203.9915861749987</v>
      </c>
      <c r="CA110" s="243">
        <f t="shared" ca="1" si="178"/>
        <v>2718.5907231604056</v>
      </c>
      <c r="CB110" s="243"/>
      <c r="CE110" s="243"/>
      <c r="EX110" s="200" t="s">
        <v>129</v>
      </c>
      <c r="EY110" s="26">
        <f t="shared" ca="1" si="179"/>
        <v>2021.7457027218131</v>
      </c>
      <c r="EZ110" s="26">
        <f t="shared" ca="1" si="180"/>
        <v>1616.5422999426637</v>
      </c>
      <c r="FA110" s="26">
        <f t="shared" ca="1" si="181"/>
        <v>3004.4540320722385</v>
      </c>
      <c r="FB110" s="26"/>
      <c r="FC110" s="26"/>
      <c r="FD110" s="26"/>
      <c r="FE110" s="26"/>
      <c r="FF110" s="26"/>
      <c r="FG110" s="26"/>
      <c r="FH110" s="26"/>
      <c r="FI110" s="26"/>
      <c r="FJ110" s="26"/>
    </row>
    <row r="111" spans="1:166" ht="15" customHeight="1" x14ac:dyDescent="0.35">
      <c r="A111" s="200" t="s">
        <v>139</v>
      </c>
      <c r="B111" s="7" t="s">
        <v>140</v>
      </c>
      <c r="C111" s="7" t="s">
        <v>127</v>
      </c>
      <c r="D111" s="243">
        <f t="shared" ca="1" si="173"/>
        <v>1124.9901217261836</v>
      </c>
      <c r="E111" s="243">
        <f t="shared" ca="1" si="174"/>
        <v>899.99209738094692</v>
      </c>
      <c r="F111" s="243">
        <f t="shared" ca="1" si="175"/>
        <v>2845.8384056613222</v>
      </c>
      <c r="G111" s="243"/>
      <c r="H111" s="243"/>
      <c r="I111" s="243"/>
      <c r="J111" s="243"/>
      <c r="K111" s="243"/>
      <c r="L111" s="243"/>
      <c r="BK111" s="243"/>
      <c r="BL111" s="243"/>
      <c r="BM111" s="243"/>
      <c r="BN111" s="243"/>
      <c r="BO111" s="243"/>
      <c r="BP111" s="243"/>
      <c r="BQ111" s="243"/>
      <c r="BR111" s="243"/>
      <c r="BS111" s="243"/>
      <c r="BT111" s="243"/>
      <c r="BU111" s="699"/>
      <c r="BV111" s="243"/>
      <c r="BW111" s="243"/>
      <c r="BX111" s="200" t="s">
        <v>139</v>
      </c>
      <c r="BY111" s="243">
        <f t="shared" ca="1" si="176"/>
        <v>1422.0325068713653</v>
      </c>
      <c r="BZ111" s="243">
        <f t="shared" ca="1" si="177"/>
        <v>1137.6260054970921</v>
      </c>
      <c r="CA111" s="243">
        <f t="shared" ca="1" si="178"/>
        <v>2646.2446357650797</v>
      </c>
      <c r="CB111" s="243"/>
      <c r="CE111" s="243"/>
      <c r="EX111" s="200" t="s">
        <v>139</v>
      </c>
      <c r="EY111" s="26">
        <f t="shared" ca="1" si="179"/>
        <v>1185.1035292970932</v>
      </c>
      <c r="EZ111" s="26">
        <f t="shared" ca="1" si="180"/>
        <v>947.80679044102374</v>
      </c>
      <c r="FA111" s="26">
        <f t="shared" ca="1" si="181"/>
        <v>2805.6778287472398</v>
      </c>
      <c r="FB111" s="26"/>
      <c r="FC111" s="26"/>
      <c r="FD111" s="26"/>
      <c r="FE111" s="26"/>
      <c r="FF111" s="26"/>
      <c r="FG111" s="26"/>
      <c r="FH111" s="26"/>
      <c r="FI111" s="26"/>
      <c r="FJ111" s="26"/>
    </row>
    <row r="112" spans="1:166" ht="15" customHeight="1" x14ac:dyDescent="0.35">
      <c r="A112" s="200" t="s">
        <v>133</v>
      </c>
      <c r="B112" s="7" t="s">
        <v>134</v>
      </c>
      <c r="C112" s="7" t="s">
        <v>127</v>
      </c>
      <c r="D112" s="243">
        <f t="shared" ca="1" si="173"/>
        <v>39.632513912111534</v>
      </c>
      <c r="E112" s="243">
        <f t="shared" ca="1" si="174"/>
        <v>31.706011129689227</v>
      </c>
      <c r="F112" s="243">
        <f t="shared" ca="1" si="175"/>
        <v>39.494141671154551</v>
      </c>
      <c r="G112" s="243"/>
      <c r="H112" s="243"/>
      <c r="I112" s="243"/>
      <c r="J112" s="243"/>
      <c r="K112" s="243"/>
      <c r="L112" s="243"/>
      <c r="BK112" s="243"/>
      <c r="BL112" s="243"/>
      <c r="BM112" s="243"/>
      <c r="BN112" s="243"/>
      <c r="BO112" s="243"/>
      <c r="BP112" s="243"/>
      <c r="BQ112" s="243"/>
      <c r="BR112" s="243"/>
      <c r="BS112" s="243"/>
      <c r="BT112" s="243"/>
      <c r="BU112" s="699"/>
      <c r="BV112" s="243"/>
      <c r="BW112" s="243"/>
      <c r="BX112" s="200" t="s">
        <v>133</v>
      </c>
      <c r="BY112" s="243">
        <f t="shared" ca="1" si="176"/>
        <v>34.22810337922693</v>
      </c>
      <c r="BZ112" s="243">
        <f t="shared" ca="1" si="177"/>
        <v>27.382482703381545</v>
      </c>
      <c r="CA112" s="243">
        <f t="shared" ca="1" si="178"/>
        <v>94.71438178743503</v>
      </c>
      <c r="CB112" s="243"/>
      <c r="CE112" s="243"/>
      <c r="EX112" s="200" t="s">
        <v>133</v>
      </c>
      <c r="EY112" s="26">
        <f t="shared" ca="1" si="179"/>
        <v>38.538806248523308</v>
      </c>
      <c r="EZ112" s="26">
        <f t="shared" ca="1" si="180"/>
        <v>30.836067163025263</v>
      </c>
      <c r="FA112" s="26">
        <f t="shared" ca="1" si="181"/>
        <v>50.605093188112349</v>
      </c>
      <c r="FB112" s="26"/>
      <c r="FC112" s="26"/>
      <c r="FD112" s="26"/>
      <c r="FE112" s="26"/>
      <c r="FF112" s="26"/>
      <c r="FG112" s="26"/>
      <c r="FH112" s="26"/>
      <c r="FI112" s="26"/>
      <c r="FJ112" s="26"/>
    </row>
    <row r="113" spans="1:160" x14ac:dyDescent="0.35"/>
    <row r="114" spans="1:160" x14ac:dyDescent="0.35"/>
    <row r="115" spans="1:160" x14ac:dyDescent="0.35"/>
    <row r="116" spans="1:160" x14ac:dyDescent="0.35"/>
    <row r="117" spans="1:160" x14ac:dyDescent="0.35"/>
    <row r="118" spans="1:160" x14ac:dyDescent="0.35"/>
    <row r="119" spans="1:160" x14ac:dyDescent="0.35"/>
    <row r="120" spans="1:160" x14ac:dyDescent="0.35"/>
    <row r="121" spans="1:160" x14ac:dyDescent="0.35"/>
    <row r="122" spans="1:160" x14ac:dyDescent="0.35"/>
    <row r="123" spans="1:160" x14ac:dyDescent="0.35"/>
    <row r="124" spans="1:160" x14ac:dyDescent="0.35"/>
    <row r="125" spans="1:160" x14ac:dyDescent="0.35"/>
    <row r="126" spans="1:160" x14ac:dyDescent="0.35"/>
    <row r="127" spans="1:160" x14ac:dyDescent="0.35"/>
    <row r="128" spans="1:160" ht="43.5" x14ac:dyDescent="0.45">
      <c r="A128" s="478" t="s">
        <v>175</v>
      </c>
      <c r="D128" s="249" t="s">
        <v>171</v>
      </c>
      <c r="E128" s="249" t="s">
        <v>176</v>
      </c>
      <c r="F128" s="249" t="s">
        <v>56</v>
      </c>
      <c r="G128" s="584" t="s">
        <v>62</v>
      </c>
      <c r="H128" s="581" t="s">
        <v>60</v>
      </c>
      <c r="I128" s="249" t="s">
        <v>67</v>
      </c>
      <c r="J128" s="249" t="s">
        <v>71</v>
      </c>
      <c r="K128" s="249" t="s">
        <v>72</v>
      </c>
      <c r="L128" s="249" t="s">
        <v>177</v>
      </c>
      <c r="M128" s="249" t="s">
        <v>63</v>
      </c>
      <c r="N128" s="249" t="s">
        <v>65</v>
      </c>
      <c r="O128" s="249" t="s">
        <v>66</v>
      </c>
      <c r="P128" s="709" t="s">
        <v>73</v>
      </c>
      <c r="Q128" s="829" t="s">
        <v>74</v>
      </c>
      <c r="R128" s="829" t="s">
        <v>75</v>
      </c>
      <c r="S128" s="829" t="s">
        <v>178</v>
      </c>
      <c r="T128" s="829" t="s">
        <v>179</v>
      </c>
      <c r="U128" s="706" t="s">
        <v>172</v>
      </c>
      <c r="V128" s="706" t="s">
        <v>173</v>
      </c>
      <c r="BO128" s="402"/>
      <c r="BP128" s="402"/>
      <c r="BQ128" s="402"/>
      <c r="BR128" s="402"/>
      <c r="BS128" s="402"/>
      <c r="BT128" s="402"/>
      <c r="BU128" s="402"/>
      <c r="BV128" s="402"/>
      <c r="BW128" s="402"/>
      <c r="BX128" s="402"/>
      <c r="BY128" s="698"/>
      <c r="BZ128" s="402"/>
      <c r="CA128" s="402"/>
      <c r="CB128" s="402"/>
      <c r="CC128" s="249" t="s">
        <v>171</v>
      </c>
      <c r="CD128" s="249" t="s">
        <v>176</v>
      </c>
      <c r="CE128" s="249" t="s">
        <v>56</v>
      </c>
      <c r="CF128" s="584" t="s">
        <v>62</v>
      </c>
      <c r="CG128" s="581" t="s">
        <v>60</v>
      </c>
      <c r="CH128" s="694" t="s">
        <v>67</v>
      </c>
      <c r="CI128" s="249" t="s">
        <v>71</v>
      </c>
      <c r="CJ128" s="249" t="s">
        <v>72</v>
      </c>
      <c r="CK128" s="249" t="s">
        <v>177</v>
      </c>
      <c r="CL128" s="249" t="s">
        <v>63</v>
      </c>
      <c r="CM128" s="249" t="s">
        <v>65</v>
      </c>
      <c r="CN128" s="249" t="s">
        <v>66</v>
      </c>
      <c r="CO128" s="695" t="s">
        <v>73</v>
      </c>
      <c r="CP128" s="695"/>
      <c r="CQ128" s="829" t="s">
        <v>74</v>
      </c>
      <c r="CR128" s="829"/>
      <c r="CS128" s="7" t="s">
        <v>75</v>
      </c>
      <c r="CT128" s="829" t="s">
        <v>178</v>
      </c>
      <c r="CU128" s="829" t="s">
        <v>179</v>
      </c>
      <c r="CV128" s="52" t="s">
        <v>172</v>
      </c>
      <c r="CW128" s="52" t="s">
        <v>173</v>
      </c>
      <c r="CX128" s="52"/>
      <c r="DC128" s="402"/>
      <c r="EV128" s="7"/>
      <c r="FD128" s="684"/>
    </row>
    <row r="129" spans="1:160" x14ac:dyDescent="0.35">
      <c r="A129" s="200" t="s">
        <v>125</v>
      </c>
      <c r="B129" s="7" t="s">
        <v>126</v>
      </c>
      <c r="C129" s="7" t="s">
        <v>127</v>
      </c>
      <c r="D129" s="243">
        <f t="shared" ref="D129:D136" ca="1" si="182">VLOOKUP($A129,$A$31:$FD$46,COLUMN($BE$28),0)</f>
        <v>76407.098861916034</v>
      </c>
      <c r="E129" s="243">
        <f t="shared" ref="E129:E136" ca="1" si="183">VLOOKUP($A129,$A$31:$FD$46,COLUMN($D$28),0)</f>
        <v>759.38481661325</v>
      </c>
      <c r="F129" s="243">
        <f t="shared" ref="F129:F136" ca="1" si="184">VLOOKUP($A129,$A$31:$FD$46,COLUMN($I$28),0)</f>
        <v>253.20631561301954</v>
      </c>
      <c r="G129" s="243">
        <f t="shared" ref="G129:G136" ca="1" si="185">VLOOKUP($A129,$A$31:$FD$46,COLUMN($G$28),0)</f>
        <v>1978.0382947710405</v>
      </c>
      <c r="H129" s="243">
        <f t="shared" ref="H129:H136" ca="1" si="186">VLOOKUP($A129,$A$31:$FD$46,COLUMN($L$28),0)</f>
        <v>245.57858235732843</v>
      </c>
      <c r="I129" s="243"/>
      <c r="J129" s="243"/>
      <c r="K129" s="243">
        <f ca="1">VLOOKUP($A129,$A$31:$FD$46,COLUMN($T$28),0)</f>
        <v>475.2555828363661</v>
      </c>
      <c r="L129" s="243">
        <f t="shared" ref="L129:L136" ca="1" si="187">VLOOKUP($A129,$A$31:$FD$46,COLUMN($H$28),0)</f>
        <v>3395.5484072258</v>
      </c>
      <c r="M129" s="243">
        <f ca="1">VLOOKUP($A129,$A$31:$FD$46,COLUMN($M$28),0)</f>
        <v>970.39720535276513</v>
      </c>
      <c r="N129" s="243">
        <f ca="1">VLOOKUP($A129,$A$31:$FD$46,COLUMN($N$28),0)</f>
        <v>11.956118656835109</v>
      </c>
      <c r="O129" s="243"/>
      <c r="P129" s="243"/>
      <c r="Q129" s="243" t="str">
        <f>IF(VLOOKUP($A129,$A$31:$FD$46,COLUMN($U$28),0)="","",VLOOKUP($A129,$A$31:$FD$46,COLUMN($U$28),0))</f>
        <v>x</v>
      </c>
      <c r="R129" s="243" t="str">
        <f>IF(VLOOKUP($A129,$A$31:$FD$46,COLUMN($V$28),0)="","",VLOOKUP($A129,$A$31:$FD$46,COLUMN($V$28),0))</f>
        <v>x</v>
      </c>
      <c r="S129" s="43">
        <f ca="1">IF(VLOOKUP($A129,$A$31:$FD$46,COLUMN($W$28),0)="","",VLOOKUP($A129,$A$31:$FD$46,COLUMN($W$28),0))</f>
        <v>398654.61149669968</v>
      </c>
      <c r="T129" s="243">
        <f ca="1">IF(VLOOKUP($A129,$A$31:$FD$46,COLUMN($Y$28),0)="","",VLOOKUP($A129,$A$31:$FD$46,COLUMN($Y$28),0))</f>
        <v>210.8970947265625</v>
      </c>
      <c r="U129" s="26">
        <f t="shared" ref="U129:U136" ca="1" si="188">VLOOKUP($A129,$A$31:$FD$46,COLUMN($BJ$28),0)</f>
        <v>61116.114194607362</v>
      </c>
      <c r="V129" s="26">
        <f t="shared" ref="V129:V136" ca="1" si="189">VLOOKUP($A129,$A$31:$FD$46,COLUMN($BK$28),0)</f>
        <v>257798.01010782697</v>
      </c>
      <c r="BO129" s="243"/>
      <c r="BP129" s="243"/>
      <c r="BQ129" s="243"/>
      <c r="BR129" s="243"/>
      <c r="BS129" s="243"/>
      <c r="BT129" s="243"/>
      <c r="BU129" s="243"/>
      <c r="BV129" s="243"/>
      <c r="BW129" s="243"/>
      <c r="BX129" s="243"/>
      <c r="BY129" s="699"/>
      <c r="BZ129" s="243"/>
      <c r="CA129" s="243"/>
      <c r="CB129" s="200" t="s">
        <v>125</v>
      </c>
      <c r="CC129" s="243">
        <f t="shared" ref="CC129:CC136" ca="1" si="190">VLOOKUP($A129,$A$31:$FD$46,COLUMN($EO$28),0)</f>
        <v>25481.516128957282</v>
      </c>
      <c r="CD129" s="243">
        <f t="shared" ref="CD129:CD136" ca="1" si="191">VLOOKUP($A129,$A$31:$FD$46,COLUMN($BV$28),0)</f>
        <v>501.11390007890685</v>
      </c>
      <c r="CE129" s="243">
        <f t="shared" ref="CE129:CE136" ca="1" si="192">VLOOKUP($A129,$A$31:$FD$46,COLUMN($CA$28),0)</f>
        <v>555.0592049203259</v>
      </c>
      <c r="CF129" s="243">
        <f t="shared" ref="CF129:CF136" ca="1" si="193">VLOOKUP($A129,$A$31:$FD$46,COLUMN($BY$28),0)</f>
        <v>1609.4333817849576</v>
      </c>
      <c r="CG129" s="243">
        <f t="shared" ref="CG129:CG136" ca="1" si="194">VLOOKUP($A129,$A$31:$FD$46,COLUMN($CD$28),0)</f>
        <v>395.93761105859028</v>
      </c>
      <c r="CI129" s="243"/>
      <c r="CJ129" s="243">
        <f ca="1">VLOOKUP($A129,$A$31:$FD$46,COLUMN($CL$28),0)</f>
        <v>435.962346573557</v>
      </c>
      <c r="CK129" s="243">
        <f t="shared" ref="CK129:CK136" ca="1" si="195">VLOOKUP($A129,$A$31:$FD$46,COLUMN($BZ$28),0)</f>
        <v>3533.626736654584</v>
      </c>
      <c r="CL129" s="243">
        <f t="shared" ref="CL129:CL136" ca="1" si="196">VLOOKUP($A129,$A$31:$FD$46,COLUMN($CE$28),0)</f>
        <v>949.96614947078956</v>
      </c>
      <c r="CM129" s="243">
        <f t="shared" ref="CM129:CM136" ca="1" si="197">VLOOKUP($A129,$A$31:$FD$46,COLUMN($CF$28),0)</f>
        <v>16.256667964087679</v>
      </c>
      <c r="CN129" s="243" t="str">
        <f t="shared" ref="CN129:CN136" si="198">VLOOKUP($A129,$A$31:$FD$46,COLUMN($CG$28),0)</f>
        <v>x</v>
      </c>
      <c r="CO129" s="243"/>
      <c r="CP129" s="243"/>
      <c r="CQ129" s="243" t="str">
        <f>IF(VLOOKUP($A129,$A$31:$FD$46,COLUMN($CM$28),0)="","",VLOOKUP($A129,$A$31:$FD$46,COLUMN($CM$28),0))</f>
        <v>x</v>
      </c>
      <c r="CR129" s="243"/>
      <c r="CS129" s="7" t="str">
        <f>IF(VLOOKUP($A129,$A$31:$FD$46,COLUMN($CN$28),0)="","",VLOOKUP($A129,$A$31:$FD$46,COLUMN($CN$28),0))</f>
        <v>x</v>
      </c>
      <c r="CT129" s="43">
        <f ca="1">IF(VLOOKUP($A129,$A$31:$FD$46,COLUMN($CO$28),0)="","",VLOOKUP($A129,$A$31:$FD$46,COLUMN($CO$28),0))</f>
        <v>131231.05652924543</v>
      </c>
      <c r="CU129" s="243">
        <f ca="1">IF(VLOOKUP($A129,$A$31:$FD$46,COLUMN($CQ$28),0)="","",VLOOKUP($A129,$A$31:$FD$46,COLUMN($CQ$28),0))</f>
        <v>210.8970947265625</v>
      </c>
      <c r="CV129" s="243">
        <f t="shared" ref="CV129:CV136" ca="1" si="199">VLOOKUP($A129,$A$31:$FD$46,COLUMN($ET$28),0)</f>
        <v>20372.207568794554</v>
      </c>
      <c r="CW129" s="243">
        <f t="shared" ref="CW129:CW136" ca="1" si="200">VLOOKUP($A129,$A$31:$FD$46,COLUMN($EU$28),0)</f>
        <v>84599.632320230521</v>
      </c>
      <c r="CX129" s="243"/>
      <c r="DC129" s="243"/>
      <c r="EV129" s="7"/>
      <c r="FD129" s="684"/>
    </row>
    <row r="130" spans="1:160" x14ac:dyDescent="0.35">
      <c r="A130" s="200" t="s">
        <v>141</v>
      </c>
      <c r="B130" s="7" t="s">
        <v>142</v>
      </c>
      <c r="C130" s="7" t="s">
        <v>127</v>
      </c>
      <c r="D130" s="243">
        <f t="shared" ca="1" si="182"/>
        <v>19509.759207595394</v>
      </c>
      <c r="E130" s="243">
        <f t="shared" ca="1" si="183"/>
        <v>479.73112666286153</v>
      </c>
      <c r="F130" s="243">
        <f t="shared" ca="1" si="184"/>
        <v>370.29626646056914</v>
      </c>
      <c r="G130" s="243">
        <f t="shared" ca="1" si="185"/>
        <v>659.34609825701364</v>
      </c>
      <c r="H130" s="243">
        <f t="shared" ca="1" si="186"/>
        <v>423.08938780164499</v>
      </c>
      <c r="I130" s="243"/>
      <c r="J130" s="243"/>
      <c r="K130" s="243"/>
      <c r="L130" s="243">
        <f t="shared" ca="1" si="187"/>
        <v>494.79223083574158</v>
      </c>
      <c r="M130" s="243"/>
      <c r="N130" s="243"/>
      <c r="O130" s="243"/>
      <c r="P130" s="243"/>
      <c r="Q130" s="243" t="str">
        <f t="shared" ref="Q130:Q136" si="201">IF(VLOOKUP($A130,$A$31:$FD$46,COLUMN($U$28),0)="","",VLOOKUP($A130,$A$31:$FD$46,COLUMN($U$28),0))</f>
        <v>x</v>
      </c>
      <c r="R130" s="243" t="str">
        <f t="shared" ref="R130:R136" si="202">IF(VLOOKUP($A130,$A$31:$FD$46,COLUMN($V$28),0)="","",VLOOKUP($A130,$A$31:$FD$46,COLUMN($V$28),0))</f>
        <v>x</v>
      </c>
      <c r="S130" s="43">
        <f t="shared" ref="S130:S136" ca="1" si="203">IF(VLOOKUP($A130,$A$31:$FD$46,COLUMN($W$28),0)="","",VLOOKUP($A130,$A$31:$FD$46,COLUMN($W$28),0))</f>
        <v>86690.88649895096</v>
      </c>
      <c r="T130" s="243">
        <f t="shared" ref="T130:T136" ca="1" si="204">IF(VLOOKUP($A130,$A$31:$FD$46,COLUMN($Y$28),0)="","",VLOOKUP($A130,$A$31:$FD$46,COLUMN($Y$28),0))</f>
        <v>106.20083930187631</v>
      </c>
      <c r="U130" s="26">
        <f t="shared" ca="1" si="188"/>
        <v>15533.875701775276</v>
      </c>
      <c r="V130" s="26">
        <f t="shared" ca="1" si="189"/>
        <v>53744.901833084463</v>
      </c>
      <c r="BO130" s="243"/>
      <c r="BP130" s="243"/>
      <c r="BQ130" s="243"/>
      <c r="BR130" s="243"/>
      <c r="BS130" s="243"/>
      <c r="BT130" s="243"/>
      <c r="BU130" s="243"/>
      <c r="BV130" s="243"/>
      <c r="BW130" s="243"/>
      <c r="BX130" s="243"/>
      <c r="BY130" s="699"/>
      <c r="BZ130" s="243"/>
      <c r="CA130" s="243"/>
      <c r="CB130" s="200" t="s">
        <v>141</v>
      </c>
      <c r="CC130" s="243">
        <f t="shared" ca="1" si="190"/>
        <v>31302.052369317589</v>
      </c>
      <c r="CD130" s="243">
        <f t="shared" ca="1" si="191"/>
        <v>620.7492005481954</v>
      </c>
      <c r="CE130" s="243">
        <f t="shared" ca="1" si="192"/>
        <v>413.48326629553054</v>
      </c>
      <c r="CF130" s="243">
        <f t="shared" ca="1" si="193"/>
        <v>837.44710328501992</v>
      </c>
      <c r="CG130" s="243">
        <f t="shared" ca="1" si="194"/>
        <v>460.61613919501059</v>
      </c>
      <c r="CH130" s="243"/>
      <c r="CI130" s="243"/>
      <c r="CJ130" s="243"/>
      <c r="CK130" s="243">
        <f t="shared" ca="1" si="195"/>
        <v>422.6457148483376</v>
      </c>
      <c r="CL130" s="243" t="str">
        <f t="shared" si="196"/>
        <v>x</v>
      </c>
      <c r="CM130" s="243" t="str">
        <f t="shared" si="197"/>
        <v>x</v>
      </c>
      <c r="CN130" s="243" t="str">
        <f t="shared" si="198"/>
        <v>x</v>
      </c>
      <c r="CO130" s="243"/>
      <c r="CP130" s="243"/>
      <c r="CQ130" s="243" t="str">
        <f t="shared" ref="CQ130:CQ136" si="205">IF(VLOOKUP($A130,$A$31:$FD$46,COLUMN($CM$28),0)="","",VLOOKUP($A130,$A$31:$FD$46,COLUMN($CM$28),0))</f>
        <v>x</v>
      </c>
      <c r="CR130" s="243"/>
      <c r="CS130" s="7" t="str">
        <f t="shared" ref="CS130:CS136" si="206">IF(VLOOKUP($A130,$A$31:$FD$46,COLUMN($CN$28),0)="","",VLOOKUP($A130,$A$31:$FD$46,COLUMN($CN$28),0))</f>
        <v>x</v>
      </c>
      <c r="CT130" s="43">
        <f t="shared" ref="CT130:CT135" ca="1" si="207">IF(VLOOKUP($A130,$A$31:$FD$46,COLUMN($CO$28),0)="","",VLOOKUP($A130,$A$31:$FD$46,COLUMN($CO$28),0))</f>
        <v>139569.52203350802</v>
      </c>
      <c r="CU130" s="243">
        <f t="shared" ref="CU130:CU136" ca="1" si="208">IF(VLOOKUP($A130,$A$31:$FD$46,COLUMN($CQ$28),0)="","",VLOOKUP($A130,$A$31:$FD$46,COLUMN($CQ$28),0))</f>
        <v>123.05049935901012</v>
      </c>
      <c r="CV130" s="243">
        <f t="shared" ca="1" si="199"/>
        <v>24955.980348233843</v>
      </c>
      <c r="CW130" s="243">
        <f t="shared" ca="1" si="200"/>
        <v>86613.975731352359</v>
      </c>
      <c r="CX130" s="243"/>
      <c r="DC130" s="243"/>
      <c r="EV130" s="7"/>
      <c r="FD130" s="684"/>
    </row>
    <row r="131" spans="1:160" x14ac:dyDescent="0.35">
      <c r="A131" s="200" t="s">
        <v>137</v>
      </c>
      <c r="B131" s="7" t="s">
        <v>138</v>
      </c>
      <c r="C131" s="7" t="s">
        <v>127</v>
      </c>
      <c r="D131" s="243">
        <f t="shared" ca="1" si="182"/>
        <v>188.73767978356349</v>
      </c>
      <c r="E131" s="243">
        <f t="shared" ca="1" si="183"/>
        <v>162.10819588181059</v>
      </c>
      <c r="F131" s="243">
        <f t="shared" ca="1" si="184"/>
        <v>186.16470937063306</v>
      </c>
      <c r="G131" s="243">
        <f t="shared" ca="1" si="185"/>
        <v>332.23085726829703</v>
      </c>
      <c r="H131" s="243">
        <f t="shared" ca="1" si="186"/>
        <v>128.69078067320214</v>
      </c>
      <c r="I131" s="243">
        <f ca="1">VLOOKUP($A131,$A$31:$FD$46,COLUMN($P$28),0)</f>
        <v>326.02892780541464</v>
      </c>
      <c r="J131" s="243">
        <f ca="1">VLOOKUP($A131,$A$31:$FD$46,COLUMN($S$28),0)</f>
        <v>163.07175072673778</v>
      </c>
      <c r="K131" s="243">
        <f ca="1">VLOOKUP($A131,$A$31:$FD$46,COLUMN($T$28),0)</f>
        <v>168.19257684749601</v>
      </c>
      <c r="L131" s="243">
        <f t="shared" ca="1" si="187"/>
        <v>604.3256418635425</v>
      </c>
      <c r="M131" s="243">
        <f t="shared" ref="M131:M136" ca="1" si="209">VLOOKUP($A131,$A$31:$FD$46,COLUMN($M$28),0)</f>
        <v>335.95197609357444</v>
      </c>
      <c r="N131" s="243">
        <f ca="1">VLOOKUP($A131,$A$31:$FD$46,COLUMN($N$28),0)</f>
        <v>797.41117956200367</v>
      </c>
      <c r="O131" s="243">
        <f ca="1">VLOOKUP($A131,$A$31:$FD$46,COLUMN($O$28),0)</f>
        <v>56.357786245778996</v>
      </c>
      <c r="P131" s="243">
        <f ca="1">VLOOKUP($A131,$A$31:$FD$46,COLUMN($AA$28),0)</f>
        <v>365.95643912092589</v>
      </c>
      <c r="Q131" s="243" t="str">
        <f t="shared" si="201"/>
        <v>x</v>
      </c>
      <c r="R131" s="243" t="str">
        <f t="shared" si="202"/>
        <v>x</v>
      </c>
      <c r="S131" s="43">
        <f t="shared" si="203"/>
        <v>0</v>
      </c>
      <c r="T131" s="243">
        <f t="shared" ca="1" si="204"/>
        <v>171.9460754394531</v>
      </c>
      <c r="U131" s="26">
        <f t="shared" ca="1" si="188"/>
        <v>150.99014382685078</v>
      </c>
      <c r="V131" s="26">
        <f t="shared" ca="1" si="189"/>
        <v>486.93879982275212</v>
      </c>
      <c r="BO131" s="243"/>
      <c r="BP131" s="243"/>
      <c r="BQ131" s="243"/>
      <c r="BR131" s="243"/>
      <c r="BS131" s="243"/>
      <c r="BT131" s="243"/>
      <c r="BU131" s="243"/>
      <c r="BV131" s="243"/>
      <c r="BW131" s="243"/>
      <c r="BX131" s="243"/>
      <c r="BY131" s="699"/>
      <c r="BZ131" s="243"/>
      <c r="CA131" s="243"/>
      <c r="CB131" s="200" t="s">
        <v>137</v>
      </c>
      <c r="CC131" s="243">
        <f t="shared" ca="1" si="190"/>
        <v>124.28472217011971</v>
      </c>
      <c r="CD131" s="243">
        <f t="shared" ca="1" si="191"/>
        <v>28.26566546881222</v>
      </c>
      <c r="CE131" s="243">
        <f t="shared" ca="1" si="192"/>
        <v>43.79865138952065</v>
      </c>
      <c r="CF131" s="243">
        <f t="shared" ca="1" si="193"/>
        <v>28.215872752190698</v>
      </c>
      <c r="CG131" s="243">
        <f t="shared" ca="1" si="194"/>
        <v>77.435159250689779</v>
      </c>
      <c r="CI131" s="243">
        <f ca="1">VLOOKUP($A131,$A$31:$FD$46,COLUMN($CK$28),0)</f>
        <v>256.72130966931957</v>
      </c>
      <c r="CJ131" s="243">
        <f ca="1">VLOOKUP($A131,$A$31:$FD$46,COLUMN($CL$28),0)</f>
        <v>213.52123007914284</v>
      </c>
      <c r="CK131" s="243">
        <f t="shared" ca="1" si="195"/>
        <v>341.6568958775859</v>
      </c>
      <c r="CL131" s="243">
        <f t="shared" ca="1" si="196"/>
        <v>210.41011657330804</v>
      </c>
      <c r="CM131" s="243">
        <f t="shared" ca="1" si="197"/>
        <v>637.96513605215421</v>
      </c>
      <c r="CN131" s="243">
        <f t="shared" ca="1" si="198"/>
        <v>144.37600001963597</v>
      </c>
      <c r="CO131" s="243">
        <f ca="1">VLOOKUP($A131,$A$31:$FD$46,COLUMN($CS$28),0)</f>
        <v>338.22959198528753</v>
      </c>
      <c r="CP131" s="243"/>
      <c r="CQ131" s="243" t="str">
        <f t="shared" si="205"/>
        <v>x</v>
      </c>
      <c r="CR131" s="243"/>
      <c r="CS131" s="7" t="str">
        <f t="shared" si="206"/>
        <v>x</v>
      </c>
      <c r="CT131" s="43">
        <f t="shared" si="207"/>
        <v>0</v>
      </c>
      <c r="CU131" s="243">
        <f t="shared" ca="1" si="208"/>
        <v>171.9460754394531</v>
      </c>
      <c r="CV131" s="243">
        <f t="shared" ca="1" si="199"/>
        <v>99.427777736095763</v>
      </c>
      <c r="CW131" s="243">
        <f t="shared" ca="1" si="200"/>
        <v>410.94433110562761</v>
      </c>
      <c r="CX131" s="243"/>
      <c r="DC131" s="243"/>
      <c r="EV131" s="7"/>
      <c r="FD131" s="684"/>
    </row>
    <row r="132" spans="1:160" x14ac:dyDescent="0.35">
      <c r="A132" s="200" t="s">
        <v>135</v>
      </c>
      <c r="B132" s="7" t="s">
        <v>136</v>
      </c>
      <c r="C132" s="7" t="s">
        <v>127</v>
      </c>
      <c r="D132" s="243">
        <f t="shared" ca="1" si="182"/>
        <v>200.68834953644827</v>
      </c>
      <c r="E132" s="243">
        <f t="shared" ca="1" si="183"/>
        <v>6.1861063528998557</v>
      </c>
      <c r="F132" s="243">
        <f t="shared" ca="1" si="184"/>
        <v>795.09022080349519</v>
      </c>
      <c r="G132" s="243">
        <f t="shared" ca="1" si="185"/>
        <v>12.419579523203231</v>
      </c>
      <c r="H132" s="243">
        <f t="shared" ca="1" si="186"/>
        <v>623.5022304003802</v>
      </c>
      <c r="I132" s="243">
        <f ca="1">VLOOKUP($A132,$A$31:$FD$46,COLUMN($P$28),0)</f>
        <v>0.8364706387713341</v>
      </c>
      <c r="J132" s="243">
        <f ca="1">VLOOKUP($A132,$A$31:$FD$46,COLUMN($S$28),0)</f>
        <v>3.091722097041655</v>
      </c>
      <c r="K132" s="243"/>
      <c r="L132" s="243">
        <f t="shared" ca="1" si="187"/>
        <v>99.588467190895699</v>
      </c>
      <c r="M132" s="243">
        <f t="shared" ca="1" si="209"/>
        <v>108.31611590427406</v>
      </c>
      <c r="N132" s="243"/>
      <c r="O132" s="243"/>
      <c r="P132" s="243"/>
      <c r="Q132" s="243" t="str">
        <f t="shared" si="201"/>
        <v>x</v>
      </c>
      <c r="R132" s="243" t="str">
        <f t="shared" si="202"/>
        <v>x</v>
      </c>
      <c r="S132" s="43">
        <f t="shared" si="203"/>
        <v>0</v>
      </c>
      <c r="T132" s="243">
        <f t="shared" ca="1" si="204"/>
        <v>82.146487747187777</v>
      </c>
      <c r="U132" s="26">
        <f t="shared" ca="1" si="188"/>
        <v>160.55067962915862</v>
      </c>
      <c r="V132" s="26">
        <f t="shared" ca="1" si="189"/>
        <v>475.5214970136376</v>
      </c>
      <c r="BO132" s="243"/>
      <c r="BP132" s="243"/>
      <c r="BQ132" s="243"/>
      <c r="BR132" s="243"/>
      <c r="BS132" s="243"/>
      <c r="BT132" s="243"/>
      <c r="BU132" s="243"/>
      <c r="BV132" s="243"/>
      <c r="BW132" s="243"/>
      <c r="BX132" s="243"/>
      <c r="BY132" s="699"/>
      <c r="BZ132" s="243"/>
      <c r="CA132" s="243"/>
      <c r="CB132" s="200" t="s">
        <v>135</v>
      </c>
      <c r="CC132" s="243">
        <f t="shared" ca="1" si="190"/>
        <v>928.2785356721389</v>
      </c>
      <c r="CD132" s="243">
        <f t="shared" ca="1" si="191"/>
        <v>5.6902010050251253</v>
      </c>
      <c r="CE132" s="243">
        <f t="shared" ca="1" si="192"/>
        <v>316.89094596470369</v>
      </c>
      <c r="CF132" s="243">
        <f t="shared" ca="1" si="193"/>
        <v>8.73751526226172</v>
      </c>
      <c r="CG132" s="243">
        <f t="shared" ca="1" si="194"/>
        <v>372.28127761501526</v>
      </c>
      <c r="CI132" s="243">
        <f ca="1">VLOOKUP($A132,$A$31:$FD$46,COLUMN($CK$28),0)</f>
        <v>6.3045526114831416</v>
      </c>
      <c r="CJ132" s="243"/>
      <c r="CK132" s="701">
        <f t="shared" ca="1" si="195"/>
        <v>154.19825100128321</v>
      </c>
      <c r="CL132" s="243">
        <f t="shared" ca="1" si="196"/>
        <v>73.475332356768448</v>
      </c>
      <c r="CM132" s="243" t="str">
        <f t="shared" si="197"/>
        <v>x</v>
      </c>
      <c r="CN132" s="243" t="str">
        <f t="shared" si="198"/>
        <v>x</v>
      </c>
      <c r="CO132" s="243"/>
      <c r="CP132" s="243"/>
      <c r="CQ132" s="243" t="str">
        <f t="shared" si="205"/>
        <v>x</v>
      </c>
      <c r="CR132" s="243"/>
      <c r="CS132" s="7" t="str">
        <f t="shared" si="206"/>
        <v>x</v>
      </c>
      <c r="CT132" s="43">
        <f t="shared" ca="1" si="207"/>
        <v>3986.3019181385762</v>
      </c>
      <c r="CU132" s="243">
        <f t="shared" ca="1" si="208"/>
        <v>35.745308575265838</v>
      </c>
      <c r="CV132" s="243">
        <f t="shared" ca="1" si="199"/>
        <v>738.07066773369104</v>
      </c>
      <c r="CW132" s="243">
        <f t="shared" ca="1" si="200"/>
        <v>2446.4187059731503</v>
      </c>
      <c r="CX132" s="243"/>
      <c r="DC132" s="243"/>
      <c r="EV132" s="7"/>
      <c r="FD132" s="684"/>
    </row>
    <row r="133" spans="1:160" x14ac:dyDescent="0.35">
      <c r="A133" s="200" t="s">
        <v>131</v>
      </c>
      <c r="B133" s="7" t="s">
        <v>132</v>
      </c>
      <c r="C133" s="7" t="s">
        <v>127</v>
      </c>
      <c r="D133" s="243">
        <f t="shared" ca="1" si="182"/>
        <v>115.36542928251625</v>
      </c>
      <c r="E133" s="243">
        <f t="shared" ca="1" si="183"/>
        <v>173.83878023943072</v>
      </c>
      <c r="F133" s="243">
        <f t="shared" ca="1" si="184"/>
        <v>84.231716516748989</v>
      </c>
      <c r="G133" s="243">
        <f t="shared" ca="1" si="185"/>
        <v>266.0120465381745</v>
      </c>
      <c r="H133" s="243">
        <f t="shared" ca="1" si="186"/>
        <v>54.109315213302722</v>
      </c>
      <c r="I133" s="243">
        <f ca="1">VLOOKUP($A133,$A$31:$FD$46,COLUMN($P$28),0)</f>
        <v>172.3452581328286</v>
      </c>
      <c r="J133" s="243">
        <f ca="1">VLOOKUP($A133,$A$31:$FD$46,COLUMN($S$28),0)</f>
        <v>188.70044774391252</v>
      </c>
      <c r="K133" s="243">
        <f ca="1">VLOOKUP($A133,$A$31:$FD$46,COLUMN($T$28),0)</f>
        <v>237.81800411117976</v>
      </c>
      <c r="L133" s="243">
        <f t="shared" ca="1" si="187"/>
        <v>427.18803701743195</v>
      </c>
      <c r="M133" s="243">
        <f t="shared" ca="1" si="209"/>
        <v>163.44955412725798</v>
      </c>
      <c r="N133" s="243">
        <f ca="1">VLOOKUP($A133,$A$31:$FD$46,COLUMN($N$28),0)</f>
        <v>156.28226871933637</v>
      </c>
      <c r="O133" s="243">
        <f ca="1">VLOOKUP($A133,$A$31:$FD$46,COLUMN($O$28),0)</f>
        <v>81.87829322499968</v>
      </c>
      <c r="P133" s="243"/>
      <c r="Q133" s="243" t="str">
        <f t="shared" si="201"/>
        <v>x</v>
      </c>
      <c r="R133" s="243" t="str">
        <f t="shared" si="202"/>
        <v>x</v>
      </c>
      <c r="S133" s="43">
        <f t="shared" si="203"/>
        <v>0</v>
      </c>
      <c r="T133" s="243">
        <f t="shared" ca="1" si="204"/>
        <v>118.4474258422852</v>
      </c>
      <c r="U133" s="26">
        <f t="shared" ca="1" si="188"/>
        <v>92.292343426012991</v>
      </c>
      <c r="V133" s="26">
        <f t="shared" ca="1" si="189"/>
        <v>249.45808618793262</v>
      </c>
      <c r="BO133" s="243"/>
      <c r="BP133" s="243"/>
      <c r="BQ133" s="243"/>
      <c r="BR133" s="243"/>
      <c r="BS133" s="243"/>
      <c r="BT133" s="243"/>
      <c r="BU133" s="243"/>
      <c r="BV133" s="243"/>
      <c r="BW133" s="243"/>
      <c r="BX133" s="243"/>
      <c r="BY133" s="699"/>
      <c r="BZ133" s="243"/>
      <c r="CA133" s="243"/>
      <c r="CB133" s="200" t="s">
        <v>131</v>
      </c>
      <c r="CC133" s="243">
        <f t="shared" ca="1" si="190"/>
        <v>132.85257747554425</v>
      </c>
      <c r="CD133" s="243">
        <f t="shared" ca="1" si="191"/>
        <v>207.69569571588755</v>
      </c>
      <c r="CE133" s="243">
        <f t="shared" ca="1" si="192"/>
        <v>37.069382180075451</v>
      </c>
      <c r="CF133" s="243">
        <f t="shared" ca="1" si="193"/>
        <v>443.30271190664075</v>
      </c>
      <c r="CG133" s="243">
        <f t="shared" ca="1" si="194"/>
        <v>69.637689024400004</v>
      </c>
      <c r="CI133" s="243">
        <f ca="1">VLOOKUP($A133,$A$31:$FD$46,COLUMN($CK$28),0)</f>
        <v>438.15897087428044</v>
      </c>
      <c r="CJ133" s="243">
        <f ca="1">VLOOKUP($A133,$A$31:$FD$46,COLUMN($CL$28),0)</f>
        <v>490.15934526119372</v>
      </c>
      <c r="CK133" s="243">
        <f t="shared" ca="1" si="195"/>
        <v>797.86013256976582</v>
      </c>
      <c r="CL133" s="243">
        <f t="shared" ca="1" si="196"/>
        <v>147.69753126235273</v>
      </c>
      <c r="CM133" s="243">
        <f t="shared" ca="1" si="197"/>
        <v>48.89441716749841</v>
      </c>
      <c r="CN133" s="243">
        <f t="shared" ca="1" si="198"/>
        <v>37.430814819905635</v>
      </c>
      <c r="CO133" s="243"/>
      <c r="CP133" s="243"/>
      <c r="CQ133" s="243" t="str">
        <f t="shared" si="205"/>
        <v>x</v>
      </c>
      <c r="CR133" s="243"/>
      <c r="CS133" s="7" t="str">
        <f t="shared" si="206"/>
        <v>x</v>
      </c>
      <c r="CT133" s="43">
        <f t="shared" si="207"/>
        <v>0</v>
      </c>
      <c r="CU133" s="243">
        <f t="shared" ca="1" si="208"/>
        <v>118.4474258422852</v>
      </c>
      <c r="CV133" s="243">
        <f t="shared" ca="1" si="199"/>
        <v>106.2820619804354</v>
      </c>
      <c r="CW133" s="243">
        <f t="shared" ca="1" si="200"/>
        <v>532.0060440753773</v>
      </c>
      <c r="CX133" s="243"/>
      <c r="DC133" s="243"/>
      <c r="EV133" s="7"/>
      <c r="FD133" s="684"/>
    </row>
    <row r="134" spans="1:160" x14ac:dyDescent="0.35">
      <c r="A134" s="200" t="s">
        <v>129</v>
      </c>
      <c r="B134" s="7" t="s">
        <v>130</v>
      </c>
      <c r="C134" s="7" t="s">
        <v>127</v>
      </c>
      <c r="D134" s="243">
        <f t="shared" ca="1" si="182"/>
        <v>85.822087531625911</v>
      </c>
      <c r="E134" s="243">
        <f t="shared" ca="1" si="183"/>
        <v>28.111247840776404</v>
      </c>
      <c r="F134" s="243">
        <f t="shared" ca="1" si="184"/>
        <v>141.20106972505607</v>
      </c>
      <c r="G134" s="243">
        <f t="shared" ca="1" si="185"/>
        <v>55.419176362119686</v>
      </c>
      <c r="H134" s="243">
        <f t="shared" ca="1" si="186"/>
        <v>103.72266941127261</v>
      </c>
      <c r="I134" s="243">
        <f ca="1">VLOOKUP($A134,$A$31:$FD$46,COLUMN($P$28),0)</f>
        <v>169.0520366398446</v>
      </c>
      <c r="J134" s="243">
        <f ca="1">VLOOKUP($A134,$A$31:$FD$46,COLUMN($S$28),0)</f>
        <v>114.02932950968739</v>
      </c>
      <c r="K134" s="243">
        <f ca="1">VLOOKUP($A134,$A$31:$FD$46,COLUMN($T$28),0)</f>
        <v>78.685182782710712</v>
      </c>
      <c r="L134" s="243">
        <f t="shared" ca="1" si="187"/>
        <v>53.655492126082407</v>
      </c>
      <c r="M134" s="243" t="str">
        <f t="shared" si="209"/>
        <v>x</v>
      </c>
      <c r="N134" s="243">
        <f ca="1">VLOOKUP($A134,$A$31:$FD$46,COLUMN($N$28),0)</f>
        <v>37.941360035908254</v>
      </c>
      <c r="O134" s="243">
        <f ca="1">VLOOKUP($A134,$A$31:$FD$46,COLUMN($O$28),0)</f>
        <v>81.87829322499968</v>
      </c>
      <c r="P134" s="243"/>
      <c r="Q134" s="243" t="str">
        <f t="shared" si="201"/>
        <v>x</v>
      </c>
      <c r="R134" s="243" t="str">
        <f t="shared" si="202"/>
        <v>x</v>
      </c>
      <c r="S134" s="43" t="str">
        <f t="shared" si="203"/>
        <v>x</v>
      </c>
      <c r="T134" s="243">
        <f t="shared" ca="1" si="204"/>
        <v>134.23005676269531</v>
      </c>
      <c r="U134" s="26">
        <f t="shared" ca="1" si="188"/>
        <v>68.657670025300732</v>
      </c>
      <c r="V134" s="26">
        <f t="shared" ca="1" si="189"/>
        <v>44.303185754744149</v>
      </c>
      <c r="BO134" s="243"/>
      <c r="BP134" s="243"/>
      <c r="BQ134" s="243"/>
      <c r="BR134" s="243"/>
      <c r="BS134" s="243"/>
      <c r="BT134" s="243"/>
      <c r="BU134" s="243"/>
      <c r="BV134" s="243"/>
      <c r="BW134" s="243"/>
      <c r="BX134" s="243"/>
      <c r="BY134" s="699"/>
      <c r="BZ134" s="243"/>
      <c r="CA134" s="243"/>
      <c r="CB134" s="200" t="s">
        <v>129</v>
      </c>
      <c r="CC134" s="243">
        <f t="shared" ca="1" si="190"/>
        <v>279.08191297253887</v>
      </c>
      <c r="CD134" s="243">
        <f t="shared" ca="1" si="191"/>
        <v>308.90334405201918</v>
      </c>
      <c r="CE134" s="243">
        <f t="shared" ca="1" si="192"/>
        <v>613.1439022942551</v>
      </c>
      <c r="CF134" s="243">
        <f t="shared" ca="1" si="193"/>
        <v>459.42494808754515</v>
      </c>
      <c r="CG134" s="243">
        <f t="shared" ca="1" si="194"/>
        <v>651.26740939939975</v>
      </c>
      <c r="CI134" s="243">
        <f ca="1">VLOOKUP($A134,$A$31:$FD$46,COLUMN($CK$28),0)</f>
        <v>362.61871622796258</v>
      </c>
      <c r="CJ134" s="243">
        <f ca="1">VLOOKUP($A134,$A$31:$FD$46,COLUMN($CL$28),0)</f>
        <v>137.07713597641791</v>
      </c>
      <c r="CK134" s="243">
        <f t="shared" ca="1" si="195"/>
        <v>283.19382704811835</v>
      </c>
      <c r="CL134" s="243" t="str">
        <f t="shared" si="196"/>
        <v>x</v>
      </c>
      <c r="CM134" s="243">
        <f t="shared" ca="1" si="197"/>
        <v>96.430656080344079</v>
      </c>
      <c r="CN134" s="243">
        <f t="shared" ca="1" si="198"/>
        <v>203.19585187948766</v>
      </c>
      <c r="CO134" s="243"/>
      <c r="CP134" s="243"/>
      <c r="CQ134" s="243" t="str">
        <f t="shared" si="205"/>
        <v>x</v>
      </c>
      <c r="CR134" s="243"/>
      <c r="CS134" s="7" t="str">
        <f t="shared" si="206"/>
        <v>x</v>
      </c>
      <c r="CT134" s="43" t="str">
        <f t="shared" si="207"/>
        <v>x</v>
      </c>
      <c r="CU134" s="243">
        <f t="shared" ca="1" si="208"/>
        <v>134.23005676269531</v>
      </c>
      <c r="CV134" s="243">
        <f t="shared" ca="1" si="199"/>
        <v>223.26553037803109</v>
      </c>
      <c r="CW134" s="243">
        <f t="shared" ca="1" si="200"/>
        <v>267.24959145737301</v>
      </c>
      <c r="CX134" s="243"/>
      <c r="DC134" s="243"/>
      <c r="EV134" s="7"/>
      <c r="FD134" s="684"/>
    </row>
    <row r="135" spans="1:160" x14ac:dyDescent="0.35">
      <c r="A135" s="200" t="s">
        <v>139</v>
      </c>
      <c r="B135" s="7" t="s">
        <v>140</v>
      </c>
      <c r="C135" s="7" t="s">
        <v>127</v>
      </c>
      <c r="D135" s="243">
        <f t="shared" ca="1" si="182"/>
        <v>36.063122450039202</v>
      </c>
      <c r="E135" s="243">
        <f t="shared" ca="1" si="183"/>
        <v>41.08733075345431</v>
      </c>
      <c r="F135" s="243">
        <f t="shared" ca="1" si="184"/>
        <v>32.700586661683175</v>
      </c>
      <c r="G135" s="243">
        <f t="shared" ca="1" si="185"/>
        <v>54.282372744435165</v>
      </c>
      <c r="H135" s="243">
        <f t="shared" ca="1" si="186"/>
        <v>28.781615067329334</v>
      </c>
      <c r="I135" s="243"/>
      <c r="J135" s="243">
        <f ca="1">VLOOKUP($A135,$A$31:$FD$46,COLUMN($S$28),0)</f>
        <v>31.311949808830789</v>
      </c>
      <c r="K135" s="243">
        <f ca="1">VLOOKUP($A135,$A$31:$FD$46,COLUMN($T$28),0)</f>
        <v>46.549225483577779</v>
      </c>
      <c r="L135" s="243">
        <f t="shared" ca="1" si="187"/>
        <v>17.356003366590198</v>
      </c>
      <c r="M135" s="243">
        <f t="shared" ca="1" si="209"/>
        <v>22.056300565538688</v>
      </c>
      <c r="N135" s="243"/>
      <c r="O135" s="243">
        <f ca="1">VLOOKUP($A135,$A$31:$FD$46,COLUMN($O$28),0)</f>
        <v>63.801267448051696</v>
      </c>
      <c r="P135" s="243"/>
      <c r="Q135" s="243" t="str">
        <f t="shared" si="201"/>
        <v>x</v>
      </c>
      <c r="R135" s="243" t="str">
        <f t="shared" si="202"/>
        <v>x</v>
      </c>
      <c r="S135" s="43">
        <f t="shared" si="203"/>
        <v>0</v>
      </c>
      <c r="T135" s="243">
        <f t="shared" ca="1" si="204"/>
        <v>70.089530944824219</v>
      </c>
      <c r="U135" s="26">
        <f t="shared" ca="1" si="188"/>
        <v>28.850497960031362</v>
      </c>
      <c r="V135" s="26">
        <f t="shared" ca="1" si="189"/>
        <v>27.221126795828013</v>
      </c>
      <c r="BO135" s="243"/>
      <c r="BP135" s="243"/>
      <c r="BQ135" s="243"/>
      <c r="BR135" s="243"/>
      <c r="BS135" s="243"/>
      <c r="BT135" s="243"/>
      <c r="BU135" s="243"/>
      <c r="BV135" s="243"/>
      <c r="BW135" s="243"/>
      <c r="BX135" s="243"/>
      <c r="BY135" s="699"/>
      <c r="BZ135" s="243"/>
      <c r="CA135" s="243"/>
      <c r="CB135" s="200" t="s">
        <v>139</v>
      </c>
      <c r="CC135" s="243">
        <f t="shared" ca="1" si="190"/>
        <v>51.388697023115611</v>
      </c>
      <c r="CD135" s="243">
        <f t="shared" ca="1" si="191"/>
        <v>18.582387891224172</v>
      </c>
      <c r="CE135" s="243">
        <f t="shared" ca="1" si="192"/>
        <v>115.70560129846363</v>
      </c>
      <c r="CF135" s="243">
        <f t="shared" ca="1" si="193"/>
        <v>24.054031521242571</v>
      </c>
      <c r="CG135" s="243">
        <f t="shared" ca="1" si="194"/>
        <v>108.59257765377191</v>
      </c>
      <c r="CI135" s="243">
        <f ca="1">VLOOKUP($A135,$A$31:$FD$46,COLUMN($CK$28),0)</f>
        <v>71.547937090870136</v>
      </c>
      <c r="CJ135" s="243">
        <f ca="1">VLOOKUP($A135,$A$31:$FD$46,COLUMN($CL$28),0)</f>
        <v>68.58344357474887</v>
      </c>
      <c r="CK135" s="243">
        <f t="shared" ca="1" si="195"/>
        <v>27.217369706899699</v>
      </c>
      <c r="CL135" s="243">
        <f t="shared" ca="1" si="196"/>
        <v>25.262160982821641</v>
      </c>
      <c r="CM135" s="243">
        <f t="shared" ca="1" si="197"/>
        <v>64.02585883736721</v>
      </c>
      <c r="CN135" s="243">
        <f t="shared" ca="1" si="198"/>
        <v>117.63970371970341</v>
      </c>
      <c r="CO135" s="243"/>
      <c r="CP135" s="243"/>
      <c r="CQ135" s="243" t="str">
        <f t="shared" si="205"/>
        <v>x</v>
      </c>
      <c r="CR135" s="243"/>
      <c r="CS135" s="7" t="str">
        <f t="shared" si="206"/>
        <v>x</v>
      </c>
      <c r="CT135" s="43">
        <f t="shared" si="207"/>
        <v>0</v>
      </c>
      <c r="CU135" s="243">
        <f t="shared" ca="1" si="208"/>
        <v>70.089530944824219</v>
      </c>
      <c r="CV135" s="243">
        <f t="shared" ca="1" si="199"/>
        <v>41.110957618492492</v>
      </c>
      <c r="CW135" s="243">
        <f t="shared" ca="1" si="200"/>
        <v>53.000805357270238</v>
      </c>
      <c r="CX135" s="243"/>
      <c r="DC135" s="243"/>
      <c r="EV135" s="7"/>
      <c r="FD135" s="684"/>
    </row>
    <row r="136" spans="1:160" x14ac:dyDescent="0.35">
      <c r="A136" s="200" t="s">
        <v>133</v>
      </c>
      <c r="B136" s="7" t="s">
        <v>134</v>
      </c>
      <c r="C136" s="7" t="s">
        <v>127</v>
      </c>
      <c r="D136" s="243">
        <f t="shared" ca="1" si="182"/>
        <v>13.304326831287657</v>
      </c>
      <c r="E136" s="243">
        <f t="shared" ca="1" si="183"/>
        <v>25.634921578785622</v>
      </c>
      <c r="F136" s="243">
        <f t="shared" ca="1" si="184"/>
        <v>24.919943395889828</v>
      </c>
      <c r="G136" s="243">
        <f t="shared" ca="1" si="185"/>
        <v>37.798720288009839</v>
      </c>
      <c r="H136" s="243">
        <f t="shared" ca="1" si="186"/>
        <v>19.699482664623343</v>
      </c>
      <c r="I136" s="243"/>
      <c r="J136" s="243"/>
      <c r="K136" s="243"/>
      <c r="L136" s="243">
        <f t="shared" ca="1" si="187"/>
        <v>21.179197120262128</v>
      </c>
      <c r="M136" s="243">
        <f t="shared" ca="1" si="209"/>
        <v>2.8616076289535179</v>
      </c>
      <c r="N136" s="243"/>
      <c r="O136" s="243"/>
      <c r="P136" s="243"/>
      <c r="Q136" s="243" t="str">
        <f t="shared" si="201"/>
        <v>x</v>
      </c>
      <c r="R136" s="243" t="str">
        <f t="shared" si="202"/>
        <v>x</v>
      </c>
      <c r="S136" s="243">
        <f t="shared" si="203"/>
        <v>0</v>
      </c>
      <c r="T136" s="243">
        <f t="shared" ca="1" si="204"/>
        <v>5.445775619538213</v>
      </c>
      <c r="U136" s="26">
        <f t="shared" ca="1" si="188"/>
        <v>10.643461465030125</v>
      </c>
      <c r="V136" s="26">
        <f t="shared" ca="1" si="189"/>
        <v>9.8644757979983737</v>
      </c>
      <c r="BO136" s="243"/>
      <c r="BP136" s="243"/>
      <c r="BQ136" s="243"/>
      <c r="BR136" s="243"/>
      <c r="BS136" s="243"/>
      <c r="BT136" s="243"/>
      <c r="BU136" s="243"/>
      <c r="BV136" s="243"/>
      <c r="BW136" s="243"/>
      <c r="BX136" s="243"/>
      <c r="BY136" s="699"/>
      <c r="BZ136" s="243"/>
      <c r="CA136" s="243"/>
      <c r="CB136" s="200" t="s">
        <v>133</v>
      </c>
      <c r="CC136" s="243">
        <f t="shared" ca="1" si="190"/>
        <v>8.8791467176272239</v>
      </c>
      <c r="CD136" s="243">
        <f t="shared" ca="1" si="191"/>
        <v>25.25320611321068</v>
      </c>
      <c r="CE136" s="243">
        <f t="shared" ca="1" si="192"/>
        <v>4.5305000347829747</v>
      </c>
      <c r="CF136" s="243">
        <f t="shared" ca="1" si="193"/>
        <v>42.069866273516347</v>
      </c>
      <c r="CG136" s="243">
        <f t="shared" ca="1" si="194"/>
        <v>5.3580427823917383</v>
      </c>
      <c r="CI136" s="243"/>
      <c r="CJ136" s="243"/>
      <c r="CK136" s="243">
        <f t="shared" ca="1" si="195"/>
        <v>29.448304546391309</v>
      </c>
      <c r="CL136" s="243">
        <f t="shared" ca="1" si="196"/>
        <v>2.8209408075897282</v>
      </c>
      <c r="CM136" s="243" t="str">
        <f t="shared" si="197"/>
        <v>x</v>
      </c>
      <c r="CN136" s="243" t="str">
        <f t="shared" si="198"/>
        <v>x</v>
      </c>
      <c r="CO136" s="243"/>
      <c r="CP136" s="243"/>
      <c r="CQ136" s="243" t="str">
        <f t="shared" si="205"/>
        <v>x</v>
      </c>
      <c r="CR136" s="243"/>
      <c r="CS136" s="7" t="str">
        <f t="shared" si="206"/>
        <v>x</v>
      </c>
      <c r="CT136" s="43">
        <f>IF(VLOOKUP($A136,$A$31:$FD$46,COLUMN($CO$28),0)="","",VLOOKUP($A136,$A$31:$FD$46,COLUMN($CO$28),0))</f>
        <v>0</v>
      </c>
      <c r="CU136" s="243">
        <f t="shared" ca="1" si="208"/>
        <v>3.5521670938868906</v>
      </c>
      <c r="CV136" s="243">
        <f t="shared" ca="1" si="199"/>
        <v>7.1033173741017794</v>
      </c>
      <c r="CW136" s="243">
        <f t="shared" ca="1" si="200"/>
        <v>16.455326263011273</v>
      </c>
      <c r="CX136" s="243"/>
      <c r="EV136" s="7"/>
      <c r="FD136" s="684"/>
    </row>
    <row r="137" spans="1:160" x14ac:dyDescent="0.35">
      <c r="BU137" s="7"/>
      <c r="BY137" s="684"/>
      <c r="EV137" s="7"/>
      <c r="EZ137" s="684"/>
    </row>
    <row r="138" spans="1:160" x14ac:dyDescent="0.35">
      <c r="BU138" s="7"/>
      <c r="BY138" s="684"/>
      <c r="EV138" s="7"/>
      <c r="EZ138" s="684"/>
    </row>
    <row r="139" spans="1:160" ht="43.5" x14ac:dyDescent="0.45">
      <c r="A139" s="478" t="s">
        <v>180</v>
      </c>
      <c r="D139" s="249" t="s">
        <v>171</v>
      </c>
      <c r="E139" s="249" t="s">
        <v>176</v>
      </c>
      <c r="F139" s="249" t="s">
        <v>56</v>
      </c>
      <c r="G139" s="584" t="s">
        <v>62</v>
      </c>
      <c r="H139" s="581" t="s">
        <v>60</v>
      </c>
      <c r="I139" s="249" t="s">
        <v>67</v>
      </c>
      <c r="J139" s="249" t="s">
        <v>71</v>
      </c>
      <c r="K139" s="249" t="s">
        <v>72</v>
      </c>
      <c r="L139" s="249" t="s">
        <v>177</v>
      </c>
      <c r="M139" s="249" t="s">
        <v>63</v>
      </c>
      <c r="N139" s="249" t="s">
        <v>65</v>
      </c>
      <c r="O139" s="249" t="s">
        <v>66</v>
      </c>
      <c r="P139" s="709" t="s">
        <v>73</v>
      </c>
      <c r="Q139" s="829" t="s">
        <v>74</v>
      </c>
      <c r="R139" s="829" t="s">
        <v>75</v>
      </c>
      <c r="S139" s="829" t="s">
        <v>178</v>
      </c>
      <c r="T139" s="829" t="s">
        <v>179</v>
      </c>
      <c r="U139" s="706" t="s">
        <v>172</v>
      </c>
      <c r="V139" s="706" t="s">
        <v>173</v>
      </c>
      <c r="BU139" s="7"/>
      <c r="BY139" s="684"/>
      <c r="CB139" s="402"/>
      <c r="CC139" s="249" t="s">
        <v>171</v>
      </c>
      <c r="CD139" s="249" t="s">
        <v>176</v>
      </c>
      <c r="CE139" s="249" t="s">
        <v>56</v>
      </c>
      <c r="CF139" s="584" t="s">
        <v>62</v>
      </c>
      <c r="CG139" s="581" t="s">
        <v>60</v>
      </c>
      <c r="CH139" s="694" t="s">
        <v>67</v>
      </c>
      <c r="CI139" s="249" t="s">
        <v>71</v>
      </c>
      <c r="CJ139" s="249" t="s">
        <v>72</v>
      </c>
      <c r="CK139" s="249" t="s">
        <v>177</v>
      </c>
      <c r="CL139" s="249" t="s">
        <v>63</v>
      </c>
      <c r="CM139" s="249" t="s">
        <v>65</v>
      </c>
      <c r="CN139" s="249" t="s">
        <v>66</v>
      </c>
      <c r="CO139" s="695" t="s">
        <v>73</v>
      </c>
      <c r="CP139" s="695"/>
      <c r="CQ139" s="829" t="s">
        <v>74</v>
      </c>
      <c r="CR139" s="829"/>
      <c r="CS139" s="7" t="s">
        <v>75</v>
      </c>
      <c r="CT139" s="829" t="s">
        <v>178</v>
      </c>
      <c r="CU139" s="829" t="s">
        <v>179</v>
      </c>
      <c r="CV139" s="52" t="s">
        <v>172</v>
      </c>
      <c r="CW139" s="52" t="s">
        <v>173</v>
      </c>
      <c r="EV139" s="7"/>
      <c r="EZ139" s="684"/>
    </row>
    <row r="140" spans="1:160" x14ac:dyDescent="0.35">
      <c r="A140" s="200" t="s">
        <v>125</v>
      </c>
      <c r="B140" s="7" t="s">
        <v>126</v>
      </c>
      <c r="C140" s="7" t="s">
        <v>127</v>
      </c>
      <c r="D140" s="243">
        <f t="shared" ref="D140:D147" ca="1" si="210">VLOOKUP($A140,$A$55:$FD$70,COLUMN($BE$52),0)</f>
        <v>7622.6095930999772</v>
      </c>
      <c r="E140" s="243">
        <f t="shared" ref="E140:E147" ca="1" si="211">VLOOKUP($A140,$A$55:$FD$70,COLUMN($D$52),0)</f>
        <v>670.99390887298591</v>
      </c>
      <c r="F140" s="243">
        <f t="shared" ref="F140:F147" ca="1" si="212">VLOOKUP($A140,$A$55:$FD$70,COLUMN($I$52),0)</f>
        <v>47.605134837061335</v>
      </c>
      <c r="G140" s="243">
        <f t="shared" ref="G140:G147" ca="1" si="213">VLOOKUP($A140,$A$55:$FD$70,COLUMN($G$52),0)</f>
        <v>1286.0716586732228</v>
      </c>
      <c r="H140" s="243"/>
      <c r="I140" s="243" t="str">
        <f t="shared" ref="I140:I147" si="214">VLOOKUP($A140,$A$55:$FD$70,COLUMN($P$52),0)</f>
        <v>x</v>
      </c>
      <c r="J140" s="243"/>
      <c r="K140" s="243">
        <f ca="1">VLOOKUP($A140,$A$55:$FD$70,COLUMN($T$52),0)</f>
        <v>387.45832826120522</v>
      </c>
      <c r="L140" s="243">
        <f t="shared" ref="L140:L147" ca="1" si="215">VLOOKUP($A140,$A$55:$FD$70,COLUMN($H$52),0)</f>
        <v>437.86379102101603</v>
      </c>
      <c r="M140" s="243"/>
      <c r="N140" s="243"/>
      <c r="O140" s="243"/>
      <c r="P140" s="243"/>
      <c r="Q140" s="243" t="str">
        <f>IF(VLOOKUP($A140,$A$55:$FD$70,COLUMN($U$28),0)="","",VLOOKUP($A140,$A$55:$FD$70,COLUMN($U$28),0))</f>
        <v>x</v>
      </c>
      <c r="R140" s="243" t="str">
        <f>IF(VLOOKUP($A140,$A$55:$FD$70,COLUMN($V$28),0)="","",VLOOKUP($A140,$A$55:$FD$70,COLUMN($V$28),0))</f>
        <v>x</v>
      </c>
      <c r="S140" s="43">
        <f>IF(VLOOKUP($A140,$A$55:$FD$70,COLUMN($W$28),0)="","",VLOOKUP($A140,$A$55:$FD$70,COLUMN($W$28),0))</f>
        <v>17539.595465620605</v>
      </c>
      <c r="T140" s="243">
        <f>IF(VLOOKUP($A140,$A$55:$FD$70,COLUMN($Y$28),0)="","",VLOOKUP($A140,$A$55:$FD$70,COLUMN($Y$28),0))</f>
        <v>14669.2265625</v>
      </c>
      <c r="U140" s="26">
        <f t="shared" ref="U140:U147" ca="1" si="216">VLOOKUP($A140,$A$55:$FD$70,COLUMN($BJ$52),0)</f>
        <v>6060.0035666103322</v>
      </c>
      <c r="V140" s="26">
        <f t="shared" ref="V140:V147" ca="1" si="217">VLOOKUP($A140,$A$55:$FD$70,COLUMN($BK$52),0)</f>
        <v>7933.5886980165023</v>
      </c>
      <c r="BU140" s="7"/>
      <c r="BY140" s="684"/>
      <c r="CB140" s="200" t="s">
        <v>125</v>
      </c>
      <c r="CC140" s="243">
        <f t="shared" ref="CC140:CC147" ca="1" si="218">VLOOKUP($A140,$A$55:$FD$70,COLUMN($EO$52),0)</f>
        <v>6972.4197788726624</v>
      </c>
      <c r="CD140" s="243">
        <f t="shared" ref="CD140:CD147" ca="1" si="219">VLOOKUP($A140,$A$55:$FD$70,COLUMN($BV$52),0)</f>
        <v>657.70066863241811</v>
      </c>
      <c r="CE140" s="243">
        <f t="shared" ref="CE140:CE147" ca="1" si="220">VLOOKUP($A140,$A$55:$FD$70,COLUMN($CA$52),0)</f>
        <v>122.71155623456495</v>
      </c>
      <c r="CF140" s="243">
        <f t="shared" ref="CF140:CF147" ca="1" si="221">VLOOKUP($A140,$A$55:$FD$70,COLUMN($BY$52),0)</f>
        <v>7965.4858756592866</v>
      </c>
      <c r="CG140" s="243"/>
      <c r="CI140" s="243"/>
      <c r="CJ140" s="243">
        <f ca="1">VLOOKUP($A140,$A$55:$FD$70,COLUMN($CL$52),0)</f>
        <v>1407.2443989049395</v>
      </c>
      <c r="CK140" s="243">
        <f t="shared" ref="CK140:CK147" ca="1" si="222">VLOOKUP($A140,$A$55:$FD$70,COLUMN($BZ$52),0)</f>
        <v>2436.8849864826743</v>
      </c>
      <c r="CL140" s="243"/>
      <c r="CM140" s="243"/>
      <c r="CN140" s="243"/>
      <c r="CO140" s="243"/>
      <c r="CP140" s="243"/>
      <c r="CQ140" s="243" t="str">
        <f>IF(VLOOKUP($A140,$A$55:$FD$70,COLUMN($CM$28),0)="","",VLOOKUP($A140,$A$55:$FD$70,COLUMN($CM$28),0))</f>
        <v>x</v>
      </c>
      <c r="CR140" s="243"/>
      <c r="CS140" s="7" t="str">
        <f>IF(VLOOKUP($A140,$A$55:$FD$70,COLUMN($CN$28),0)="","",VLOOKUP($A140,$A$55:$FD$70,COLUMN($CN$28),0))</f>
        <v>x</v>
      </c>
      <c r="CT140" s="701">
        <f>IF(VLOOKUP($A140,$A$55:$FD$70,COLUMN($CO$28),0)="","",VLOOKUP($A140,$A$55:$FD$70,COLUMN($CO$28),0))</f>
        <v>6784.9706277194809</v>
      </c>
      <c r="CU140" s="243">
        <f>IF(VLOOKUP($A140,$A$55:$FD$70,COLUMN($CQ$28),0)="","",VLOOKUP($A140,$A$55:$FD$70,COLUMN($CQ$28),0))</f>
        <v>14669.2265625</v>
      </c>
      <c r="CV140" s="243">
        <f ca="1">VLOOKUP($A140,$A$55:$FD$70,COLUMN($ET$28),0)</f>
        <v>5479.7665781104779</v>
      </c>
      <c r="CW140" s="243">
        <f ca="1">VLOOKUP($A140,$A$55:$FD$70,COLUMN($EU$28),0)</f>
        <v>6157.4454269018706</v>
      </c>
      <c r="CX140" s="243"/>
      <c r="EV140" s="7"/>
      <c r="EZ140" s="684"/>
    </row>
    <row r="141" spans="1:160" x14ac:dyDescent="0.35">
      <c r="A141" s="200" t="s">
        <v>141</v>
      </c>
      <c r="B141" s="7" t="s">
        <v>142</v>
      </c>
      <c r="C141" s="7" t="s">
        <v>127</v>
      </c>
      <c r="D141" s="243">
        <f t="shared" ca="1" si="210"/>
        <v>1538.744562493473</v>
      </c>
      <c r="E141" s="243">
        <f t="shared" ca="1" si="211"/>
        <v>447.32927258199061</v>
      </c>
      <c r="F141" s="243">
        <f t="shared" ca="1" si="212"/>
        <v>226.43797756730081</v>
      </c>
      <c r="G141" s="243">
        <f t="shared" ca="1" si="213"/>
        <v>3299.0533852921799</v>
      </c>
      <c r="H141" s="243"/>
      <c r="I141" s="243" t="str">
        <f t="shared" si="214"/>
        <v>x</v>
      </c>
      <c r="J141" s="243"/>
      <c r="K141" s="243"/>
      <c r="L141" s="243">
        <f t="shared" ca="1" si="215"/>
        <v>257.00700777320509</v>
      </c>
      <c r="M141" s="243"/>
      <c r="N141" s="243"/>
      <c r="O141" s="243"/>
      <c r="P141" s="243"/>
      <c r="Q141" s="243" t="str">
        <f t="shared" ref="Q141:Q147" si="223">IF(VLOOKUP($A141,$A$55:$FD$70,COLUMN($U$28),0)="","",VLOOKUP($A141,$A$55:$FD$70,COLUMN($U$28),0))</f>
        <v>x</v>
      </c>
      <c r="R141" s="243" t="str">
        <f t="shared" ref="R141:R147" si="224">IF(VLOOKUP($A141,$A$55:$FD$70,COLUMN($V$28),0)="","",VLOOKUP($A141,$A$55:$FD$70,COLUMN($V$28),0))</f>
        <v>x</v>
      </c>
      <c r="S141" s="43">
        <f t="shared" ref="S141:S147" si="225">IF(VLOOKUP($A141,$A$55:$FD$70,COLUMN($W$28),0)="","",VLOOKUP($A141,$A$55:$FD$70,COLUMN($W$28),0))</f>
        <v>2432.6554226099865</v>
      </c>
      <c r="T141" s="243">
        <f t="shared" ref="T141:T147" ca="1" si="226">IF(VLOOKUP($A141,$A$55:$FD$70,COLUMN($Y$28),0)="","",VLOOKUP($A141,$A$55:$FD$70,COLUMN($Y$28),0))</f>
        <v>3103.4169562152765</v>
      </c>
      <c r="U141" s="26">
        <f t="shared" ca="1" si="216"/>
        <v>1049.8452679409379</v>
      </c>
      <c r="V141" s="26">
        <f t="shared" ca="1" si="217"/>
        <v>1251.7379149774429</v>
      </c>
      <c r="BU141" s="7"/>
      <c r="BY141" s="684"/>
      <c r="CB141" s="200" t="s">
        <v>141</v>
      </c>
      <c r="CC141" s="243">
        <f t="shared" ca="1" si="218"/>
        <v>3220.7143209952542</v>
      </c>
      <c r="CD141" s="243">
        <f t="shared" ca="1" si="219"/>
        <v>2192.3355621080605</v>
      </c>
      <c r="CE141" s="243">
        <f t="shared" ca="1" si="220"/>
        <v>46.25957403737916</v>
      </c>
      <c r="CF141" s="243">
        <f t="shared" ca="1" si="221"/>
        <v>1169.245633124299</v>
      </c>
      <c r="CG141" s="243"/>
      <c r="CH141" s="243"/>
      <c r="CI141" s="243"/>
      <c r="CJ141" s="243"/>
      <c r="CK141" s="243">
        <f t="shared" ca="1" si="222"/>
        <v>915.71639969206558</v>
      </c>
      <c r="CL141" s="243"/>
      <c r="CM141" s="243"/>
      <c r="CN141" s="243"/>
      <c r="CO141" s="243"/>
      <c r="CP141" s="243"/>
      <c r="CQ141" s="243" t="str">
        <f t="shared" ref="CQ141:CQ147" si="227">IF(VLOOKUP($A141,$A$55:$FD$70,COLUMN($CM$28),0)="","",VLOOKUP($A141,$A$55:$FD$70,COLUMN($CM$28),0))</f>
        <v>x</v>
      </c>
      <c r="CR141" s="243"/>
      <c r="CS141" s="7" t="str">
        <f t="shared" ref="CS141:CS147" si="228">IF(VLOOKUP($A141,$A$55:$FD$70,COLUMN($CN$28),0)="","",VLOOKUP($A141,$A$55:$FD$70,COLUMN($CN$28),0))</f>
        <v>x</v>
      </c>
      <c r="CT141" s="701">
        <f t="shared" ref="CT141:CT147" si="229">IF(VLOOKUP($A141,$A$55:$FD$70,COLUMN($CO$28),0)="","",VLOOKUP($A141,$A$55:$FD$70,COLUMN($CO$28),0))</f>
        <v>2123.4974107408293</v>
      </c>
      <c r="CU141" s="243">
        <f t="shared" ref="CU141:CU147" ca="1" si="230">IF(VLOOKUP($A141,$A$55:$FD$70,COLUMN($CQ$28),0)="","",VLOOKUP($A141,$A$55:$FD$70,COLUMN($CQ$28),0))</f>
        <v>5562.2743548111539</v>
      </c>
      <c r="CV141" s="243">
        <f t="shared" ref="CV141:CV147" ca="1" si="231">VLOOKUP($A141,$A$55:$FD$70,COLUMN($ET$28),0)</f>
        <v>2539.5637975662999</v>
      </c>
      <c r="CW141" s="243">
        <f t="shared" ref="CW141:CW147" ca="1" si="232">VLOOKUP($A141,$A$55:$FD$70,COLUMN($EU$28),0)</f>
        <v>1873.2480270527199</v>
      </c>
      <c r="CX141" s="243"/>
      <c r="EV141" s="7"/>
      <c r="EZ141" s="684"/>
    </row>
    <row r="142" spans="1:160" x14ac:dyDescent="0.35">
      <c r="A142" s="200" t="s">
        <v>137</v>
      </c>
      <c r="B142" s="7" t="s">
        <v>138</v>
      </c>
      <c r="C142" s="7" t="s">
        <v>127</v>
      </c>
      <c r="D142" s="243">
        <f t="shared" ca="1" si="210"/>
        <v>3038.9562982561574</v>
      </c>
      <c r="E142" s="243">
        <f t="shared" ca="1" si="211"/>
        <v>260.23872775996313</v>
      </c>
      <c r="F142" s="243">
        <f t="shared" ca="1" si="212"/>
        <v>36.166957745748803</v>
      </c>
      <c r="G142" s="243">
        <f t="shared" ca="1" si="213"/>
        <v>587.11967026386287</v>
      </c>
      <c r="H142" s="243"/>
      <c r="I142" s="243">
        <f t="shared" ca="1" si="214"/>
        <v>331.62462546974695</v>
      </c>
      <c r="J142" s="243">
        <f ca="1">VLOOKUP($A142,$A$55:$FD$70,COLUMN($S$52),0)</f>
        <v>149.78088916431807</v>
      </c>
      <c r="K142" s="243">
        <f ca="1">VLOOKUP($A142,$A$55:$FD$70,COLUMN($T$52),0)</f>
        <v>152.61700747461217</v>
      </c>
      <c r="L142" s="243">
        <f t="shared" ca="1" si="215"/>
        <v>390.26990069264468</v>
      </c>
      <c r="M142" s="243"/>
      <c r="N142" s="243"/>
      <c r="O142" s="243"/>
      <c r="P142" s="243"/>
      <c r="Q142" s="243" t="str">
        <f t="shared" si="223"/>
        <v>x</v>
      </c>
      <c r="R142" s="243" t="str">
        <f t="shared" si="224"/>
        <v>x</v>
      </c>
      <c r="S142" s="43">
        <f t="shared" si="225"/>
        <v>0</v>
      </c>
      <c r="T142" s="243">
        <f t="shared" si="226"/>
        <v>10708.5107421875</v>
      </c>
      <c r="U142" s="26">
        <f t="shared" ca="1" si="216"/>
        <v>2431.1650386049259</v>
      </c>
      <c r="V142" s="26">
        <f t="shared" ca="1" si="217"/>
        <v>10542.093638341506</v>
      </c>
      <c r="BU142" s="7"/>
      <c r="BY142" s="684"/>
      <c r="CB142" s="200" t="s">
        <v>137</v>
      </c>
      <c r="CC142" s="243">
        <f t="shared" ca="1" si="218"/>
        <v>3802.8500319821865</v>
      </c>
      <c r="CD142" s="243">
        <f t="shared" ca="1" si="219"/>
        <v>76.122762573196539</v>
      </c>
      <c r="CE142" s="243">
        <f t="shared" ca="1" si="220"/>
        <v>10.189737398103325</v>
      </c>
      <c r="CF142" s="243">
        <f t="shared" ca="1" si="221"/>
        <v>219.23355621080603</v>
      </c>
      <c r="CG142" s="243"/>
      <c r="CI142" s="243">
        <f ca="1">VLOOKUP($A142,$A$55:$FD$70,COLUMN($CK$52),0)</f>
        <v>348.33479993731117</v>
      </c>
      <c r="CJ142" s="243">
        <f ca="1">VLOOKUP($A142,$A$55:$FD$70,COLUMN($CL$52),0)</f>
        <v>667.09216139358898</v>
      </c>
      <c r="CK142" s="243">
        <f t="shared" ca="1" si="222"/>
        <v>823.4009850955664</v>
      </c>
      <c r="CL142" s="243"/>
      <c r="CM142" s="243"/>
      <c r="CN142" s="243"/>
      <c r="CO142" s="243"/>
      <c r="CP142" s="243"/>
      <c r="CQ142" s="243" t="str">
        <f t="shared" si="227"/>
        <v>x</v>
      </c>
      <c r="CR142" s="243"/>
      <c r="CS142" s="7" t="str">
        <f t="shared" si="228"/>
        <v>x</v>
      </c>
      <c r="CT142" s="701">
        <f t="shared" si="229"/>
        <v>0</v>
      </c>
      <c r="CU142" s="243">
        <f t="shared" si="230"/>
        <v>10708.5107421875</v>
      </c>
      <c r="CV142" s="243">
        <f t="shared" ca="1" si="231"/>
        <v>3042.2800255857492</v>
      </c>
      <c r="CW142" s="243">
        <f t="shared" ca="1" si="232"/>
        <v>9930.9786513606832</v>
      </c>
      <c r="CX142" s="243"/>
      <c r="EV142" s="7"/>
      <c r="EZ142" s="684"/>
    </row>
    <row r="143" spans="1:160" x14ac:dyDescent="0.35">
      <c r="A143" s="200" t="s">
        <v>135</v>
      </c>
      <c r="B143" s="7" t="s">
        <v>136</v>
      </c>
      <c r="C143" s="7" t="s">
        <v>127</v>
      </c>
      <c r="D143" s="243">
        <f t="shared" ca="1" si="210"/>
        <v>129.80393778360127</v>
      </c>
      <c r="E143" s="243">
        <f t="shared" ca="1" si="211"/>
        <v>8.1544398647758722</v>
      </c>
      <c r="F143" s="243">
        <f t="shared" ca="1" si="212"/>
        <v>155.04854008821499</v>
      </c>
      <c r="G143" s="243">
        <f t="shared" ca="1" si="213"/>
        <v>7.4554878763665107</v>
      </c>
      <c r="H143" s="243"/>
      <c r="I143" s="243">
        <f t="shared" ca="1" si="214"/>
        <v>46.672450063537354</v>
      </c>
      <c r="J143" s="243">
        <f ca="1">VLOOKUP($A143,$A$55:$FD$70,COLUMN($S$52),0)</f>
        <v>55.928404178913581</v>
      </c>
      <c r="K143" s="243"/>
      <c r="L143" s="243">
        <f t="shared" ca="1" si="215"/>
        <v>172.20523031397946</v>
      </c>
      <c r="M143" s="243"/>
      <c r="N143" s="243"/>
      <c r="O143" s="243"/>
      <c r="P143" s="243"/>
      <c r="Q143" s="243" t="str">
        <f t="shared" si="223"/>
        <v>x</v>
      </c>
      <c r="R143" s="243" t="str">
        <f t="shared" si="224"/>
        <v>x</v>
      </c>
      <c r="S143" s="43">
        <f t="shared" si="225"/>
        <v>0</v>
      </c>
      <c r="T143" s="243">
        <f t="shared" ca="1" si="226"/>
        <v>312.40515970505493</v>
      </c>
      <c r="U143" s="26">
        <f t="shared" ca="1" si="216"/>
        <v>103.84315022688102</v>
      </c>
      <c r="V143" s="26">
        <f t="shared" ca="1" si="217"/>
        <v>146.08097753716294</v>
      </c>
      <c r="BU143" s="7"/>
      <c r="BY143" s="684"/>
      <c r="CB143" s="200" t="s">
        <v>135</v>
      </c>
      <c r="CC143" s="243">
        <f t="shared" ca="1" si="218"/>
        <v>159.31311691882092</v>
      </c>
      <c r="CD143" s="243">
        <f t="shared" ca="1" si="219"/>
        <v>4.8718568046845796</v>
      </c>
      <c r="CE143" s="243">
        <f t="shared" ca="1" si="220"/>
        <v>1935.4368831617396</v>
      </c>
      <c r="CF143" s="243">
        <f t="shared" ca="1" si="221"/>
        <v>43.237729141575642</v>
      </c>
      <c r="CG143" s="243"/>
      <c r="CI143" s="701">
        <f ca="1">VLOOKUP($A143,$A$55:$FD$70,COLUMN($CK$52),0)</f>
        <v>1.1109472761948894E-3</v>
      </c>
      <c r="CJ143" s="243"/>
      <c r="CK143" s="701">
        <f t="shared" ca="1" si="222"/>
        <v>787.74436889613628</v>
      </c>
      <c r="CL143" s="243"/>
      <c r="CM143" s="243"/>
      <c r="CN143" s="243"/>
      <c r="CO143" s="243"/>
      <c r="CP143" s="243"/>
      <c r="CQ143" s="243" t="str">
        <f t="shared" si="227"/>
        <v>x</v>
      </c>
      <c r="CR143" s="243"/>
      <c r="CS143" s="7" t="str">
        <f t="shared" si="228"/>
        <v>x</v>
      </c>
      <c r="CT143" s="701">
        <f t="shared" si="229"/>
        <v>0</v>
      </c>
      <c r="CU143" s="243">
        <f t="shared" ca="1" si="230"/>
        <v>294.15387932505723</v>
      </c>
      <c r="CV143" s="243">
        <f t="shared" ca="1" si="231"/>
        <v>127.45049353505674</v>
      </c>
      <c r="CW143" s="243">
        <f t="shared" ca="1" si="232"/>
        <v>1420.8990129943352</v>
      </c>
      <c r="CX143" s="243"/>
      <c r="EV143" s="7"/>
      <c r="EZ143" s="684"/>
    </row>
    <row r="144" spans="1:160" x14ac:dyDescent="0.35">
      <c r="A144" s="200" t="s">
        <v>131</v>
      </c>
      <c r="B144" s="7" t="s">
        <v>132</v>
      </c>
      <c r="C144" s="7" t="s">
        <v>127</v>
      </c>
      <c r="D144" s="243">
        <f t="shared" ca="1" si="210"/>
        <v>1864.5747735639102</v>
      </c>
      <c r="E144" s="243">
        <f t="shared" ca="1" si="211"/>
        <v>59.451088669301917</v>
      </c>
      <c r="F144" s="243">
        <f t="shared" ca="1" si="212"/>
        <v>154.81769077846621</v>
      </c>
      <c r="G144" s="243">
        <f t="shared" ca="1" si="213"/>
        <v>293.55983513193138</v>
      </c>
      <c r="H144" s="243"/>
      <c r="I144" s="243">
        <f t="shared" ca="1" si="214"/>
        <v>106.22351284577832</v>
      </c>
      <c r="J144" s="243">
        <f ca="1">VLOOKUP($A144,$A$55:$FD$70,COLUMN($S$52),0)</f>
        <v>169.63504879521832</v>
      </c>
      <c r="K144" s="243">
        <f ca="1">VLOOKUP($A144,$A$55:$FD$70,COLUMN($T$52),0)</f>
        <v>249.6432533843672</v>
      </c>
      <c r="L144" s="243">
        <f t="shared" ca="1" si="215"/>
        <v>346.24555213890142</v>
      </c>
      <c r="M144" s="243"/>
      <c r="N144" s="243"/>
      <c r="O144" s="243"/>
      <c r="P144" s="243"/>
      <c r="Q144" s="243" t="str">
        <f t="shared" si="223"/>
        <v>x</v>
      </c>
      <c r="R144" s="243" t="str">
        <f t="shared" si="224"/>
        <v>x</v>
      </c>
      <c r="S144" s="43">
        <f t="shared" si="225"/>
        <v>0</v>
      </c>
      <c r="T144" s="243">
        <f t="shared" si="226"/>
        <v>7756.318359375</v>
      </c>
      <c r="U144" s="26">
        <f t="shared" ca="1" si="216"/>
        <v>1491.6598188511282</v>
      </c>
      <c r="V144" s="26">
        <f t="shared" ca="1" si="217"/>
        <v>4713.3948686488711</v>
      </c>
      <c r="BU144" s="7"/>
      <c r="BY144" s="684"/>
      <c r="CB144" s="200" t="s">
        <v>131</v>
      </c>
      <c r="CC144" s="243">
        <f t="shared" ca="1" si="218"/>
        <v>2518.0655264835627</v>
      </c>
      <c r="CD144" s="243">
        <f t="shared" ca="1" si="219"/>
        <v>152.24552514639311</v>
      </c>
      <c r="CE144" s="243">
        <f t="shared" ca="1" si="220"/>
        <v>3804.1888084146854</v>
      </c>
      <c r="CF144" s="243">
        <f t="shared" ca="1" si="221"/>
        <v>1563.0540581696362</v>
      </c>
      <c r="CG144" s="243"/>
      <c r="CI144" s="243">
        <f ca="1">VLOOKUP($A144,$A$55:$FD$70,COLUMN($CK$52),0)</f>
        <v>1453.7143548064109</v>
      </c>
      <c r="CJ144" s="243">
        <f ca="1">VLOOKUP($A144,$A$55:$FD$70,COLUMN($CL$52),0)</f>
        <v>1532.179761600968</v>
      </c>
      <c r="CK144" s="243">
        <f t="shared" ca="1" si="222"/>
        <v>2309.3550135865971</v>
      </c>
      <c r="CL144" s="243"/>
      <c r="CM144" s="243"/>
      <c r="CN144" s="243"/>
      <c r="CO144" s="243"/>
      <c r="CP144" s="243"/>
      <c r="CQ144" s="243" t="str">
        <f t="shared" si="227"/>
        <v>x</v>
      </c>
      <c r="CR144" s="243"/>
      <c r="CS144" s="7" t="str">
        <f t="shared" si="228"/>
        <v>x</v>
      </c>
      <c r="CT144" s="701">
        <f t="shared" si="229"/>
        <v>0</v>
      </c>
      <c r="CU144" s="243">
        <f t="shared" si="230"/>
        <v>7756.318359375</v>
      </c>
      <c r="CV144" s="243">
        <f t="shared" ca="1" si="231"/>
        <v>2014.4524211868502</v>
      </c>
      <c r="CW144" s="243">
        <f t="shared" ca="1" si="232"/>
        <v>4190.6022663131498</v>
      </c>
      <c r="CX144" s="243"/>
      <c r="EV144" s="7"/>
      <c r="EZ144" s="684"/>
    </row>
    <row r="145" spans="1:162" x14ac:dyDescent="0.35">
      <c r="A145" s="200" t="s">
        <v>129</v>
      </c>
      <c r="B145" s="7" t="s">
        <v>130</v>
      </c>
      <c r="C145" s="7" t="s">
        <v>127</v>
      </c>
      <c r="D145" s="243">
        <f t="shared" ca="1" si="210"/>
        <v>1749.8856613397638</v>
      </c>
      <c r="E145" s="243">
        <f t="shared" ca="1" si="211"/>
        <v>37.156930418313699</v>
      </c>
      <c r="F145" s="243">
        <f t="shared" ca="1" si="212"/>
        <v>173.64881354494736</v>
      </c>
      <c r="G145" s="243">
        <f t="shared" ca="1" si="213"/>
        <v>43.684499275585026</v>
      </c>
      <c r="H145" s="243"/>
      <c r="I145" s="243">
        <f t="shared" ca="1" si="214"/>
        <v>97.155651993089919</v>
      </c>
      <c r="J145" s="243">
        <f ca="1">VLOOKUP($A145,$A$55:$FD$70,COLUMN($S$52),0)</f>
        <v>112.66464149650764</v>
      </c>
      <c r="K145" s="243">
        <f ca="1">VLOOKUP($A145,$A$55:$FD$70,COLUMN($T$52),0)</f>
        <v>79.326027416999338</v>
      </c>
      <c r="L145" s="243">
        <f t="shared" ca="1" si="215"/>
        <v>58.005053837702548</v>
      </c>
      <c r="M145" s="243"/>
      <c r="N145" s="243"/>
      <c r="O145" s="243"/>
      <c r="P145" s="243"/>
      <c r="Q145" s="243" t="str">
        <f t="shared" si="223"/>
        <v>x</v>
      </c>
      <c r="R145" s="243" t="str">
        <f t="shared" si="224"/>
        <v>x</v>
      </c>
      <c r="S145" s="43" t="str">
        <f t="shared" si="225"/>
        <v>x</v>
      </c>
      <c r="T145" s="243">
        <f t="shared" si="226"/>
        <v>5540.083984375</v>
      </c>
      <c r="U145" s="26">
        <f t="shared" ca="1" si="216"/>
        <v>1399.908529071811</v>
      </c>
      <c r="V145" s="26">
        <f t="shared" ca="1" si="217"/>
        <v>3032.1586584281886</v>
      </c>
      <c r="BU145" s="7"/>
      <c r="BY145" s="684"/>
      <c r="CB145" s="200" t="s">
        <v>129</v>
      </c>
      <c r="CC145" s="243">
        <f t="shared" ca="1" si="218"/>
        <v>2475.9075697462099</v>
      </c>
      <c r="CD145" s="243">
        <f t="shared" ca="1" si="219"/>
        <v>243.59284023422896</v>
      </c>
      <c r="CE145" s="243">
        <f t="shared" ca="1" si="220"/>
        <v>2518.7889835624424</v>
      </c>
      <c r="CF145" s="243">
        <f t="shared" ca="1" si="221"/>
        <v>1469.5499314755596</v>
      </c>
      <c r="CG145" s="243"/>
      <c r="CI145" s="243">
        <f ca="1">VLOOKUP($A145,$A$55:$FD$70,COLUMN($CK$52),0)</f>
        <v>831.36816229618285</v>
      </c>
      <c r="CJ145" s="243">
        <f ca="1">VLOOKUP($A145,$A$55:$FD$70,COLUMN($CL$52),0)</f>
        <v>407.06597202824906</v>
      </c>
      <c r="CK145" s="243">
        <f t="shared" ca="1" si="222"/>
        <v>1311.8369796608804</v>
      </c>
      <c r="CL145" s="243"/>
      <c r="CM145" s="243"/>
      <c r="CN145" s="243"/>
      <c r="CO145" s="243"/>
      <c r="CP145" s="243"/>
      <c r="CQ145" s="243" t="str">
        <f t="shared" si="227"/>
        <v>x</v>
      </c>
      <c r="CR145" s="243"/>
      <c r="CS145" s="7" t="str">
        <f t="shared" si="228"/>
        <v>x</v>
      </c>
      <c r="CT145" s="701" t="str">
        <f t="shared" si="229"/>
        <v>x</v>
      </c>
      <c r="CU145" s="243">
        <f t="shared" si="230"/>
        <v>5540.083984375</v>
      </c>
      <c r="CV145" s="243">
        <f t="shared" ca="1" si="231"/>
        <v>1980.726055796968</v>
      </c>
      <c r="CW145" s="243">
        <f t="shared" ca="1" si="232"/>
        <v>2451.3411317030318</v>
      </c>
      <c r="CX145" s="243"/>
      <c r="EV145" s="7"/>
      <c r="EZ145" s="684"/>
    </row>
    <row r="146" spans="1:162" x14ac:dyDescent="0.35">
      <c r="A146" s="200" t="s">
        <v>139</v>
      </c>
      <c r="B146" s="7" t="s">
        <v>140</v>
      </c>
      <c r="C146" s="7" t="s">
        <v>127</v>
      </c>
      <c r="D146" s="243">
        <f t="shared" ca="1" si="210"/>
        <v>1088.9269992761444</v>
      </c>
      <c r="E146" s="243">
        <f t="shared" ca="1" si="211"/>
        <v>32.097263297522041</v>
      </c>
      <c r="F146" s="243">
        <f t="shared" ca="1" si="212"/>
        <v>3.461292612463883</v>
      </c>
      <c r="G146" s="243">
        <f t="shared" ca="1" si="213"/>
        <v>111.83231814549765</v>
      </c>
      <c r="H146" s="243"/>
      <c r="I146" s="243" t="str">
        <f t="shared" si="214"/>
        <v>x</v>
      </c>
      <c r="J146" s="243">
        <f ca="1">VLOOKUP($A146,$A$55:$FD$70,COLUMN($S$52),0)</f>
        <v>19.251092005067857</v>
      </c>
      <c r="K146" s="243">
        <f ca="1">VLOOKUP($A146,$A$55:$FD$70,COLUMN($T$52),0)</f>
        <v>38.156281036863668</v>
      </c>
      <c r="L146" s="243">
        <f t="shared" ca="1" si="215"/>
        <v>34.505570488069196</v>
      </c>
      <c r="M146" s="243"/>
      <c r="N146" s="243"/>
      <c r="O146" s="243"/>
      <c r="P146" s="243"/>
      <c r="Q146" s="243" t="str">
        <f t="shared" si="223"/>
        <v>x</v>
      </c>
      <c r="R146" s="243" t="str">
        <f t="shared" si="224"/>
        <v>x</v>
      </c>
      <c r="S146" s="43">
        <f t="shared" si="225"/>
        <v>0</v>
      </c>
      <c r="T146" s="243">
        <f t="shared" si="226"/>
        <v>4237.861328125</v>
      </c>
      <c r="U146" s="26">
        <f t="shared" ca="1" si="216"/>
        <v>871.14159942091555</v>
      </c>
      <c r="V146" s="26">
        <f t="shared" ca="1" si="217"/>
        <v>2818.617278865494</v>
      </c>
      <c r="BU146" s="7"/>
      <c r="BY146" s="684"/>
      <c r="CB146" s="200" t="s">
        <v>139</v>
      </c>
      <c r="CC146" s="243">
        <f t="shared" ca="1" si="218"/>
        <v>1370.6438098482497</v>
      </c>
      <c r="CD146" s="243">
        <f t="shared" ca="1" si="219"/>
        <v>19.435598954858694</v>
      </c>
      <c r="CE146" s="243">
        <f t="shared" ca="1" si="220"/>
        <v>60.18018505130911</v>
      </c>
      <c r="CF146" s="243">
        <f t="shared" ca="1" si="221"/>
        <v>50.24102329830972</v>
      </c>
      <c r="CG146" s="243"/>
      <c r="CI146" s="243">
        <f ca="1">VLOOKUP($A146,$A$55:$FD$70,COLUMN($CK$52),0)</f>
        <v>61.841392862803467</v>
      </c>
      <c r="CJ146" s="243">
        <f ca="1">VLOOKUP($A146,$A$55:$FD$70,COLUMN($CL$52),0)</f>
        <v>154.28531463693295</v>
      </c>
      <c r="CK146" s="243">
        <f t="shared" ca="1" si="222"/>
        <v>134.62933675761613</v>
      </c>
      <c r="CL146" s="243"/>
      <c r="CM146" s="243"/>
      <c r="CN146" s="243"/>
      <c r="CO146" s="243"/>
      <c r="CP146" s="243"/>
      <c r="CQ146" s="243" t="str">
        <f t="shared" si="227"/>
        <v>x</v>
      </c>
      <c r="CR146" s="243"/>
      <c r="CS146" s="7" t="str">
        <f t="shared" si="228"/>
        <v>x</v>
      </c>
      <c r="CT146" s="701">
        <f t="shared" si="229"/>
        <v>0</v>
      </c>
      <c r="CU146" s="243">
        <f t="shared" si="230"/>
        <v>4237.861328125</v>
      </c>
      <c r="CV146" s="243">
        <f t="shared" ca="1" si="231"/>
        <v>1096.5150478785997</v>
      </c>
      <c r="CW146" s="243">
        <f t="shared" ca="1" si="232"/>
        <v>2593.2438304078096</v>
      </c>
      <c r="CX146" s="243"/>
      <c r="EV146" s="7"/>
      <c r="EZ146" s="684"/>
    </row>
    <row r="147" spans="1:162" x14ac:dyDescent="0.35">
      <c r="A147" s="200" t="s">
        <v>133</v>
      </c>
      <c r="B147" s="7" t="s">
        <v>134</v>
      </c>
      <c r="C147" s="7" t="s">
        <v>127</v>
      </c>
      <c r="D147" s="243">
        <f t="shared" ca="1" si="210"/>
        <v>26.328187080823877</v>
      </c>
      <c r="E147" s="243">
        <f t="shared" ca="1" si="211"/>
        <v>25.861223571146333</v>
      </c>
      <c r="F147" s="243">
        <f t="shared" ca="1" si="212"/>
        <v>12.961619104875577</v>
      </c>
      <c r="G147" s="243">
        <f t="shared" ca="1" si="213"/>
        <v>30.054935501602493</v>
      </c>
      <c r="H147" s="243"/>
      <c r="I147" s="243" t="str">
        <f t="shared" si="214"/>
        <v>x</v>
      </c>
      <c r="J147" s="243"/>
      <c r="K147" s="243"/>
      <c r="L147" s="243">
        <f t="shared" ca="1" si="215"/>
        <v>12.047203489368993</v>
      </c>
      <c r="M147" s="243"/>
      <c r="N147" s="243"/>
      <c r="O147" s="243"/>
      <c r="P147" s="243"/>
      <c r="Q147" s="243" t="str">
        <f t="shared" si="223"/>
        <v>x</v>
      </c>
      <c r="R147" s="243" t="str">
        <f t="shared" si="224"/>
        <v>x</v>
      </c>
      <c r="S147" s="43">
        <f t="shared" si="225"/>
        <v>0</v>
      </c>
      <c r="T147" s="243">
        <f t="shared" ca="1" si="226"/>
        <v>63.365269422269094</v>
      </c>
      <c r="U147" s="26">
        <f t="shared" ca="1" si="216"/>
        <v>21.062549664659102</v>
      </c>
      <c r="V147" s="26">
        <f t="shared" ca="1" si="217"/>
        <v>29.629665873156174</v>
      </c>
      <c r="BU147" s="7"/>
      <c r="BY147" s="684"/>
      <c r="CB147" s="200" t="s">
        <v>133</v>
      </c>
      <c r="CC147" s="243">
        <f t="shared" ca="1" si="218"/>
        <v>25.348956661599704</v>
      </c>
      <c r="CD147" s="243">
        <f t="shared" ca="1" si="219"/>
        <v>19.182936168445536</v>
      </c>
      <c r="CE147" s="243">
        <f t="shared" ca="1" si="220"/>
        <v>123.17277606712938</v>
      </c>
      <c r="CF147" s="243">
        <f t="shared" ca="1" si="221"/>
        <v>158.94432825283445</v>
      </c>
      <c r="CG147" s="243"/>
      <c r="CI147" s="243"/>
      <c r="CJ147" s="243"/>
      <c r="CK147" s="243">
        <f t="shared" ca="1" si="222"/>
        <v>51.710182841878989</v>
      </c>
      <c r="CL147" s="243"/>
      <c r="CM147" s="243"/>
      <c r="CN147" s="243"/>
      <c r="CO147" s="243"/>
      <c r="CP147" s="243"/>
      <c r="CQ147" s="243" t="str">
        <f t="shared" si="227"/>
        <v>x</v>
      </c>
      <c r="CR147" s="243"/>
      <c r="CS147" s="7" t="str">
        <f t="shared" si="228"/>
        <v>x</v>
      </c>
      <c r="CT147" s="701">
        <f t="shared" si="229"/>
        <v>0</v>
      </c>
      <c r="CU147" s="243">
        <f t="shared" ca="1" si="230"/>
        <v>46.804017666993559</v>
      </c>
      <c r="CV147" s="243">
        <f t="shared" ca="1" si="231"/>
        <v>20.279165329279763</v>
      </c>
      <c r="CW147" s="243">
        <f t="shared" ca="1" si="232"/>
        <v>78.259055524423744</v>
      </c>
      <c r="CX147" s="243"/>
      <c r="EV147" s="7"/>
      <c r="EZ147" s="684"/>
    </row>
    <row r="148" spans="1:162" x14ac:dyDescent="0.35">
      <c r="M148" s="243"/>
    </row>
    <row r="149" spans="1:162" x14ac:dyDescent="0.35"/>
    <row r="150" spans="1:162" x14ac:dyDescent="0.35"/>
    <row r="151" spans="1:162" x14ac:dyDescent="0.35">
      <c r="CV151" s="7" t="s">
        <v>181</v>
      </c>
    </row>
    <row r="152" spans="1:162" x14ac:dyDescent="0.35"/>
    <row r="153" spans="1:162" x14ac:dyDescent="0.35"/>
    <row r="154" spans="1:162" x14ac:dyDescent="0.35"/>
    <row r="155" spans="1:162" ht="19.5" x14ac:dyDescent="0.45">
      <c r="A155" s="478" t="s">
        <v>182</v>
      </c>
      <c r="D155" s="584" t="s">
        <v>171</v>
      </c>
      <c r="E155" s="52" t="s">
        <v>172</v>
      </c>
      <c r="F155" s="52" t="s">
        <v>173</v>
      </c>
      <c r="G155" s="401"/>
      <c r="H155" s="401"/>
      <c r="I155" s="401"/>
      <c r="J155" s="401"/>
      <c r="K155" s="401"/>
      <c r="L155" s="401"/>
      <c r="M155" s="401"/>
      <c r="N155" s="401"/>
      <c r="O155" s="401"/>
      <c r="P155" s="401"/>
      <c r="Q155" s="401"/>
      <c r="R155" s="401"/>
      <c r="S155" s="401"/>
      <c r="T155" s="401"/>
      <c r="U155" s="401"/>
      <c r="V155" s="401"/>
      <c r="W155" s="401"/>
      <c r="X155" s="401"/>
      <c r="Y155" s="401"/>
      <c r="Z155" s="401"/>
      <c r="AA155" s="401"/>
      <c r="AB155" s="401"/>
      <c r="AC155" s="401"/>
      <c r="AD155" s="401"/>
      <c r="AE155" s="401"/>
      <c r="AF155" s="401"/>
      <c r="AG155" s="401"/>
      <c r="AH155" s="401"/>
      <c r="AI155" s="401"/>
      <c r="AJ155" s="401"/>
      <c r="AK155" s="401"/>
      <c r="AL155" s="401"/>
      <c r="AM155" s="401"/>
      <c r="AN155" s="401"/>
      <c r="AO155" s="401"/>
      <c r="AP155" s="401"/>
      <c r="AQ155" s="401"/>
      <c r="AR155" s="401"/>
      <c r="AS155" s="401"/>
      <c r="AT155" s="401"/>
      <c r="AU155" s="401"/>
      <c r="AV155" s="401"/>
      <c r="AW155" s="401"/>
      <c r="AX155" s="401"/>
      <c r="AY155" s="401"/>
      <c r="AZ155" s="401"/>
      <c r="BA155" s="401"/>
      <c r="BB155" s="401"/>
      <c r="BC155" s="401"/>
      <c r="BD155" s="401"/>
      <c r="BE155" s="401"/>
      <c r="BF155" s="401"/>
      <c r="BG155" s="401"/>
      <c r="BH155" s="401"/>
      <c r="BI155" s="401"/>
      <c r="BJ155" s="401"/>
      <c r="BK155" s="401"/>
      <c r="BL155" s="401"/>
      <c r="BM155" s="401"/>
      <c r="BN155" s="401"/>
      <c r="BO155" s="401"/>
      <c r="BP155" s="401"/>
      <c r="BQ155" s="401"/>
      <c r="BR155" s="401"/>
      <c r="BS155" s="401"/>
      <c r="BT155" s="401"/>
      <c r="BU155" s="697"/>
      <c r="BV155" s="401"/>
      <c r="BW155" s="401"/>
      <c r="BX155" s="100"/>
      <c r="BY155" s="100" t="s">
        <v>171</v>
      </c>
      <c r="BZ155" s="51" t="s">
        <v>172</v>
      </c>
      <c r="CA155" s="51" t="s">
        <v>173</v>
      </c>
      <c r="CE155" s="401"/>
      <c r="CF155" s="401"/>
      <c r="CG155" s="401"/>
      <c r="CH155" s="401"/>
      <c r="CI155" s="401"/>
      <c r="CJ155" s="401"/>
      <c r="CK155" s="401"/>
      <c r="CL155" s="401"/>
      <c r="CM155" s="401"/>
      <c r="CN155" s="401"/>
      <c r="CO155" s="401"/>
      <c r="CP155" s="401"/>
      <c r="CQ155" s="401"/>
      <c r="CR155" s="401"/>
      <c r="CS155" s="401"/>
      <c r="CT155" s="401"/>
      <c r="CU155" s="401"/>
      <c r="CV155" s="401"/>
      <c r="CW155" s="401"/>
      <c r="CX155" s="401"/>
      <c r="CY155" s="401"/>
      <c r="CZ155" s="401"/>
      <c r="DA155" s="401"/>
      <c r="DB155" s="401"/>
      <c r="DC155" s="401"/>
      <c r="DD155" s="401"/>
      <c r="DE155" s="401"/>
      <c r="DF155" s="401"/>
      <c r="DG155" s="401"/>
      <c r="DH155" s="401"/>
      <c r="DI155" s="401"/>
      <c r="DJ155" s="401"/>
      <c r="DK155" s="401"/>
      <c r="DL155" s="401"/>
      <c r="DM155" s="401"/>
      <c r="DN155" s="401"/>
      <c r="DO155" s="401"/>
      <c r="DP155" s="401"/>
      <c r="DQ155" s="401"/>
      <c r="DR155" s="401"/>
      <c r="DS155" s="401"/>
      <c r="DT155" s="401"/>
      <c r="DU155" s="401"/>
      <c r="DV155" s="401"/>
      <c r="DW155" s="401"/>
      <c r="DX155" s="401"/>
      <c r="DY155" s="401"/>
      <c r="DZ155" s="401"/>
      <c r="EA155" s="401"/>
      <c r="EB155" s="401"/>
      <c r="EC155" s="401"/>
      <c r="ED155" s="401"/>
      <c r="EE155" s="401"/>
      <c r="EF155" s="401"/>
      <c r="EG155" s="401"/>
      <c r="EH155" s="401"/>
      <c r="EI155" s="401"/>
      <c r="EJ155" s="401"/>
      <c r="EK155" s="401"/>
      <c r="EL155" s="401"/>
      <c r="EM155" s="401"/>
      <c r="EN155" s="401"/>
      <c r="EO155" s="401"/>
      <c r="EP155" s="401"/>
      <c r="EQ155" s="401"/>
      <c r="ER155" s="401"/>
      <c r="ES155" s="401"/>
      <c r="EX155" s="51" t="s">
        <v>174</v>
      </c>
      <c r="EY155" s="51" t="s">
        <v>172</v>
      </c>
      <c r="EZ155" s="51" t="s">
        <v>173</v>
      </c>
      <c r="FA155" s="51" t="s">
        <v>21</v>
      </c>
      <c r="FB155" s="51" t="s">
        <v>172</v>
      </c>
      <c r="FC155" s="51" t="s">
        <v>173</v>
      </c>
      <c r="FD155" s="51" t="s">
        <v>22</v>
      </c>
      <c r="FE155" s="51" t="s">
        <v>172</v>
      </c>
      <c r="FF155" s="51" t="s">
        <v>173</v>
      </c>
    </row>
    <row r="156" spans="1:162" x14ac:dyDescent="0.35">
      <c r="A156" s="200" t="s">
        <v>146</v>
      </c>
      <c r="B156" s="7" t="s">
        <v>147</v>
      </c>
      <c r="C156" s="7" t="s">
        <v>145</v>
      </c>
      <c r="D156" s="243">
        <f ca="1">VLOOKUP($A156,$A$79:$FD$94,COLUMN($BE$76),0)</f>
        <v>4957754.6414963342</v>
      </c>
      <c r="E156" s="243">
        <f ca="1">VLOOKUP($A156,$A$79:$FD$94,COLUMN($BJ$76),0)</f>
        <v>3638982.9093570672</v>
      </c>
      <c r="F156" s="243">
        <f ca="1">VLOOKUP($A156,$A$79:$FD$94,COLUMN($BK$76),0)</f>
        <v>4227250.0888775177</v>
      </c>
      <c r="G156" s="249"/>
      <c r="H156" s="88"/>
      <c r="I156" s="88"/>
      <c r="J156" s="88"/>
      <c r="K156" s="88"/>
      <c r="L156" s="88"/>
      <c r="BK156" s="402"/>
      <c r="BL156" s="402"/>
      <c r="BM156" s="402"/>
      <c r="BN156" s="402"/>
      <c r="BO156" s="402"/>
      <c r="BP156" s="402"/>
      <c r="BQ156" s="402"/>
      <c r="BR156" s="402"/>
      <c r="BS156" s="402"/>
      <c r="BT156" s="402"/>
      <c r="BU156" s="698"/>
      <c r="BV156" s="100"/>
      <c r="BW156" s="100"/>
      <c r="BX156" s="243" t="s">
        <v>146</v>
      </c>
      <c r="BY156" s="243">
        <f ca="1">VLOOKUP($A156,$A$79:$FD$94,COLUMN($EO$76),0)</f>
        <v>2006451.38148598</v>
      </c>
      <c r="BZ156" s="243">
        <f ca="1">VLOOKUP($A156,$A$79:$FD$94,COLUMN($ET$76),0)</f>
        <v>1044306.0033347323</v>
      </c>
      <c r="CA156" s="243">
        <f ca="1">VLOOKUP($A156,$A$79:$FD$94,COLUMN($EU$76),0)</f>
        <v>687865.67635296471</v>
      </c>
      <c r="CE156" s="100"/>
      <c r="EW156" s="200" t="s">
        <v>146</v>
      </c>
      <c r="EX156" s="26">
        <f ca="1">VLOOKUP($A156,$A$79:$FD$94,COLUMN($EX$76),0)</f>
        <v>4360490.0603906941</v>
      </c>
      <c r="EY156" s="26">
        <f ca="1">VLOOKUP($A156,$A$79:$FD$94,COLUMN($FC$76),0)</f>
        <v>3116903.8810102753</v>
      </c>
      <c r="EZ156" s="26">
        <f ca="1">VLOOKUP($A156,$A$79:$FD$94,COLUMN($FD$76),0)</f>
        <v>3515084.9746979051</v>
      </c>
      <c r="FA156" s="26"/>
      <c r="FB156" s="26"/>
      <c r="FC156" s="26"/>
      <c r="FD156" s="26"/>
      <c r="FE156" s="26"/>
      <c r="FF156" s="26"/>
    </row>
    <row r="157" spans="1:162" x14ac:dyDescent="0.35">
      <c r="A157" s="200" t="s">
        <v>143</v>
      </c>
      <c r="B157" s="7" t="s">
        <v>144</v>
      </c>
      <c r="C157" s="7" t="s">
        <v>145</v>
      </c>
      <c r="D157" s="243">
        <f ca="1">VLOOKUP($A157,$A$79:$FD$94,COLUMN($BE$76),0)</f>
        <v>731367.05490990565</v>
      </c>
      <c r="E157" s="243">
        <f ca="1">VLOOKUP($A157,$A$79:$FD$94,COLUMN($BJ$76),0)</f>
        <v>585093.64392792457</v>
      </c>
      <c r="F157" s="243">
        <f ca="1">VLOOKUP($A157,$A$79:$FD$94,COLUMN($BK$76),0)</f>
        <v>747208.19887473388</v>
      </c>
      <c r="G157" s="243"/>
      <c r="H157" s="243"/>
      <c r="I157" s="243"/>
      <c r="J157" s="243"/>
      <c r="K157" s="243"/>
      <c r="L157" s="243"/>
      <c r="BK157" s="243"/>
      <c r="BL157" s="243"/>
      <c r="BM157" s="243"/>
      <c r="BN157" s="243"/>
      <c r="BO157" s="243"/>
      <c r="BP157" s="243"/>
      <c r="BQ157" s="243"/>
      <c r="BR157" s="243"/>
      <c r="BS157" s="243"/>
      <c r="BT157" s="243"/>
      <c r="BU157" s="699"/>
      <c r="BV157" s="243"/>
      <c r="BW157" s="243"/>
      <c r="BX157" s="200" t="s">
        <v>183</v>
      </c>
      <c r="BY157" s="243">
        <f ca="1">VLOOKUP($A157,$A$79:$FD$94,COLUMN($EO$76),0)</f>
        <v>504546.9951568016</v>
      </c>
      <c r="BZ157" s="243">
        <f ca="1">VLOOKUP($A157,$A$79:$FD$94,COLUMN($ET$76),0)</f>
        <v>403637.59612544125</v>
      </c>
      <c r="CA157" s="243">
        <f ca="1">VLOOKUP($A157,$A$79:$FD$94,COLUMN($EU$76),0)</f>
        <v>732214.1286745586</v>
      </c>
      <c r="CE157" s="243"/>
      <c r="EW157" s="200" t="s">
        <v>143</v>
      </c>
      <c r="EX157" s="26">
        <f ca="1">VLOOKUP($A157,$A$79:$FD$94,COLUMN($EX$76),0)</f>
        <v>685464.76157041371</v>
      </c>
      <c r="EY157" s="26">
        <f ca="1">VLOOKUP($A157,$A$79:$FD$94,COLUMN($FC$76),0)</f>
        <v>548582.586653515</v>
      </c>
      <c r="EZ157" s="26">
        <f ca="1">VLOOKUP($A157,$A$79:$FD$94,COLUMN($FD$76),0)</f>
        <v>744191.21838560177</v>
      </c>
      <c r="FA157" s="26"/>
      <c r="FB157" s="26"/>
      <c r="FC157" s="26"/>
      <c r="FD157" s="26"/>
      <c r="FE157" s="26"/>
      <c r="FF157" s="26"/>
    </row>
    <row r="158" spans="1:162" ht="15" customHeight="1" x14ac:dyDescent="0.45">
      <c r="A158" s="478" t="s">
        <v>184</v>
      </c>
      <c r="B158" s="401"/>
      <c r="C158" s="401"/>
      <c r="D158" s="401"/>
      <c r="E158" s="401"/>
      <c r="F158" s="401"/>
      <c r="G158" s="243"/>
      <c r="H158" s="243"/>
      <c r="I158" s="243"/>
      <c r="J158" s="243"/>
      <c r="K158" s="243"/>
      <c r="L158" s="243"/>
      <c r="BK158" s="243"/>
      <c r="BL158" s="243"/>
      <c r="BM158" s="243"/>
      <c r="BN158" s="243"/>
      <c r="BO158" s="243"/>
      <c r="BP158" s="243"/>
      <c r="BQ158" s="243"/>
      <c r="BR158" s="243"/>
      <c r="BS158" s="243"/>
      <c r="BT158" s="243"/>
      <c r="BU158" s="699"/>
      <c r="BV158" s="243"/>
      <c r="BW158" s="243"/>
      <c r="BX158" s="243"/>
      <c r="BY158" s="243"/>
      <c r="BZ158" s="243"/>
      <c r="CE158" s="243"/>
    </row>
    <row r="159" spans="1:162" x14ac:dyDescent="0.35"/>
    <row r="160" spans="1:162" ht="43.5" x14ac:dyDescent="0.35">
      <c r="D160" s="249" t="s">
        <v>171</v>
      </c>
      <c r="E160" s="249" t="s">
        <v>176</v>
      </c>
      <c r="F160" s="249" t="s">
        <v>56</v>
      </c>
      <c r="G160" s="584" t="s">
        <v>62</v>
      </c>
      <c r="H160" s="249" t="s">
        <v>60</v>
      </c>
      <c r="I160" s="249" t="s">
        <v>67</v>
      </c>
      <c r="J160" s="249" t="s">
        <v>71</v>
      </c>
      <c r="K160" s="249" t="s">
        <v>72</v>
      </c>
      <c r="L160" s="249" t="s">
        <v>177</v>
      </c>
      <c r="M160" s="829" t="s">
        <v>74</v>
      </c>
      <c r="N160" s="829" t="s">
        <v>75</v>
      </c>
      <c r="O160" s="829" t="s">
        <v>178</v>
      </c>
      <c r="P160" s="829" t="s">
        <v>179</v>
      </c>
      <c r="Q160" s="706" t="s">
        <v>172</v>
      </c>
      <c r="R160" s="706" t="s">
        <v>173</v>
      </c>
      <c r="BK160" s="402"/>
      <c r="BL160" s="402"/>
      <c r="BM160" s="402"/>
      <c r="BN160" s="402"/>
      <c r="BO160" s="402"/>
      <c r="BP160" s="402"/>
      <c r="BQ160" s="402"/>
      <c r="BR160" s="402"/>
      <c r="BS160" s="402"/>
      <c r="BT160" s="402"/>
      <c r="BU160" s="698"/>
      <c r="BV160" s="402"/>
      <c r="BW160" s="402"/>
      <c r="BX160" s="402"/>
      <c r="BY160" s="402" t="s">
        <v>171</v>
      </c>
      <c r="BZ160" s="249" t="s">
        <v>176</v>
      </c>
      <c r="CA160" s="249" t="s">
        <v>56</v>
      </c>
      <c r="CB160" s="584" t="s">
        <v>62</v>
      </c>
      <c r="CC160" s="249" t="s">
        <v>60</v>
      </c>
      <c r="CD160" s="694" t="s">
        <v>67</v>
      </c>
      <c r="CE160" s="249" t="s">
        <v>71</v>
      </c>
      <c r="CF160" s="249" t="s">
        <v>72</v>
      </c>
      <c r="CG160" s="249" t="s">
        <v>177</v>
      </c>
      <c r="CH160" s="249" t="s">
        <v>63</v>
      </c>
      <c r="CI160" s="249" t="s">
        <v>65</v>
      </c>
      <c r="CJ160" s="249" t="s">
        <v>66</v>
      </c>
      <c r="CK160" s="829" t="s">
        <v>74</v>
      </c>
      <c r="CL160" s="829" t="s">
        <v>75</v>
      </c>
      <c r="CM160" s="829" t="s">
        <v>178</v>
      </c>
      <c r="CN160" s="829" t="s">
        <v>179</v>
      </c>
      <c r="CO160" s="52" t="s">
        <v>172</v>
      </c>
      <c r="CP160" s="52"/>
      <c r="CQ160" s="52" t="s">
        <v>173</v>
      </c>
      <c r="CR160" s="52"/>
      <c r="CT160" s="52"/>
      <c r="CU160" s="402"/>
    </row>
    <row r="161" spans="1:99" x14ac:dyDescent="0.35">
      <c r="A161" s="200" t="s">
        <v>146</v>
      </c>
      <c r="B161" s="7" t="s">
        <v>147</v>
      </c>
      <c r="C161" s="7" t="s">
        <v>145</v>
      </c>
      <c r="D161" s="243">
        <f ca="1">VLOOKUP($A161,$A$31:$FD$46,COLUMN($BE$28),0)</f>
        <v>1005208.5511884175</v>
      </c>
      <c r="E161" s="243">
        <f ca="1">VLOOKUP($A161,$A$31:$FD$46,COLUMN($D$28),0)</f>
        <v>90625.415999999997</v>
      </c>
      <c r="F161" s="243"/>
      <c r="G161" s="243">
        <f ca="1">VLOOKUP($A161,$A$31:$FD$46,COLUMN($G$28),0)</f>
        <v>142411.36799999999</v>
      </c>
      <c r="H161" s="243"/>
      <c r="I161" s="243" t="str">
        <f>VLOOKUP($A161,$A$31:$FD$46,COLUMN($P$28),0)</f>
        <v>x</v>
      </c>
      <c r="J161" s="243"/>
      <c r="K161" s="243">
        <f ca="1">VLOOKUP($A161,$A$31:$FD$46,COLUMN($T$28),0)</f>
        <v>266453.92693254468</v>
      </c>
      <c r="L161" s="243">
        <f ca="1">VLOOKUP($A161,$A$31:$FD$46,COLUMN($H$28),0)</f>
        <v>965492.56557992543</v>
      </c>
      <c r="M161" s="243" t="str">
        <f t="shared" ref="M161:M162" si="233">IF(VLOOKUP($A161,$A$31:$FD$46,COLUMN($U$28),0)="","",VLOOKUP($A161,$A$31:$FD$46,COLUMN($U$28),0))</f>
        <v>x</v>
      </c>
      <c r="N161" s="243" t="str">
        <f t="shared" ref="N161:N162" si="234">IF(VLOOKUP($A161,$A$31:$FD$46,COLUMN($V$28),0)="","",VLOOKUP($A161,$A$31:$FD$46,COLUMN($V$28),0))</f>
        <v>x</v>
      </c>
      <c r="O161" s="243" t="str">
        <f t="shared" ref="O161:O162" si="235">IF(VLOOKUP($A161,$A$31:$FD$46,COLUMN($W$28),0)="","",VLOOKUP($A161,$A$31:$FD$46,COLUMN($W$28),0))</f>
        <v>x</v>
      </c>
      <c r="P161" s="243">
        <f t="shared" ref="P161:P162" ca="1" si="236">IF(VLOOKUP($A161,$A$31:$FD$46,COLUMN($Y$28),0)="","",VLOOKUP($A161,$A$31:$FD$46,COLUMN($Y$28),0))</f>
        <v>1968498.5098197942</v>
      </c>
      <c r="Q161" s="243">
        <f ca="1">VLOOKUP($A161,$A$31:$FD$46,COLUMN($BJ$28),0)</f>
        <v>731666.50815073401</v>
      </c>
      <c r="R161" s="243">
        <f ca="1">VLOOKUP($A161,$A$31:$FD$46,COLUMN($BK$28),0)</f>
        <v>770631.96690510144</v>
      </c>
      <c r="BK161" s="243"/>
      <c r="BL161" s="243"/>
      <c r="BM161" s="243"/>
      <c r="BN161" s="243"/>
      <c r="BO161" s="243"/>
      <c r="BP161" s="243"/>
      <c r="BQ161" s="243"/>
      <c r="BR161" s="243"/>
      <c r="BS161" s="243"/>
      <c r="BT161" s="243"/>
      <c r="BU161" s="699"/>
      <c r="BV161" s="243"/>
      <c r="BW161" s="243"/>
      <c r="BX161" s="200" t="s">
        <v>146</v>
      </c>
      <c r="BY161" s="243">
        <f ca="1">VLOOKUP($A161,$A$31:$FD$46,COLUMN($EO$28),0)</f>
        <v>430258.68961941078</v>
      </c>
      <c r="BZ161" s="243">
        <f ca="1">VLOOKUP($A161,$A$31:$FD$46,COLUMN($BV$28),0)</f>
        <v>490150.41233112832</v>
      </c>
      <c r="CA161" s="243"/>
      <c r="CB161" s="243">
        <f ca="1">VLOOKUP($A161,$A$31:$FD$46,COLUMN($BY$28),0)</f>
        <v>566349.89197397744</v>
      </c>
      <c r="CC161" s="702"/>
      <c r="CE161" s="243"/>
      <c r="CF161" s="243">
        <f ca="1">VLOOKUP($A161,$A$31:$FD$46,COLUMN($CL$28),0)</f>
        <v>137120.51290739383</v>
      </c>
      <c r="CG161" s="243">
        <f ca="1">VLOOKUP($A161,$A$31:$FD$46,COLUMN($BZ$28),0)</f>
        <v>251470.78671168489</v>
      </c>
      <c r="CH161" s="243" t="str">
        <f>VLOOKUP($A161,$A$31:$FD$46,COLUMN($CE$28),0)</f>
        <v>x</v>
      </c>
      <c r="CI161" s="243" t="str">
        <f>VLOOKUP($A161,$A$31:$FD$46,COLUMN($CF$28),0)</f>
        <v>x</v>
      </c>
      <c r="CJ161" s="243" t="str">
        <f>VLOOKUP($A161,$A$31:$FD$46,COLUMN($CG$28),0)</f>
        <v>x</v>
      </c>
      <c r="CK161" s="243" t="str">
        <f>IF(VLOOKUP($A161,$A$31:$FD$46,COLUMN($CM$28),0)="","",VLOOKUP($A161,$A$31:$FD$46,COLUMN($CM$28),0))</f>
        <v>x</v>
      </c>
      <c r="CL161" s="243" t="str">
        <f>IF(VLOOKUP($A161,$A$31:$FD$46,COLUMN($CN$28),0)="","",VLOOKUP($A161,$A$31:$FD$46,COLUMN($CN$28),0))</f>
        <v>x</v>
      </c>
      <c r="CM161" s="43" t="str">
        <f>IF(VLOOKUP($A161,$A$31:$FD$46,COLUMN($CO$28),0)="","",VLOOKUP($A161,$A$31:$FD$46,COLUMN($CO$28),0))</f>
        <v>x</v>
      </c>
      <c r="CN161" s="243">
        <f ca="1">IF(VLOOKUP($A161,$A$31:$FD$46,COLUMN($CQ$28),0)="","",VLOOKUP($A161,$A$31:$FD$46,COLUMN($CQ$28),0))</f>
        <v>495856.81833343516</v>
      </c>
      <c r="CO161" s="243">
        <f ca="1">VLOOKUP($A161,$A$31:$FD$46,COLUMN($ET$28),0)</f>
        <v>234510.54136961355</v>
      </c>
      <c r="CP161" s="243"/>
      <c r="CQ161" s="243">
        <f ca="1">VLOOKUP($A161,$A$31:$FD$46,COLUMN($EU$28),0)</f>
        <v>52478.502971219539</v>
      </c>
      <c r="CR161" s="243"/>
      <c r="CT161" s="243"/>
      <c r="CU161" s="243"/>
    </row>
    <row r="162" spans="1:99" x14ac:dyDescent="0.35">
      <c r="A162" s="200" t="s">
        <v>143</v>
      </c>
      <c r="B162" s="7" t="s">
        <v>144</v>
      </c>
      <c r="C162" s="7" t="s">
        <v>145</v>
      </c>
      <c r="D162" s="243">
        <f ca="1">VLOOKUP($A162,$A$31:$FD$46,COLUMN($BE$28),0)</f>
        <v>328099.43809182022</v>
      </c>
      <c r="E162" s="243">
        <f ca="1">VLOOKUP($A162,$A$31:$FD$46,COLUMN($D$28),0)</f>
        <v>245983.27199999994</v>
      </c>
      <c r="F162" s="243">
        <f ca="1">VLOOKUP($A162,$A$31:$FD$46,COLUMN($I$28),0)</f>
        <v>387617.59897926223</v>
      </c>
      <c r="G162" s="243">
        <f ca="1">VLOOKUP($A162,$A$31:$FD$46,COLUMN($G$28),0)</f>
        <v>323662.19999999995</v>
      </c>
      <c r="H162" s="243">
        <f ca="1">VLOOKUP($A162,$A$31:$FD$46,COLUMN($L$28),0)</f>
        <v>327685.1166739192</v>
      </c>
      <c r="I162" s="243">
        <f ca="1">VLOOKUP($A162,$A$31:$FD$46,COLUMN($P$28),0)</f>
        <v>76362.633971798117</v>
      </c>
      <c r="J162" s="243">
        <f ca="1">VLOOKUP($A162,$A$31:$FD$46,COLUMN($S$28),0)</f>
        <v>127342.94973301455</v>
      </c>
      <c r="K162" s="243">
        <f ca="1">VLOOKUP($A162,$A$31:$FD$46,COLUMN($T$28),0)</f>
        <v>207922.06515294351</v>
      </c>
      <c r="L162" s="243">
        <f ca="1">VLOOKUP($A162,$A$31:$FD$46,COLUMN($H$28),0)</f>
        <v>354640.07567068306</v>
      </c>
      <c r="M162" s="243" t="str">
        <f t="shared" si="233"/>
        <v>x</v>
      </c>
      <c r="N162" s="243" t="str">
        <f t="shared" si="234"/>
        <v>x</v>
      </c>
      <c r="O162" s="243">
        <f t="shared" si="235"/>
        <v>0</v>
      </c>
      <c r="P162" s="243">
        <f t="shared" ca="1" si="236"/>
        <v>651016.63908681867</v>
      </c>
      <c r="Q162" s="243">
        <f ca="1">VLOOKUP($A162,$A$31:$FD$46,COLUMN($BJ$28),0)</f>
        <v>262479.55047345615</v>
      </c>
      <c r="R162" s="243">
        <f ca="1">VLOOKUP($A162,$A$31:$FD$46,COLUMN($BK$28),0)</f>
        <v>258333.76079599874</v>
      </c>
      <c r="BK162" s="243"/>
      <c r="BL162" s="243"/>
      <c r="BM162" s="243"/>
      <c r="BN162" s="243"/>
      <c r="BO162" s="243"/>
      <c r="BP162" s="243"/>
      <c r="BQ162" s="243"/>
      <c r="BR162" s="243"/>
      <c r="BS162" s="243"/>
      <c r="BT162" s="243"/>
      <c r="BU162" s="699"/>
      <c r="BV162" s="243"/>
      <c r="BW162" s="243"/>
      <c r="BX162" s="200" t="s">
        <v>183</v>
      </c>
      <c r="BY162" s="243">
        <f ca="1">VLOOKUP($A162,$A$31:$FD$46,COLUMN($EO$28),0)</f>
        <v>130861.85916951248</v>
      </c>
      <c r="BZ162" s="243">
        <f ca="1">VLOOKUP($A162,$A$31:$FD$46,COLUMN($BV$28),0)</f>
        <v>469608.19199999986</v>
      </c>
      <c r="CA162" s="243">
        <f ca="1">VLOOKUP($A162,$A$31:$FD$46,COLUMN($CA$28),0)</f>
        <v>16798.64283841243</v>
      </c>
      <c r="CB162" s="243">
        <f ca="1">VLOOKUP($A162,$A$31:$FD$46,COLUMN($BY$28),0)</f>
        <v>479391.69599999994</v>
      </c>
      <c r="CC162" s="243">
        <f ca="1">VLOOKUP($A162,$A$31:$FD$46,COLUMN($CD$28),0)</f>
        <v>47514.295374341986</v>
      </c>
      <c r="CE162" s="243"/>
      <c r="CF162" s="243">
        <f ca="1">VLOOKUP($A162,$A$31:$FD$46,COLUMN($CL$28),0)</f>
        <v>80909.640059860249</v>
      </c>
      <c r="CG162" s="243">
        <f ca="1">VLOOKUP($A162,$A$31:$FD$46,COLUMN($BZ$28),0)</f>
        <v>64749.144337062389</v>
      </c>
      <c r="CH162" s="243" t="str">
        <f>VLOOKUP($A162,$A$31:$FD$46,COLUMN($CE$28),0)</f>
        <v>x</v>
      </c>
      <c r="CI162" s="243" t="str">
        <f>VLOOKUP($A162,$A$31:$FD$46,COLUMN($CF$28),0)</f>
        <v>x</v>
      </c>
      <c r="CJ162" s="243" t="str">
        <f>VLOOKUP($A162,$A$31:$FD$46,COLUMN($CG$28),0)</f>
        <v>x</v>
      </c>
      <c r="CK162" s="243" t="str">
        <f>IF(VLOOKUP($A162,$A$31:$FD$46,COLUMN($CM$28),0)="","",VLOOKUP($A162,$A$31:$FD$46,COLUMN($CM$28),0))</f>
        <v>x</v>
      </c>
      <c r="CL162" s="243" t="str">
        <f>IF(VLOOKUP($A162,$A$31:$FD$46,COLUMN($CN$28),0)="","",VLOOKUP($A162,$A$31:$FD$46,COLUMN($CN$28),0))</f>
        <v>x</v>
      </c>
      <c r="CM162" s="43">
        <f>IF(VLOOKUP($A162,$A$31:$FD$46,COLUMN($CO$28),0)="","",VLOOKUP($A162,$A$31:$FD$46,COLUMN($CO$28),0))</f>
        <v>0</v>
      </c>
      <c r="CN162" s="243">
        <f ca="1">IF(VLOOKUP($A162,$A$31:$FD$46,COLUMN($CQ$28),0)="","",VLOOKUP($A162,$A$31:$FD$46,COLUMN($CQ$28),0))</f>
        <v>81994.230051326755</v>
      </c>
      <c r="CO162" s="243">
        <f ca="1">VLOOKUP($A162,$A$31:$FD$46,COLUMN($ET$28),0)</f>
        <v>104689.48733560999</v>
      </c>
      <c r="CP162" s="243"/>
      <c r="CQ162" s="243">
        <f ca="1">VLOOKUP($A162,$A$31:$FD$46,COLUMN($EU$28),0)</f>
        <v>270997.06626438996</v>
      </c>
      <c r="CR162" s="243"/>
      <c r="CT162" s="243"/>
      <c r="CU162" s="243"/>
    </row>
    <row r="163" spans="1:99" x14ac:dyDescent="0.35">
      <c r="A163" s="200"/>
      <c r="D163" s="243"/>
      <c r="E163" s="243"/>
      <c r="F163" s="243"/>
      <c r="G163" s="243"/>
      <c r="H163" s="243"/>
      <c r="I163" s="243"/>
      <c r="J163" s="243"/>
      <c r="K163" s="243"/>
      <c r="L163" s="243"/>
      <c r="O163" s="243"/>
      <c r="P163" s="243"/>
      <c r="Q163" s="243"/>
      <c r="R163" s="243"/>
      <c r="BK163" s="243"/>
      <c r="BL163" s="243"/>
      <c r="BM163" s="243"/>
      <c r="BN163" s="243"/>
      <c r="BO163" s="243"/>
      <c r="BP163" s="243"/>
      <c r="BQ163" s="243"/>
      <c r="BR163" s="243"/>
      <c r="BS163" s="243"/>
      <c r="BT163" s="243"/>
      <c r="BU163" s="699"/>
      <c r="BV163" s="243"/>
      <c r="BW163" s="243"/>
      <c r="BX163" s="243"/>
      <c r="BY163" s="243"/>
      <c r="BZ163" s="243"/>
      <c r="CA163" s="243"/>
      <c r="CB163" s="243"/>
      <c r="CC163" s="243"/>
      <c r="CD163" s="243"/>
      <c r="CE163" s="243"/>
      <c r="CF163" s="243"/>
      <c r="CG163" s="243"/>
      <c r="CU163" s="243"/>
    </row>
    <row r="164" spans="1:99" x14ac:dyDescent="0.35">
      <c r="A164" s="200"/>
      <c r="D164" s="243"/>
      <c r="E164" s="243"/>
      <c r="F164" s="243"/>
      <c r="G164" s="243"/>
      <c r="H164" s="243"/>
      <c r="I164" s="243"/>
      <c r="J164" s="243"/>
      <c r="K164" s="243"/>
      <c r="L164" s="243"/>
      <c r="O164" s="243"/>
      <c r="P164" s="243"/>
      <c r="Q164" s="243"/>
      <c r="R164" s="243"/>
      <c r="BK164" s="243"/>
      <c r="BL164" s="243"/>
      <c r="BM164" s="243"/>
      <c r="BN164" s="243"/>
      <c r="BO164" s="243"/>
      <c r="BP164" s="243"/>
      <c r="BQ164" s="243"/>
      <c r="BR164" s="243"/>
      <c r="BS164" s="243"/>
      <c r="BT164" s="243"/>
      <c r="BU164" s="699"/>
      <c r="BV164" s="243"/>
      <c r="BW164" s="243"/>
      <c r="BX164" s="243"/>
      <c r="BY164" s="243"/>
      <c r="BZ164" s="243"/>
      <c r="CA164" s="243"/>
      <c r="CB164" s="243"/>
      <c r="CC164" s="243"/>
      <c r="CD164" s="243"/>
      <c r="CE164" s="243"/>
      <c r="CF164" s="243"/>
      <c r="CG164" s="243"/>
      <c r="CU164" s="243"/>
    </row>
    <row r="165" spans="1:99" ht="19.5" x14ac:dyDescent="0.45">
      <c r="A165" s="478" t="s">
        <v>185</v>
      </c>
      <c r="O165" s="243"/>
      <c r="P165" s="243"/>
      <c r="BK165" s="243"/>
      <c r="BL165" s="243"/>
      <c r="BM165" s="243"/>
      <c r="BN165" s="243"/>
      <c r="BO165" s="243"/>
      <c r="BP165" s="243"/>
      <c r="BQ165" s="243"/>
      <c r="BR165" s="243"/>
      <c r="BS165" s="243"/>
      <c r="BT165" s="243"/>
      <c r="BU165" s="699"/>
      <c r="BV165" s="243"/>
      <c r="BW165" s="243"/>
      <c r="BX165" s="243"/>
      <c r="BY165" s="243"/>
      <c r="BZ165" s="243"/>
      <c r="CH165" s="711"/>
      <c r="CU165" s="243"/>
    </row>
    <row r="166" spans="1:99" ht="43.5" x14ac:dyDescent="0.35">
      <c r="D166" s="249" t="s">
        <v>171</v>
      </c>
      <c r="E166" s="249" t="s">
        <v>176</v>
      </c>
      <c r="F166" s="249" t="s">
        <v>56</v>
      </c>
      <c r="G166" s="584" t="s">
        <v>62</v>
      </c>
      <c r="H166" s="249" t="s">
        <v>60</v>
      </c>
      <c r="I166" s="249" t="s">
        <v>67</v>
      </c>
      <c r="J166" s="249" t="s">
        <v>71</v>
      </c>
      <c r="K166" s="249" t="s">
        <v>72</v>
      </c>
      <c r="L166" s="249" t="s">
        <v>177</v>
      </c>
      <c r="M166" s="829" t="s">
        <v>74</v>
      </c>
      <c r="N166" s="829" t="s">
        <v>75</v>
      </c>
      <c r="O166" s="829" t="s">
        <v>178</v>
      </c>
      <c r="P166" s="829" t="s">
        <v>179</v>
      </c>
      <c r="Q166" s="706" t="s">
        <v>172</v>
      </c>
      <c r="R166" s="706" t="s">
        <v>173</v>
      </c>
      <c r="BK166" s="243"/>
      <c r="BL166" s="243"/>
      <c r="BM166" s="243"/>
      <c r="BN166" s="243"/>
      <c r="BO166" s="243"/>
      <c r="BP166" s="243"/>
      <c r="BQ166" s="243"/>
      <c r="BR166" s="243"/>
      <c r="BS166" s="243"/>
      <c r="BT166" s="243"/>
      <c r="BU166" s="699"/>
      <c r="BV166" s="243"/>
      <c r="BW166" s="243"/>
      <c r="BX166" s="402"/>
      <c r="BY166" s="402" t="s">
        <v>171</v>
      </c>
      <c r="BZ166" s="249" t="s">
        <v>176</v>
      </c>
      <c r="CA166" s="249" t="s">
        <v>56</v>
      </c>
      <c r="CB166" s="584" t="s">
        <v>62</v>
      </c>
      <c r="CC166" s="249" t="s">
        <v>60</v>
      </c>
      <c r="CD166" s="694" t="s">
        <v>67</v>
      </c>
      <c r="CE166" s="249" t="s">
        <v>71</v>
      </c>
      <c r="CF166" s="249" t="s">
        <v>72</v>
      </c>
      <c r="CG166" s="249" t="s">
        <v>177</v>
      </c>
      <c r="CH166" s="249" t="s">
        <v>63</v>
      </c>
      <c r="CI166" s="249" t="s">
        <v>65</v>
      </c>
      <c r="CJ166" s="249" t="s">
        <v>66</v>
      </c>
      <c r="CK166" s="829" t="s">
        <v>74</v>
      </c>
      <c r="CL166" s="829" t="s">
        <v>75</v>
      </c>
      <c r="CM166" s="829" t="s">
        <v>178</v>
      </c>
      <c r="CN166" s="829" t="s">
        <v>179</v>
      </c>
      <c r="CO166" s="52" t="s">
        <v>172</v>
      </c>
      <c r="CP166" s="52"/>
      <c r="CQ166" s="52" t="s">
        <v>173</v>
      </c>
      <c r="CR166" s="52"/>
      <c r="CT166" s="52"/>
      <c r="CU166" s="243"/>
    </row>
    <row r="167" spans="1:99" x14ac:dyDescent="0.35">
      <c r="A167" s="200" t="s">
        <v>146</v>
      </c>
      <c r="B167" s="7" t="s">
        <v>147</v>
      </c>
      <c r="C167" s="7" t="s">
        <v>145</v>
      </c>
      <c r="D167" s="243">
        <f ca="1">VLOOKUP($A167,$A$55:$FD$70,COLUMN($BE$52),0)</f>
        <v>3952546.090307917</v>
      </c>
      <c r="E167" s="243">
        <f ca="1">VLOOKUP($A167,$A$55:$FD$70,COLUMN($D$52),0)</f>
        <v>318400.58879999997</v>
      </c>
      <c r="F167" s="243"/>
      <c r="G167" s="243">
        <f ca="1">VLOOKUP($A167,$A$55:$FD$70,COLUMN($G$52),0)</f>
        <v>318400.58879999997</v>
      </c>
      <c r="H167" s="243"/>
      <c r="I167" s="243" t="str">
        <f>VLOOKUP($A167,$A$55:$FD$70,COLUMN($P$52),0)</f>
        <v>x</v>
      </c>
      <c r="J167" s="243"/>
      <c r="K167" s="243">
        <f ca="1">VLOOKUP($A167,$A$55:$FD$70,COLUMN($T$52),0)</f>
        <v>443579.92386340257</v>
      </c>
      <c r="L167" s="243">
        <f ca="1">VLOOKUP($A167,$A$55:$FD$70,COLUMN($H$52),0)</f>
        <v>1075442.5000092394</v>
      </c>
      <c r="M167" s="243" t="str">
        <f t="shared" ref="M167:M168" si="237">IF(VLOOKUP($A167,$A$55:$FD$70,COLUMN($U$28),0)="","",VLOOKUP($A167,$A$55:$FD$70,COLUMN($U$28),0))</f>
        <v>x</v>
      </c>
      <c r="N167" s="243" t="str">
        <f t="shared" ref="N167:N168" si="238">IF(VLOOKUP($A167,$A$55:$FD$70,COLUMN($V$28),0)="","",VLOOKUP($A167,$A$55:$FD$70,COLUMN($V$28),0))</f>
        <v>x</v>
      </c>
      <c r="O167" s="243" t="str">
        <f t="shared" ref="O167:O168" si="239">IF(VLOOKUP($A167,$A$55:$FD$70,COLUMN($W$28),0)="","",VLOOKUP($A167,$A$55:$FD$70,COLUMN($W$28),0))</f>
        <v>x</v>
      </c>
      <c r="P167" s="243">
        <f t="shared" ref="P167:P168" si="240">IF(VLOOKUP($A167,$A$55:$FD$70,COLUMN($Y$28),0)="","",VLOOKUP($A167,$A$55:$FD$70,COLUMN($Y$28),0))</f>
        <v>8273318.7427734379</v>
      </c>
      <c r="Q167" s="26">
        <f ca="1">VLOOKUP($A167,$A$55:$FD$70,COLUMN($BJ$52),0)</f>
        <v>2907316.4012063337</v>
      </c>
      <c r="R167" s="26">
        <f ca="1">VLOOKUP($A167,$A$55:$FD$70,COLUMN($BK$52),0)</f>
        <v>3456618.121972417</v>
      </c>
      <c r="BK167" s="243"/>
      <c r="BL167" s="243"/>
      <c r="BM167" s="243"/>
      <c r="BN167" s="243"/>
      <c r="BO167" s="243"/>
      <c r="BP167" s="243"/>
      <c r="BQ167" s="243"/>
      <c r="BR167" s="243"/>
      <c r="BS167" s="243"/>
      <c r="BT167" s="243"/>
      <c r="BU167" s="699"/>
      <c r="BV167" s="243"/>
      <c r="BW167" s="243"/>
      <c r="BX167" s="200" t="s">
        <v>146</v>
      </c>
      <c r="BY167" s="243">
        <f ca="1">VLOOKUP($A167,$A$55:$FD$70,COLUMN($EO$52),0)</f>
        <v>1576192.6918665692</v>
      </c>
      <c r="BZ167" s="243">
        <f ca="1">VLOOKUP($A167,$A$55:$FD$70,COLUMN($BV$52),0)</f>
        <v>962433.11413022119</v>
      </c>
      <c r="CA167" s="243"/>
      <c r="CB167" s="243">
        <f ca="1">VLOOKUP($A167,$A$55:$FD$70,COLUMN($BY$52),0)</f>
        <v>751059.52101211366</v>
      </c>
      <c r="CC167" s="243"/>
      <c r="CE167" s="243"/>
      <c r="CF167" s="243">
        <f ca="1">VLOOKUP($A167,$A$55:$FD$70,COLUMN($CL$52),0)</f>
        <v>563948.3644101707</v>
      </c>
      <c r="CG167" s="243">
        <f ca="1">VLOOKUP($A167,$A$55:$FD$70,COLUMN($BZ$52),0)</f>
        <v>1267482.5409220785</v>
      </c>
      <c r="CH167" s="243"/>
      <c r="CI167" s="243"/>
      <c r="CJ167" s="243"/>
      <c r="CK167" s="243" t="str">
        <f>IF(VLOOKUP($A167,$A$55:$FD$70,COLUMN($CM$28),0)="","",VLOOKUP($A167,$A$55:$FD$70,COLUMN($CM$28),0))</f>
        <v>x</v>
      </c>
      <c r="CL167" s="243" t="str">
        <f>IF(VLOOKUP($A167,$A$55:$FD$70,COLUMN($CN$28),0)="","",VLOOKUP($A167,$A$55:$FD$70,COLUMN($CN$28),0))</f>
        <v>x</v>
      </c>
      <c r="CM167" s="43" t="str">
        <f>IF(VLOOKUP($A167,$A$55:$FD$70,COLUMN($CO$28),0)="","",VLOOKUP($A167,$A$55:$FD$70,COLUMN($CO$28),0))</f>
        <v>x</v>
      </c>
      <c r="CN167" s="243">
        <f>IF(VLOOKUP($A167,$A$55:$FD$70,COLUMN($CQ$28),0)="","",VLOOKUP($A167,$A$55:$FD$70,COLUMN($CQ$28),0))</f>
        <v>2370426.6585937501</v>
      </c>
      <c r="CO167" s="243">
        <f ca="1">VLOOKUP($A167,$A$55:$FD$70,COLUMN($ET$52),0)</f>
        <v>809795.46196511877</v>
      </c>
      <c r="CP167" s="243"/>
      <c r="CQ167" s="243">
        <f ca="1">VLOOKUP($A167,$A$55:$FD$70,COLUMN($EU$52),0)</f>
        <v>635387.17338174488</v>
      </c>
      <c r="CR167" s="243"/>
      <c r="CT167" s="243"/>
      <c r="CU167" s="243"/>
    </row>
    <row r="168" spans="1:99" x14ac:dyDescent="0.35">
      <c r="A168" s="200" t="s">
        <v>143</v>
      </c>
      <c r="B168" s="7" t="s">
        <v>144</v>
      </c>
      <c r="C168" s="7" t="s">
        <v>145</v>
      </c>
      <c r="D168" s="243">
        <f ca="1">VLOOKUP($A168,$A$55:$FD$70,COLUMN($BE$52),0)</f>
        <v>403267.61681808537</v>
      </c>
      <c r="E168" s="243">
        <f ca="1">VLOOKUP($A168,$A$55:$FD$70,COLUMN($D$52),0)</f>
        <v>159200.29439999998</v>
      </c>
      <c r="F168" s="243">
        <f ca="1">VLOOKUP($A168,$A$55:$FD$70,COLUMN($I$52),0)</f>
        <v>264843.61611051176</v>
      </c>
      <c r="G168" s="243">
        <f ca="1">VLOOKUP($A168,$A$55:$FD$70,COLUMN($G$52),0)</f>
        <v>1432802.6495999997</v>
      </c>
      <c r="H168" s="243"/>
      <c r="I168" s="243">
        <f ca="1">VLOOKUP($A168,$A$55:$FD$70,COLUMN($P$52),0)</f>
        <v>11191.987904919824</v>
      </c>
      <c r="J168" s="243">
        <f ca="1">VLOOKUP($A168,$A$55:$FD$70,COLUMN($S$52),0)</f>
        <v>425038.91845028696</v>
      </c>
      <c r="K168" s="243">
        <f ca="1">VLOOKUP($A168,$A$55:$FD$70,COLUMN($T$52),0)</f>
        <v>238914.45496420949</v>
      </c>
      <c r="L168" s="243">
        <f ca="1">VLOOKUP($A168,$A$55:$FD$70,COLUMN($H$52),0)</f>
        <v>663978.19950570446</v>
      </c>
      <c r="M168" s="243" t="str">
        <f t="shared" si="237"/>
        <v>x</v>
      </c>
      <c r="N168" s="243" t="str">
        <f t="shared" si="238"/>
        <v>x</v>
      </c>
      <c r="O168" s="243">
        <f t="shared" si="239"/>
        <v>0</v>
      </c>
      <c r="P168" s="243">
        <f t="shared" si="240"/>
        <v>1014360.6644165043</v>
      </c>
      <c r="Q168" s="26">
        <f ca="1">VLOOKUP($A168,$A$55:$FD$70,COLUMN($BJ$52),0)</f>
        <v>322614.0934544683</v>
      </c>
      <c r="R168" s="26">
        <f ca="1">VLOOKUP($A168,$A$55:$FD$70,COLUMN($BK$52),0)</f>
        <v>488874.4380787352</v>
      </c>
      <c r="BX168" s="200" t="s">
        <v>183</v>
      </c>
      <c r="BY168" s="243">
        <f ca="1">VLOOKUP($A168,$A$55:$FD$70,COLUMN($EO$52),0)</f>
        <v>373685.13598728913</v>
      </c>
      <c r="BZ168" s="243">
        <f ca="1">VLOOKUP($A168,$A$55:$FD$70,COLUMN($BV$52),0)</f>
        <v>950206.4639999998</v>
      </c>
      <c r="CA168" s="243">
        <f ca="1">VLOOKUP($A168,$A$55:$FD$70,COLUMN($CA$52),0)</f>
        <v>163435.57878935931</v>
      </c>
      <c r="CB168" s="243">
        <f ca="1">VLOOKUP($A168,$A$55:$FD$70,COLUMN($BY$52),0)</f>
        <v>844627.96799999988</v>
      </c>
      <c r="CC168" s="243"/>
      <c r="CE168" s="243"/>
      <c r="CF168" s="243">
        <f ca="1">VLOOKUP($A168,$A$55:$FD$70,COLUMN($CL$52),0)</f>
        <v>283007.84234115132</v>
      </c>
      <c r="CG168" s="243">
        <f ca="1">VLOOKUP($A168,$A$55:$FD$70,COLUMN($BZ$52),0)</f>
        <v>796129.26405908831</v>
      </c>
      <c r="CH168" s="243"/>
      <c r="CI168" s="243"/>
      <c r="CJ168" s="243"/>
      <c r="CK168" s="243" t="str">
        <f>IF(VLOOKUP($A168,$A$55:$FD$70,COLUMN($CM$28),0)="","",VLOOKUP($A168,$A$55:$FD$70,COLUMN($CM$28),0))</f>
        <v>x</v>
      </c>
      <c r="CL168" s="243" t="str">
        <f>IF(VLOOKUP($A168,$A$55:$FD$70,COLUMN($CN$28),0)="","",VLOOKUP($A168,$A$55:$FD$70,COLUMN($CN$28),0))</f>
        <v>x</v>
      </c>
      <c r="CM168" s="43">
        <f>IF(VLOOKUP($A168,$A$55:$FD$70,COLUMN($CO$28),0)="","",VLOOKUP($A168,$A$55:$FD$70,COLUMN($CO$28),0))</f>
        <v>0</v>
      </c>
      <c r="CN168" s="243">
        <f>IF(VLOOKUP($A168,$A$55:$FD$70,COLUMN($CQ$28),0)="","",VLOOKUP($A168,$A$55:$FD$70,COLUMN($CQ$28),0))</f>
        <v>145314.57297363286</v>
      </c>
      <c r="CO168" s="243">
        <f ca="1">VLOOKUP($A168,$A$55:$FD$70,COLUMN($ET$52),0)</f>
        <v>298948.10878983128</v>
      </c>
      <c r="CP168" s="243"/>
      <c r="CQ168" s="243">
        <f ca="1">VLOOKUP($A168,$A$55:$FD$70,COLUMN($EU$52),0)</f>
        <v>461217.06241016858</v>
      </c>
      <c r="CR168" s="243"/>
      <c r="CT168" s="243"/>
    </row>
    <row r="169" spans="1:99" x14ac:dyDescent="0.35"/>
    <row r="170" spans="1:99" x14ac:dyDescent="0.35"/>
    <row r="171" spans="1:99" x14ac:dyDescent="0.35"/>
    <row r="172" spans="1:99" x14ac:dyDescent="0.35"/>
    <row r="173" spans="1:99" x14ac:dyDescent="0.35"/>
    <row r="174" spans="1:99" x14ac:dyDescent="0.35"/>
    <row r="175" spans="1:99" x14ac:dyDescent="0.35"/>
    <row r="176" spans="1:99" x14ac:dyDescent="0.35"/>
    <row r="177" spans="1:162" x14ac:dyDescent="0.35"/>
    <row r="178" spans="1:162" x14ac:dyDescent="0.35"/>
    <row r="179" spans="1:162" x14ac:dyDescent="0.35"/>
    <row r="180" spans="1:162" x14ac:dyDescent="0.35"/>
    <row r="181" spans="1:162" x14ac:dyDescent="0.35"/>
    <row r="182" spans="1:162" x14ac:dyDescent="0.35"/>
    <row r="183" spans="1:162" x14ac:dyDescent="0.35"/>
    <row r="184" spans="1:162" x14ac:dyDescent="0.35"/>
    <row r="185" spans="1:162" x14ac:dyDescent="0.35"/>
    <row r="186" spans="1:162" x14ac:dyDescent="0.35"/>
    <row r="187" spans="1:162" ht="19.5" x14ac:dyDescent="0.45">
      <c r="A187" s="478" t="s">
        <v>186</v>
      </c>
      <c r="B187" s="401"/>
      <c r="C187" s="401"/>
      <c r="D187" s="401"/>
      <c r="E187" s="401"/>
      <c r="F187" s="401"/>
      <c r="G187" s="401"/>
      <c r="H187" s="401"/>
      <c r="I187" s="401"/>
      <c r="J187" s="401"/>
      <c r="K187" s="401"/>
      <c r="L187" s="401"/>
      <c r="M187" s="401"/>
      <c r="N187" s="401"/>
      <c r="O187" s="401"/>
      <c r="P187" s="401"/>
      <c r="Q187" s="401"/>
      <c r="R187" s="401"/>
      <c r="S187" s="401"/>
      <c r="T187" s="401"/>
      <c r="U187" s="401"/>
      <c r="V187" s="401"/>
      <c r="W187" s="401"/>
      <c r="X187" s="401"/>
      <c r="Y187" s="401"/>
      <c r="Z187" s="401"/>
      <c r="AA187" s="401"/>
      <c r="AB187" s="401"/>
      <c r="AC187" s="401"/>
      <c r="AD187" s="401"/>
      <c r="AE187" s="401"/>
      <c r="AF187" s="401"/>
      <c r="AG187" s="401"/>
      <c r="AH187" s="401"/>
      <c r="AI187" s="401"/>
      <c r="AJ187" s="401"/>
      <c r="AK187" s="401"/>
      <c r="AL187" s="401"/>
      <c r="AM187" s="401"/>
      <c r="AN187" s="401"/>
      <c r="AO187" s="401"/>
      <c r="AP187" s="401"/>
      <c r="AQ187" s="401"/>
      <c r="AR187" s="401"/>
      <c r="AS187" s="401"/>
      <c r="AT187" s="401"/>
      <c r="AU187" s="401"/>
      <c r="AV187" s="401"/>
      <c r="AW187" s="401"/>
      <c r="AX187" s="401"/>
      <c r="AY187" s="401"/>
      <c r="AZ187" s="401"/>
      <c r="BA187" s="401"/>
      <c r="BB187" s="401"/>
      <c r="BC187" s="401"/>
      <c r="BD187" s="401"/>
      <c r="BE187" s="401"/>
      <c r="BF187" s="401"/>
      <c r="BG187" s="401"/>
      <c r="BH187" s="401"/>
      <c r="BI187" s="401"/>
      <c r="BJ187" s="401"/>
      <c r="BK187" s="401"/>
      <c r="BL187" s="401"/>
      <c r="BM187" s="401"/>
      <c r="BN187" s="401"/>
      <c r="BO187" s="401"/>
      <c r="BP187" s="401"/>
      <c r="BQ187" s="401"/>
      <c r="BR187" s="401"/>
      <c r="BS187" s="401"/>
      <c r="BT187" s="401"/>
      <c r="BU187" s="697"/>
      <c r="BV187" s="401"/>
      <c r="BW187" s="401"/>
      <c r="BX187" s="401"/>
      <c r="BY187" s="401"/>
      <c r="BZ187" s="401"/>
      <c r="CA187" s="401"/>
      <c r="CB187" s="401"/>
      <c r="CC187" s="401"/>
      <c r="CD187" s="401"/>
      <c r="CE187" s="401"/>
      <c r="CF187" s="401"/>
      <c r="CG187" s="401"/>
      <c r="CH187" s="401"/>
      <c r="CI187" s="401"/>
      <c r="CJ187" s="401"/>
      <c r="CK187" s="401"/>
      <c r="CL187" s="401"/>
      <c r="CM187" s="401"/>
      <c r="CN187" s="401"/>
      <c r="CO187" s="401"/>
      <c r="CP187" s="401"/>
      <c r="CQ187" s="401"/>
      <c r="CR187" s="401"/>
      <c r="CS187" s="401"/>
      <c r="CT187" s="401"/>
      <c r="CU187" s="401"/>
      <c r="CV187" s="401"/>
      <c r="CW187" s="401"/>
      <c r="CX187" s="401"/>
      <c r="CY187" s="401"/>
      <c r="CZ187" s="401"/>
      <c r="DA187" s="401"/>
      <c r="DB187" s="401"/>
      <c r="DC187" s="401"/>
      <c r="DD187" s="401"/>
      <c r="DE187" s="401"/>
      <c r="DF187" s="401"/>
      <c r="DG187" s="401"/>
      <c r="DH187" s="401"/>
      <c r="DI187" s="401"/>
      <c r="DJ187" s="401"/>
      <c r="DK187" s="401"/>
      <c r="DL187" s="401"/>
      <c r="DM187" s="401"/>
      <c r="DN187" s="401"/>
      <c r="DO187" s="401"/>
      <c r="DP187" s="401"/>
      <c r="DQ187" s="401"/>
      <c r="DR187" s="401"/>
      <c r="DS187" s="401"/>
      <c r="DT187" s="401"/>
      <c r="DU187" s="401"/>
      <c r="DV187" s="401"/>
      <c r="DW187" s="401"/>
      <c r="DX187" s="401"/>
      <c r="DY187" s="401"/>
      <c r="DZ187" s="401"/>
      <c r="EA187" s="401"/>
      <c r="EB187" s="401"/>
      <c r="EC187" s="401"/>
      <c r="ED187" s="401"/>
      <c r="EE187" s="401"/>
      <c r="EF187" s="401"/>
      <c r="EG187" s="401"/>
      <c r="EH187" s="401"/>
      <c r="EI187" s="401"/>
      <c r="EJ187" s="401"/>
      <c r="EK187" s="401"/>
      <c r="EL187" s="401"/>
      <c r="EM187" s="401"/>
      <c r="EN187" s="401"/>
      <c r="EO187" s="401"/>
      <c r="EP187" s="401"/>
      <c r="EQ187" s="401"/>
      <c r="ER187" s="401"/>
      <c r="ES187" s="401"/>
    </row>
    <row r="188" spans="1:162" x14ac:dyDescent="0.35">
      <c r="D188" s="249" t="s">
        <v>171</v>
      </c>
      <c r="E188" s="52" t="s">
        <v>172</v>
      </c>
      <c r="F188" s="52" t="s">
        <v>173</v>
      </c>
      <c r="G188" s="249"/>
      <c r="H188" s="88"/>
      <c r="I188" s="88"/>
      <c r="J188" s="88"/>
      <c r="K188" s="88"/>
      <c r="L188" s="88"/>
      <c r="BK188" s="402"/>
      <c r="BL188" s="402"/>
      <c r="BM188" s="402"/>
      <c r="BN188" s="402"/>
      <c r="BO188" s="402"/>
      <c r="BP188" s="402"/>
      <c r="BQ188" s="402"/>
      <c r="BR188" s="402"/>
      <c r="BS188" s="402"/>
      <c r="BT188" s="402"/>
      <c r="BU188" s="698"/>
      <c r="BV188" s="100"/>
      <c r="BW188" s="100"/>
      <c r="BX188" s="100"/>
      <c r="BY188" s="100" t="s">
        <v>171</v>
      </c>
      <c r="BZ188" s="51" t="s">
        <v>172</v>
      </c>
      <c r="CA188" s="51" t="s">
        <v>173</v>
      </c>
      <c r="CE188" s="100"/>
      <c r="EX188" s="51" t="s">
        <v>174</v>
      </c>
      <c r="EY188" s="51" t="s">
        <v>172</v>
      </c>
      <c r="EZ188" s="51" t="s">
        <v>173</v>
      </c>
      <c r="FA188" s="51" t="s">
        <v>21</v>
      </c>
      <c r="FB188" s="51" t="s">
        <v>172</v>
      </c>
      <c r="FC188" s="51" t="s">
        <v>173</v>
      </c>
      <c r="FD188" s="51" t="s">
        <v>22</v>
      </c>
      <c r="FE188" s="51" t="s">
        <v>172</v>
      </c>
      <c r="FF188" s="51" t="s">
        <v>173</v>
      </c>
    </row>
    <row r="189" spans="1:162" x14ac:dyDescent="0.35">
      <c r="A189" s="200" t="s">
        <v>40</v>
      </c>
      <c r="B189" s="7" t="s">
        <v>40</v>
      </c>
      <c r="C189" s="7" t="s">
        <v>148</v>
      </c>
      <c r="D189" s="243">
        <f ca="1">VLOOKUP($A189,$A$79:$FD$94,COLUMN($BE$76),0)</f>
        <v>147946.95006209196</v>
      </c>
      <c r="E189" s="243">
        <f ca="1">VLOOKUP($A189,$A$79:$FD$94,COLUMN($BJ$76),0)</f>
        <v>112339.47761759357</v>
      </c>
      <c r="F189" s="243">
        <f ca="1">VLOOKUP($A189,$A$79:$FD$94,COLUMN($BK$76),0)</f>
        <v>224975.9229121198</v>
      </c>
      <c r="G189" s="243"/>
      <c r="H189" s="243"/>
      <c r="I189" s="243"/>
      <c r="J189" s="243"/>
      <c r="K189" s="243"/>
      <c r="L189" s="243"/>
      <c r="BK189" s="243"/>
      <c r="BL189" s="243"/>
      <c r="BM189" s="243"/>
      <c r="BN189" s="243"/>
      <c r="BO189" s="243"/>
      <c r="BP189" s="243"/>
      <c r="BQ189" s="243"/>
      <c r="BR189" s="243"/>
      <c r="BS189" s="243"/>
      <c r="BT189" s="243"/>
      <c r="BU189" s="699"/>
      <c r="BV189" s="243"/>
      <c r="BW189" s="243"/>
      <c r="BX189" s="7" t="s">
        <v>40</v>
      </c>
      <c r="BY189" s="243">
        <f ca="1">VLOOKUP($A189,$A$79:$FD$94,COLUMN($EO$76),0)</f>
        <v>258542.0311916942</v>
      </c>
      <c r="BZ189" s="243">
        <f ca="1">VLOOKUP($A189,$A$79:$FD$94,COLUMN($ET$76),0)</f>
        <v>188492.04884304563</v>
      </c>
      <c r="CA189" s="243">
        <f ca="1">VLOOKUP($A189,$A$79:$FD$94,COLUMN($EU$76),0)</f>
        <v>499624.30765523075</v>
      </c>
      <c r="CE189" s="243"/>
      <c r="EW189" s="200" t="s">
        <v>40</v>
      </c>
      <c r="EX189" s="26">
        <f ca="1">VLOOKUP($A189,$A$79:$FD$94,COLUMN($EX$76),0)</f>
        <v>170328.42664507939</v>
      </c>
      <c r="EY189" s="26">
        <f ca="1">VLOOKUP($A189,$A$79:$FD$94,COLUMN($FC$76),0)</f>
        <v>127662.25645730767</v>
      </c>
      <c r="EZ189" s="26">
        <f ca="1">VLOOKUP($A189,$A$79:$FD$94,COLUMN($FD$76),0)</f>
        <v>280238.35713307821</v>
      </c>
      <c r="FA189" s="26"/>
      <c r="FB189" s="26"/>
      <c r="FC189" s="26"/>
      <c r="FD189" s="26"/>
      <c r="FE189" s="26"/>
      <c r="FF189" s="26"/>
    </row>
    <row r="190" spans="1:162" x14ac:dyDescent="0.35">
      <c r="A190" s="200"/>
      <c r="D190" s="243"/>
      <c r="E190" s="243"/>
      <c r="F190" s="243"/>
      <c r="G190" s="243"/>
      <c r="H190" s="243"/>
      <c r="I190" s="243"/>
      <c r="J190" s="243"/>
      <c r="K190" s="243"/>
      <c r="L190" s="243"/>
      <c r="BK190" s="243"/>
      <c r="BL190" s="243"/>
      <c r="BM190" s="243"/>
      <c r="BN190" s="243"/>
      <c r="BO190" s="243"/>
      <c r="BP190" s="243"/>
      <c r="BQ190" s="243"/>
      <c r="BR190" s="243"/>
      <c r="BS190" s="243"/>
      <c r="BT190" s="243"/>
      <c r="BU190" s="699"/>
      <c r="BV190" s="243"/>
      <c r="BW190" s="243"/>
      <c r="BX190" s="243"/>
      <c r="BY190" s="243"/>
      <c r="BZ190" s="243"/>
      <c r="CB190" s="243"/>
      <c r="CC190" s="243"/>
      <c r="CD190" s="243"/>
      <c r="CE190" s="243"/>
      <c r="CJ190" s="243"/>
      <c r="CK190" s="243"/>
      <c r="EW190" s="200"/>
      <c r="EX190" s="26"/>
      <c r="EY190" s="26"/>
      <c r="EZ190" s="26"/>
      <c r="FA190" s="26"/>
      <c r="FB190" s="26"/>
      <c r="FC190" s="26"/>
      <c r="FD190" s="26"/>
      <c r="FE190" s="26"/>
      <c r="FF190" s="26"/>
    </row>
    <row r="191" spans="1:162" ht="43.5" x14ac:dyDescent="0.45">
      <c r="A191" s="478" t="s">
        <v>187</v>
      </c>
      <c r="D191" s="249" t="s">
        <v>171</v>
      </c>
      <c r="E191" s="249" t="s">
        <v>176</v>
      </c>
      <c r="F191" s="249" t="s">
        <v>56</v>
      </c>
      <c r="G191" s="584" t="s">
        <v>62</v>
      </c>
      <c r="H191" s="249" t="s">
        <v>60</v>
      </c>
      <c r="I191" s="249" t="s">
        <v>67</v>
      </c>
      <c r="J191" s="249" t="s">
        <v>71</v>
      </c>
      <c r="K191" s="249" t="s">
        <v>72</v>
      </c>
      <c r="L191" s="249" t="s">
        <v>177</v>
      </c>
      <c r="M191" s="695" t="s">
        <v>73</v>
      </c>
      <c r="N191" s="249" t="s">
        <v>63</v>
      </c>
      <c r="O191" s="249" t="s">
        <v>188</v>
      </c>
      <c r="P191" s="249" t="s">
        <v>189</v>
      </c>
      <c r="Q191" s="829" t="s">
        <v>74</v>
      </c>
      <c r="R191" s="829" t="s">
        <v>75</v>
      </c>
      <c r="S191" s="829" t="s">
        <v>178</v>
      </c>
      <c r="T191" s="829" t="s">
        <v>179</v>
      </c>
      <c r="U191" s="706" t="s">
        <v>172</v>
      </c>
      <c r="V191" s="706" t="s">
        <v>173</v>
      </c>
      <c r="BO191" s="402"/>
      <c r="BP191" s="402"/>
      <c r="BQ191" s="402"/>
      <c r="BR191" s="402"/>
      <c r="BS191" s="402"/>
      <c r="BT191" s="402"/>
      <c r="BU191" s="402"/>
      <c r="BV191" s="402"/>
      <c r="BW191" s="402"/>
      <c r="BX191" s="402"/>
      <c r="BY191" s="698"/>
      <c r="BZ191" s="402"/>
      <c r="CA191" s="402"/>
      <c r="CB191" s="402"/>
      <c r="CC191" s="402" t="s">
        <v>171</v>
      </c>
      <c r="CD191" s="249" t="s">
        <v>176</v>
      </c>
      <c r="CE191" s="249" t="s">
        <v>56</v>
      </c>
      <c r="CF191" s="584" t="s">
        <v>62</v>
      </c>
      <c r="CG191" s="249" t="s">
        <v>60</v>
      </c>
      <c r="CH191" s="694" t="s">
        <v>67</v>
      </c>
      <c r="CI191" s="249" t="s">
        <v>71</v>
      </c>
      <c r="CJ191" s="249" t="s">
        <v>72</v>
      </c>
      <c r="CK191" s="249" t="s">
        <v>177</v>
      </c>
      <c r="CL191" s="249" t="s">
        <v>63</v>
      </c>
      <c r="CM191" s="249" t="s">
        <v>188</v>
      </c>
      <c r="CN191" s="249" t="s">
        <v>189</v>
      </c>
      <c r="CO191" s="695" t="s">
        <v>73</v>
      </c>
      <c r="CP191" s="695"/>
      <c r="CQ191" s="829" t="s">
        <v>74</v>
      </c>
      <c r="CR191" s="829"/>
      <c r="CS191" s="7" t="s">
        <v>75</v>
      </c>
      <c r="CT191" s="829" t="s">
        <v>178</v>
      </c>
      <c r="CU191" s="829" t="s">
        <v>179</v>
      </c>
      <c r="CV191" s="52" t="s">
        <v>172</v>
      </c>
      <c r="CW191" s="52" t="s">
        <v>173</v>
      </c>
      <c r="CY191" s="402"/>
      <c r="EV191" s="7"/>
      <c r="EZ191" s="684"/>
    </row>
    <row r="192" spans="1:162" x14ac:dyDescent="0.35">
      <c r="A192" s="200" t="s">
        <v>40</v>
      </c>
      <c r="B192" s="7" t="s">
        <v>40</v>
      </c>
      <c r="C192" s="7" t="s">
        <v>148</v>
      </c>
      <c r="D192" s="243">
        <f ca="1">VLOOKUP($A192,$A$31:$FD$46,COLUMN($BE$28),0)</f>
        <v>65426.556323929632</v>
      </c>
      <c r="E192" s="243">
        <f ca="1">VLOOKUP($A192,$A$31:$FD$46,COLUMN($D$28),0)</f>
        <v>30606.35460992908</v>
      </c>
      <c r="F192" s="243">
        <f ca="1">VLOOKUP($A192,$A$31:$FD$46,COLUMN($I$28),0)</f>
        <v>25578.754356606645</v>
      </c>
      <c r="G192" s="243">
        <f ca="1">VLOOKUP($A192,$A$31:$FD$46,COLUMN($G$28),0)</f>
        <v>37339.752624113476</v>
      </c>
      <c r="H192" s="243">
        <f ca="1">VLOOKUP($A192,$A$31:$FD$46,COLUMN($L$28),0)</f>
        <v>10334.933585254337</v>
      </c>
      <c r="I192" s="243" t="str">
        <f>VLOOKUP($A192,$A$31:$FD$46,COLUMN($P$28),0)</f>
        <v>x</v>
      </c>
      <c r="J192" s="243">
        <f ca="1">VLOOKUP($A192,$A$31:$FD$46,COLUMN($S$28),0)</f>
        <v>45597.865216015329</v>
      </c>
      <c r="K192" s="243">
        <f ca="1">VLOOKUP($A192,$A$31:$FD$46,COLUMN($T$28),0)</f>
        <v>82333.080739438054</v>
      </c>
      <c r="L192" s="243">
        <f ca="1">VLOOKUP($A192,$A$31:$FD$46,COLUMN($H$28),0)</f>
        <v>29542.991425669981</v>
      </c>
      <c r="M192" s="243">
        <f ca="1">VLOOKUP($A192,$A$31:$FD$46,COLUMN($AA$28),0)</f>
        <v>15794.731223974153</v>
      </c>
      <c r="N192" s="243">
        <f ca="1">VLOOKUP($A192,$A$31:$FD$46,COLUMN($M$28),0)</f>
        <v>29701.968641470376</v>
      </c>
      <c r="O192" s="243">
        <f ca="1">VLOOKUP($A192,$A$31:$FD$46,COLUMN($Q$28),0)</f>
        <v>28385.027419993654</v>
      </c>
      <c r="P192" s="243">
        <f ca="1">VLOOKUP($A192,$A$31:$FD$46,COLUMN($R$28),0)</f>
        <v>43613.733864245318</v>
      </c>
      <c r="Q192" s="243" t="str">
        <f t="shared" ref="Q192" si="241">IF(VLOOKUP($A192,$A$31:$FD$46,COLUMN($U$28),0)="","",VLOOKUP($A192,$A$31:$FD$46,COLUMN($U$28),0))</f>
        <v>x</v>
      </c>
      <c r="R192" s="243" t="str">
        <f t="shared" ref="R192" si="242">IF(VLOOKUP($A192,$A$31:$FD$46,COLUMN($V$28),0)="","",VLOOKUP($A192,$A$31:$FD$46,COLUMN($V$28),0))</f>
        <v>x</v>
      </c>
      <c r="S192" s="43">
        <f t="shared" ref="S192" ca="1" si="243">IF(VLOOKUP($A192,$A$31:$FD$46,COLUMN($W$28),0)="","",VLOOKUP($A192,$A$31:$FD$46,COLUMN($W$28),0))</f>
        <v>244680.74782156225</v>
      </c>
      <c r="T192" s="243">
        <f t="shared" ref="T192" ca="1" si="244">IF(VLOOKUP($A192,$A$31:$FD$46,COLUMN($Y$28),0)="","",VLOOKUP($A192,$A$31:$FD$46,COLUMN($Y$28),0))</f>
        <v>8644.8129000902627</v>
      </c>
      <c r="U192" s="243">
        <f ca="1">VLOOKUP($A192,$A$31:$FD$46,COLUMN($BJ$28),0)</f>
        <v>46323.162627063713</v>
      </c>
      <c r="V192" s="243">
        <f ca="1">VLOOKUP($A192,$A$31:$FD$46,COLUMN($BK$28),0)</f>
        <v>143403.35319810611</v>
      </c>
      <c r="BO192" s="243"/>
      <c r="BP192" s="243"/>
      <c r="BQ192" s="243"/>
      <c r="BR192" s="243"/>
      <c r="BS192" s="243"/>
      <c r="BT192" s="243"/>
      <c r="BU192" s="243"/>
      <c r="BV192" s="243"/>
      <c r="BW192" s="243"/>
      <c r="BX192" s="243"/>
      <c r="BY192" s="699"/>
      <c r="BZ192" s="243"/>
      <c r="CA192" s="243"/>
      <c r="CB192" s="7" t="s">
        <v>40</v>
      </c>
      <c r="CC192" s="243">
        <f ca="1">VLOOKUP($A192,$A$31:$FD$46,COLUMN($EO$28),0)</f>
        <v>89325.793874844283</v>
      </c>
      <c r="CD192" s="243">
        <f ca="1">VLOOKUP($A192,$A$31:$FD$46,COLUMN($BV$28),0)</f>
        <v>145343.41333333333</v>
      </c>
      <c r="CE192" s="243">
        <f ca="1">VLOOKUP($A192,$A$31:$FD$46,COLUMN($CA$28),0)</f>
        <v>63212.565775492993</v>
      </c>
      <c r="CF192" s="243">
        <f ca="1">VLOOKUP($A192,$A$31:$FD$46,COLUMN($BY$28),0)</f>
        <v>65827.28</v>
      </c>
      <c r="CG192" s="243">
        <f ca="1">VLOOKUP($A192,$A$31:$FD$46,COLUMN($CD$28),0)</f>
        <v>44801.465487768932</v>
      </c>
      <c r="CI192" s="243">
        <f ca="1">VLOOKUP($A192,$A$31:$FD$46,COLUMN($CK$28),0)</f>
        <v>89447.570893103664</v>
      </c>
      <c r="CJ192" s="243">
        <f ca="1">VLOOKUP($A192,$A$31:$FD$46,COLUMN($CL$28),0)</f>
        <v>88713.293371291657</v>
      </c>
      <c r="CK192" s="243">
        <f ca="1">VLOOKUP($A192,$A$31:$FD$46,COLUMN($BZ$28),0)</f>
        <v>42848.422020190264</v>
      </c>
      <c r="CL192" s="243">
        <f ca="1">VLOOKUP($A192,$A$31:$FD$46,COLUMN($CE$28),0)</f>
        <v>52543.694635346968</v>
      </c>
      <c r="CM192" s="243">
        <f ca="1">VLOOKUP($A192,$A$31:$FD$46,COLUMN($CI$28),0)</f>
        <v>155997.76570414286</v>
      </c>
      <c r="CN192" s="243">
        <f ca="1">VLOOKUP($A192,$A$31:$FD$46,COLUMN($CJ$28),0)</f>
        <v>186685.26022577958</v>
      </c>
      <c r="CO192" s="243">
        <f ca="1">VLOOKUP($A192,$A$31:$FD$46,COLUMN($CS$28),0)</f>
        <v>60655.170913721609</v>
      </c>
      <c r="CP192" s="243"/>
      <c r="CQ192" s="243" t="str">
        <f>IF(VLOOKUP($A192,$A$31:$FD$46,COLUMN($CM$28),0)="","",VLOOKUP($A192,$A$31:$FD$46,COLUMN($CM$28),0))</f>
        <v>x</v>
      </c>
      <c r="CR192" s="243"/>
      <c r="CS192" s="7" t="str">
        <f>IF(VLOOKUP($A192,$A$31:$FD$46,COLUMN($CN$28),0)="","",VLOOKUP($A192,$A$31:$FD$46,COLUMN($CN$28),0))</f>
        <v>x</v>
      </c>
      <c r="CT192" s="43">
        <f ca="1">IF(VLOOKUP($A192,$A$31:$FD$46,COLUMN($CO$28),0)="","",VLOOKUP($A192,$A$31:$FD$46,COLUMN($CO$28),0))</f>
        <v>142457.5061055565</v>
      </c>
      <c r="CU192" s="243">
        <f ca="1">IF(VLOOKUP($A192,$A$31:$FD$46,COLUMN($CQ$28),0)="","",VLOOKUP($A192,$A$31:$FD$46,COLUMN($CQ$28),0))</f>
        <v>26347.178782592859</v>
      </c>
      <c r="CV192" s="243">
        <f ca="1">VLOOKUP($A192,$A$31:$FD$46,COLUMN($ET$28),0)</f>
        <v>53119.058989565703</v>
      </c>
      <c r="CW192" s="243">
        <f ca="1">VLOOKUP($A192,$A$31:$FD$46,COLUMN($EU$28),0)</f>
        <v>77887.573080748247</v>
      </c>
      <c r="CY192" s="243"/>
      <c r="EV192" s="7"/>
      <c r="EZ192" s="684"/>
    </row>
    <row r="193" spans="1:156" x14ac:dyDescent="0.35">
      <c r="A193" s="200"/>
      <c r="D193" s="243"/>
      <c r="E193" s="243"/>
      <c r="F193" s="243"/>
      <c r="G193" s="243"/>
      <c r="H193" s="243"/>
      <c r="I193" s="243"/>
      <c r="J193" s="243"/>
      <c r="K193" s="243"/>
      <c r="L193" s="243"/>
      <c r="M193" s="243"/>
      <c r="N193" s="243"/>
      <c r="O193" s="243"/>
      <c r="P193" s="243"/>
      <c r="Q193" s="243"/>
      <c r="R193" s="243"/>
      <c r="S193" s="243"/>
      <c r="T193" s="243"/>
      <c r="U193" s="243"/>
      <c r="V193" s="243"/>
      <c r="BO193" s="243"/>
      <c r="BP193" s="243"/>
      <c r="BQ193" s="243"/>
      <c r="BR193" s="243"/>
      <c r="BS193" s="243"/>
      <c r="BT193" s="243"/>
      <c r="BU193" s="243"/>
      <c r="BV193" s="243"/>
      <c r="BW193" s="243"/>
      <c r="BX193" s="243"/>
      <c r="BY193" s="699"/>
      <c r="BZ193" s="243"/>
      <c r="CA193" s="243"/>
      <c r="CB193" s="243"/>
      <c r="CC193" s="243"/>
      <c r="CD193" s="243"/>
      <c r="CE193" s="243"/>
      <c r="CF193" s="243"/>
      <c r="CG193" s="243"/>
      <c r="CH193" s="243"/>
      <c r="CI193" s="243"/>
      <c r="CJ193" s="243"/>
      <c r="CK193" s="243"/>
      <c r="CY193" s="243"/>
      <c r="EV193" s="7"/>
      <c r="EZ193" s="684"/>
    </row>
    <row r="194" spans="1:156" x14ac:dyDescent="0.35">
      <c r="A194" s="200"/>
      <c r="D194" s="243"/>
      <c r="E194" s="243"/>
      <c r="F194" s="243"/>
      <c r="G194" s="243"/>
      <c r="H194" s="243"/>
      <c r="I194" s="243"/>
      <c r="J194" s="243"/>
      <c r="K194" s="243"/>
      <c r="L194" s="243"/>
      <c r="M194" s="243"/>
      <c r="N194" s="243"/>
      <c r="O194" s="243"/>
      <c r="P194" s="243"/>
      <c r="Q194" s="243"/>
      <c r="R194" s="243"/>
      <c r="S194" s="243"/>
      <c r="T194" s="243"/>
      <c r="U194" s="243"/>
      <c r="V194" s="243"/>
      <c r="BO194" s="243"/>
      <c r="BP194" s="243"/>
      <c r="BQ194" s="243"/>
      <c r="BR194" s="243"/>
      <c r="BS194" s="243"/>
      <c r="BT194" s="243"/>
      <c r="BU194" s="243"/>
      <c r="BV194" s="243"/>
      <c r="BW194" s="243"/>
      <c r="BX194" s="243"/>
      <c r="BY194" s="699"/>
      <c r="BZ194" s="243"/>
      <c r="CA194" s="243"/>
      <c r="CB194" s="243"/>
      <c r="CC194" s="243"/>
      <c r="CD194" s="243"/>
      <c r="CE194" s="243"/>
      <c r="CF194" s="243"/>
      <c r="CG194" s="243"/>
      <c r="CH194" s="243"/>
      <c r="CI194" s="243"/>
      <c r="CJ194" s="243"/>
      <c r="CK194" s="243"/>
      <c r="CY194" s="243"/>
      <c r="EV194" s="7"/>
      <c r="EZ194" s="684"/>
    </row>
    <row r="195" spans="1:156" ht="43.5" x14ac:dyDescent="0.45">
      <c r="A195" s="478" t="s">
        <v>190</v>
      </c>
      <c r="D195" s="249" t="s">
        <v>171</v>
      </c>
      <c r="E195" s="249" t="s">
        <v>176</v>
      </c>
      <c r="F195" s="249" t="s">
        <v>56</v>
      </c>
      <c r="G195" s="584" t="s">
        <v>62</v>
      </c>
      <c r="H195" s="249" t="s">
        <v>60</v>
      </c>
      <c r="I195" s="249" t="s">
        <v>67</v>
      </c>
      <c r="J195" s="249" t="s">
        <v>71</v>
      </c>
      <c r="K195" s="249" t="s">
        <v>72</v>
      </c>
      <c r="L195" s="249" t="s">
        <v>177</v>
      </c>
      <c r="M195" s="695" t="s">
        <v>73</v>
      </c>
      <c r="N195" s="249" t="s">
        <v>63</v>
      </c>
      <c r="O195" s="249" t="s">
        <v>188</v>
      </c>
      <c r="P195" s="249" t="s">
        <v>189</v>
      </c>
      <c r="Q195" s="829" t="s">
        <v>74</v>
      </c>
      <c r="R195" s="829" t="s">
        <v>75</v>
      </c>
      <c r="S195" s="829" t="s">
        <v>178</v>
      </c>
      <c r="T195" s="829" t="s">
        <v>179</v>
      </c>
      <c r="U195" s="706" t="s">
        <v>172</v>
      </c>
      <c r="V195" s="706" t="s">
        <v>173</v>
      </c>
      <c r="BO195" s="243"/>
      <c r="BP195" s="243"/>
      <c r="BQ195" s="243"/>
      <c r="BR195" s="243"/>
      <c r="BS195" s="243"/>
      <c r="BT195" s="243"/>
      <c r="BU195" s="243"/>
      <c r="BV195" s="243"/>
      <c r="BW195" s="243"/>
      <c r="BX195" s="243"/>
      <c r="BY195" s="699"/>
      <c r="BZ195" s="243"/>
      <c r="CA195" s="243"/>
      <c r="CB195" s="402"/>
      <c r="CC195" s="402" t="s">
        <v>171</v>
      </c>
      <c r="CD195" s="249" t="s">
        <v>176</v>
      </c>
      <c r="CE195" s="249" t="s">
        <v>56</v>
      </c>
      <c r="CF195" s="584" t="s">
        <v>62</v>
      </c>
      <c r="CG195" s="249" t="s">
        <v>60</v>
      </c>
      <c r="CH195" s="694" t="s">
        <v>67</v>
      </c>
      <c r="CI195" s="249" t="s">
        <v>71</v>
      </c>
      <c r="CJ195" s="249" t="s">
        <v>72</v>
      </c>
      <c r="CK195" s="249" t="s">
        <v>177</v>
      </c>
      <c r="CL195" s="249" t="s">
        <v>63</v>
      </c>
      <c r="CM195" s="249" t="s">
        <v>188</v>
      </c>
      <c r="CN195" s="249" t="s">
        <v>189</v>
      </c>
      <c r="CO195" s="695" t="s">
        <v>73</v>
      </c>
      <c r="CP195" s="695"/>
      <c r="CQ195" s="829" t="s">
        <v>74</v>
      </c>
      <c r="CR195" s="829"/>
      <c r="CS195" s="7" t="s">
        <v>75</v>
      </c>
      <c r="CT195" s="829" t="s">
        <v>178</v>
      </c>
      <c r="CU195" s="829" t="s">
        <v>179</v>
      </c>
      <c r="CV195" s="52" t="s">
        <v>172</v>
      </c>
      <c r="CW195" s="52" t="s">
        <v>173</v>
      </c>
      <c r="CY195" s="243"/>
      <c r="EV195" s="7"/>
      <c r="EZ195" s="684"/>
    </row>
    <row r="196" spans="1:156" x14ac:dyDescent="0.35">
      <c r="A196" s="200" t="s">
        <v>40</v>
      </c>
      <c r="B196" s="7" t="s">
        <v>40</v>
      </c>
      <c r="C196" s="7" t="s">
        <v>148</v>
      </c>
      <c r="D196" s="243">
        <f ca="1">VLOOKUP($A196,$A$55:$FD$70,COLUMN($BE$52),0)</f>
        <v>82520.393738162325</v>
      </c>
      <c r="E196" s="243">
        <f ca="1">VLOOKUP($A196,$A$55:$FD$70,COLUMN($D$52),0)</f>
        <v>18818.001702127662</v>
      </c>
      <c r="F196" s="243">
        <f ca="1">VLOOKUP($A196,$A$55:$FD$70,COLUMN($I$52),0)</f>
        <v>94293.266018211216</v>
      </c>
      <c r="G196" s="243">
        <f ca="1">VLOOKUP($A196,$A$55:$FD$70,COLUMN($G$52),0)</f>
        <v>150544.01361702129</v>
      </c>
      <c r="H196" s="243"/>
      <c r="I196" s="243" t="str">
        <f>VLOOKUP($A196,$A$55:$FD$70,COLUMN($P$52),0)</f>
        <v>x</v>
      </c>
      <c r="J196" s="243">
        <f ca="1">VLOOKUP($A196,$A$55:$FD$70,COLUMN($S$52),0)</f>
        <v>18602.663492617012</v>
      </c>
      <c r="K196" s="243">
        <f ca="1">VLOOKUP($A196,$A$55:$FD$70,COLUMN($T$52),0)</f>
        <v>47026.239641482447</v>
      </c>
      <c r="L196" s="243">
        <f ca="1">VLOOKUP($A196,$A$55:$FD$70,COLUMN($H$52),0)</f>
        <v>20822.397340604428</v>
      </c>
      <c r="M196" s="243"/>
      <c r="N196" s="243"/>
      <c r="O196" s="243"/>
      <c r="P196" s="243"/>
      <c r="Q196" s="243" t="str">
        <f t="shared" ref="Q196" si="245">IF(VLOOKUP($A196,$A$55:$FD$70,COLUMN($U$28),0)="","",VLOOKUP($A196,$A$55:$FD$70,COLUMN($U$28),0))</f>
        <v>x</v>
      </c>
      <c r="R196" s="243" t="str">
        <f t="shared" ref="R196" si="246">IF(VLOOKUP($A196,$A$55:$FD$70,COLUMN($V$28),0)="","",VLOOKUP($A196,$A$55:$FD$70,COLUMN($V$28),0))</f>
        <v>x</v>
      </c>
      <c r="S196" s="43">
        <f t="shared" ref="S196" si="247">IF(VLOOKUP($A196,$A$55:$FD$70,COLUMN($W$28),0)="","",VLOOKUP($A196,$A$55:$FD$70,COLUMN($W$28),0))</f>
        <v>59387.050459338279</v>
      </c>
      <c r="T196" s="243">
        <f t="shared" ref="T196" ca="1" si="248">IF(VLOOKUP($A196,$A$55:$FD$70,COLUMN($Y$28),0)="","",VLOOKUP($A196,$A$55:$FD$70,COLUMN($Y$28),0))</f>
        <v>184486.10588067942</v>
      </c>
      <c r="U196" s="243">
        <f ca="1">VLOOKUP($A196,$A$55:$FD$70,COLUMN($BJ$52),0)</f>
        <v>66016.314990529863</v>
      </c>
      <c r="V196" s="243">
        <f ca="1">VLOOKUP($A196,$A$55:$FD$70,COLUMN($BK$52),0)</f>
        <v>81572.569714013691</v>
      </c>
      <c r="BO196" s="243"/>
      <c r="BP196" s="243"/>
      <c r="BQ196" s="243"/>
      <c r="BR196" s="243"/>
      <c r="BS196" s="243"/>
      <c r="BT196" s="243"/>
      <c r="BU196" s="243"/>
      <c r="BV196" s="243"/>
      <c r="BW196" s="243"/>
      <c r="BX196" s="243"/>
      <c r="BY196" s="699"/>
      <c r="BZ196" s="243"/>
      <c r="CA196" s="243"/>
      <c r="CB196" s="7" t="s">
        <v>40</v>
      </c>
      <c r="CC196" s="243">
        <f ca="1">VLOOKUP($A196,$A$55:$FD$70,COLUMN($EO$52),0)</f>
        <v>169216.2373168499</v>
      </c>
      <c r="CD196" s="243">
        <f ca="1">VLOOKUP($A196,$A$55:$FD$70,COLUMN($BV$52),0)</f>
        <v>13034.382222222222</v>
      </c>
      <c r="CE196" s="243">
        <f ca="1">VLOOKUP($A196,$A$55:$FD$70,COLUMN($CA$52),0)</f>
        <v>696387.155534953</v>
      </c>
      <c r="CF196" s="243">
        <f ca="1">VLOOKUP($A196,$A$55:$FD$70,COLUMN($BY$52),0)</f>
        <v>110792.24888888889</v>
      </c>
      <c r="CG196" s="243"/>
      <c r="CI196" s="243">
        <f ca="1">VLOOKUP($A196,$A$55:$FD$70,COLUMN($CK$52),0)</f>
        <v>706479.34371927811</v>
      </c>
      <c r="CJ196" s="243">
        <f ca="1">VLOOKUP($A196,$A$55:$FD$70,COLUMN($CL$52),0)</f>
        <v>251660.2123705667</v>
      </c>
      <c r="CK196" s="243">
        <f ca="1">VLOOKUP($A196,$A$55:$FD$70,COLUMN($BZ$52),0)</f>
        <v>103453.31685820092</v>
      </c>
      <c r="CL196" s="243"/>
      <c r="CM196" s="243"/>
      <c r="CN196" s="243"/>
      <c r="CO196" s="243"/>
      <c r="CP196" s="243"/>
      <c r="CQ196" s="243" t="str">
        <f>IF(VLOOKUP($A196,$A$55:$FD$70,COLUMN($CM$28),0)="","",VLOOKUP($A196,$A$55:$FD$70,COLUMN($CM$28),0))</f>
        <v>x</v>
      </c>
      <c r="CR196" s="243"/>
      <c r="CS196" s="7" t="str">
        <f>IF(VLOOKUP($A196,$A$55:$FD$70,COLUMN($CN$28),0)="","",VLOOKUP($A196,$A$55:$FD$70,COLUMN($CN$28),0))</f>
        <v>x</v>
      </c>
      <c r="CT196" s="43">
        <f>IF(VLOOKUP($A196,$A$55:$FD$70,COLUMN($CO$28),0)="","",VLOOKUP($A196,$A$55:$FD$70,COLUMN($CO$28),0))</f>
        <v>318124.76361936686</v>
      </c>
      <c r="CU196" s="243">
        <f ca="1">IF(VLOOKUP($A196,$A$55:$FD$70,COLUMN($CQ$28),0)="","",VLOOKUP($A196,$A$55:$FD$70,COLUMN($CQ$28),0))</f>
        <v>211540.65626383194</v>
      </c>
      <c r="CV196" s="243">
        <f ca="1">VLOOKUP($A196,$A$55:$FD$70,COLUMN($ET$52),0)</f>
        <v>135372.98985347993</v>
      </c>
      <c r="CW196" s="243">
        <f ca="1">VLOOKUP($A196,$A$55:$FD$70,COLUMN($EU$52),0)</f>
        <v>421736.73457448254</v>
      </c>
      <c r="CY196" s="243"/>
      <c r="EV196" s="7"/>
      <c r="EZ196" s="684"/>
    </row>
    <row r="197" spans="1:156" x14ac:dyDescent="0.35">
      <c r="A197" s="200"/>
      <c r="D197" s="243"/>
      <c r="E197" s="243"/>
      <c r="F197" s="243"/>
      <c r="G197" s="243"/>
      <c r="H197" s="243"/>
      <c r="I197" s="243"/>
      <c r="J197" s="243"/>
      <c r="K197" s="243"/>
      <c r="L197" s="243"/>
      <c r="M197" s="243"/>
      <c r="N197" s="243"/>
      <c r="O197" s="243"/>
      <c r="P197" s="243"/>
      <c r="BK197" s="243"/>
      <c r="BL197" s="243"/>
      <c r="BM197" s="243"/>
      <c r="BN197" s="243"/>
      <c r="BO197" s="243"/>
      <c r="BP197" s="243"/>
      <c r="BQ197" s="243"/>
      <c r="BR197" s="243"/>
      <c r="BS197" s="243"/>
      <c r="BT197" s="243"/>
      <c r="BU197" s="699"/>
      <c r="BV197" s="243"/>
      <c r="BW197" s="243"/>
      <c r="BX197" s="243"/>
      <c r="BY197" s="243"/>
      <c r="BZ197" s="243"/>
      <c r="CT197" s="43"/>
      <c r="CU197" s="243"/>
    </row>
    <row r="198" spans="1:156" x14ac:dyDescent="0.35">
      <c r="A198" s="200"/>
      <c r="D198" s="243"/>
      <c r="E198" s="243"/>
      <c r="F198" s="243"/>
      <c r="G198" s="243"/>
      <c r="H198" s="243"/>
      <c r="I198" s="243"/>
      <c r="J198" s="243"/>
      <c r="K198" s="243"/>
      <c r="L198" s="243"/>
      <c r="M198" s="243"/>
      <c r="N198" s="243"/>
      <c r="O198" s="243"/>
      <c r="P198" s="243"/>
      <c r="BK198" s="243"/>
      <c r="BL198" s="243"/>
      <c r="BM198" s="243"/>
      <c r="BN198" s="243"/>
      <c r="BO198" s="243"/>
      <c r="BP198" s="243"/>
      <c r="BQ198" s="243"/>
      <c r="BR198" s="243"/>
      <c r="BS198" s="243"/>
      <c r="BT198" s="243"/>
      <c r="BU198" s="699"/>
      <c r="BV198" s="243"/>
      <c r="BW198" s="243"/>
      <c r="BX198" s="243"/>
      <c r="BY198" s="243"/>
      <c r="BZ198" s="243"/>
      <c r="CA198" s="243"/>
      <c r="CB198" s="243"/>
      <c r="CC198" s="243"/>
      <c r="CD198" s="243"/>
      <c r="CE198" s="243"/>
      <c r="CF198" s="243"/>
      <c r="CG198" s="243"/>
      <c r="CU198" s="243"/>
    </row>
    <row r="199" spans="1:156" x14ac:dyDescent="0.35"/>
    <row r="200" spans="1:156" x14ac:dyDescent="0.35"/>
    <row r="201" spans="1:156" x14ac:dyDescent="0.35"/>
    <row r="202" spans="1:156" x14ac:dyDescent="0.35"/>
    <row r="203" spans="1:156" x14ac:dyDescent="0.35"/>
    <row r="204" spans="1:156" x14ac:dyDescent="0.35"/>
    <row r="205" spans="1:156" x14ac:dyDescent="0.35"/>
    <row r="206" spans="1:156" x14ac:dyDescent="0.35"/>
    <row r="207" spans="1:156" x14ac:dyDescent="0.35"/>
    <row r="208" spans="1:156" x14ac:dyDescent="0.35"/>
    <row r="209" spans="1:162" x14ac:dyDescent="0.35"/>
    <row r="210" spans="1:162" x14ac:dyDescent="0.35"/>
    <row r="211" spans="1:162" x14ac:dyDescent="0.35"/>
    <row r="212" spans="1:162" x14ac:dyDescent="0.35"/>
    <row r="213" spans="1:162" x14ac:dyDescent="0.35"/>
    <row r="214" spans="1:162" x14ac:dyDescent="0.35"/>
    <row r="215" spans="1:162" x14ac:dyDescent="0.35"/>
    <row r="216" spans="1:162" x14ac:dyDescent="0.35"/>
    <row r="217" spans="1:162" x14ac:dyDescent="0.35"/>
    <row r="218" spans="1:162" x14ac:dyDescent="0.35"/>
    <row r="219" spans="1:162" ht="19.5" x14ac:dyDescent="0.45">
      <c r="A219" s="478" t="s">
        <v>191</v>
      </c>
      <c r="B219" s="401"/>
      <c r="C219" s="401"/>
      <c r="D219" s="401"/>
      <c r="E219" s="401"/>
      <c r="F219" s="401"/>
      <c r="G219" s="401"/>
      <c r="H219" s="401"/>
      <c r="I219" s="401"/>
      <c r="J219" s="401"/>
      <c r="K219" s="401"/>
      <c r="L219" s="401"/>
      <c r="M219" s="401"/>
      <c r="N219" s="401"/>
      <c r="O219" s="401"/>
      <c r="P219" s="401"/>
      <c r="Q219" s="401"/>
      <c r="R219" s="401"/>
      <c r="S219" s="401"/>
      <c r="T219" s="401"/>
      <c r="U219" s="401"/>
      <c r="V219" s="401"/>
      <c r="W219" s="401"/>
      <c r="X219" s="401"/>
      <c r="Y219" s="401"/>
      <c r="Z219" s="401"/>
      <c r="AA219" s="401"/>
      <c r="AB219" s="401"/>
      <c r="AC219" s="401"/>
      <c r="AD219" s="401"/>
      <c r="AE219" s="401"/>
      <c r="AF219" s="401"/>
      <c r="AG219" s="401"/>
      <c r="AH219" s="401"/>
      <c r="AI219" s="401"/>
      <c r="AJ219" s="401"/>
      <c r="AK219" s="401"/>
      <c r="AL219" s="401"/>
      <c r="AM219" s="401"/>
      <c r="AN219" s="401"/>
      <c r="AO219" s="401"/>
      <c r="AP219" s="401"/>
      <c r="AQ219" s="401"/>
      <c r="AR219" s="401"/>
      <c r="AS219" s="401"/>
      <c r="AT219" s="401"/>
      <c r="AU219" s="401"/>
      <c r="AV219" s="401"/>
      <c r="AW219" s="401"/>
      <c r="AX219" s="401"/>
      <c r="AY219" s="401"/>
      <c r="AZ219" s="401"/>
      <c r="BA219" s="401"/>
      <c r="BB219" s="401"/>
      <c r="BC219" s="401"/>
      <c r="BD219" s="401"/>
      <c r="BE219" s="401"/>
      <c r="BF219" s="401"/>
      <c r="BG219" s="401"/>
      <c r="BH219" s="401"/>
      <c r="BI219" s="401"/>
      <c r="BJ219" s="401"/>
      <c r="BK219" s="401"/>
      <c r="BL219" s="401"/>
      <c r="BM219" s="401"/>
      <c r="BN219" s="401"/>
      <c r="BO219" s="401"/>
      <c r="BP219" s="401"/>
      <c r="BQ219" s="401"/>
      <c r="BR219" s="401"/>
      <c r="BS219" s="401"/>
      <c r="BT219" s="401"/>
      <c r="BU219" s="697"/>
      <c r="BV219" s="401"/>
      <c r="BW219" s="401"/>
      <c r="BX219" s="401"/>
      <c r="BY219" s="401"/>
      <c r="BZ219" s="401"/>
      <c r="CA219" s="401"/>
      <c r="CB219" s="401"/>
      <c r="CC219" s="401"/>
      <c r="CD219" s="401"/>
      <c r="CE219" s="401"/>
      <c r="CF219" s="401"/>
      <c r="CG219" s="401"/>
      <c r="CH219" s="401"/>
      <c r="CI219" s="401"/>
      <c r="CJ219" s="401"/>
      <c r="CK219" s="401"/>
      <c r="CL219" s="401"/>
      <c r="CM219" s="401"/>
      <c r="CN219" s="401"/>
      <c r="CO219" s="401"/>
      <c r="CP219" s="401"/>
      <c r="CQ219" s="401"/>
      <c r="CR219" s="401"/>
      <c r="CS219" s="401"/>
      <c r="CT219" s="401"/>
      <c r="CU219" s="401"/>
      <c r="CV219" s="401"/>
      <c r="CW219" s="401"/>
      <c r="CX219" s="401"/>
      <c r="CY219" s="401"/>
      <c r="CZ219" s="401"/>
      <c r="DA219" s="401"/>
      <c r="DB219" s="401"/>
      <c r="DC219" s="401"/>
      <c r="DD219" s="401"/>
      <c r="DE219" s="401"/>
      <c r="DF219" s="401"/>
      <c r="DG219" s="401"/>
      <c r="DH219" s="401"/>
      <c r="DI219" s="401"/>
      <c r="DJ219" s="401"/>
      <c r="DK219" s="401"/>
      <c r="DL219" s="401"/>
      <c r="DM219" s="401"/>
      <c r="DN219" s="401"/>
      <c r="DO219" s="401"/>
      <c r="DP219" s="401"/>
      <c r="DQ219" s="401"/>
      <c r="DR219" s="401"/>
      <c r="DS219" s="401"/>
      <c r="DT219" s="401"/>
      <c r="DU219" s="401"/>
      <c r="DV219" s="401"/>
      <c r="DW219" s="401"/>
      <c r="DX219" s="401"/>
      <c r="DY219" s="401"/>
      <c r="DZ219" s="401"/>
      <c r="EA219" s="401"/>
      <c r="EB219" s="401"/>
      <c r="EC219" s="401"/>
      <c r="ED219" s="401"/>
      <c r="EE219" s="401"/>
      <c r="EF219" s="401"/>
      <c r="EG219" s="401"/>
      <c r="EH219" s="401"/>
      <c r="EI219" s="401"/>
      <c r="EJ219" s="401"/>
      <c r="EK219" s="401"/>
      <c r="EL219" s="401"/>
      <c r="EM219" s="401"/>
      <c r="EN219" s="401"/>
      <c r="EO219" s="401"/>
      <c r="EP219" s="401"/>
      <c r="EQ219" s="401"/>
      <c r="ER219" s="401"/>
      <c r="ES219" s="401"/>
    </row>
    <row r="220" spans="1:162" x14ac:dyDescent="0.35">
      <c r="D220" s="249" t="s">
        <v>171</v>
      </c>
      <c r="E220" s="52" t="s">
        <v>172</v>
      </c>
      <c r="F220" s="52" t="s">
        <v>173</v>
      </c>
      <c r="G220" s="249"/>
      <c r="H220" s="88"/>
      <c r="I220" s="88"/>
      <c r="J220" s="88"/>
      <c r="K220" s="88"/>
      <c r="L220" s="88"/>
      <c r="BK220" s="402"/>
      <c r="BL220" s="402"/>
      <c r="BM220" s="402"/>
      <c r="BN220" s="402"/>
      <c r="BO220" s="402"/>
      <c r="BP220" s="402"/>
      <c r="BQ220" s="402"/>
      <c r="BR220" s="402"/>
      <c r="BS220" s="402"/>
      <c r="BT220" s="402"/>
      <c r="BU220" s="698"/>
      <c r="BV220" s="100"/>
      <c r="BW220" s="100"/>
      <c r="BX220" s="100"/>
      <c r="BY220" s="100" t="s">
        <v>171</v>
      </c>
      <c r="BZ220" s="51" t="s">
        <v>172</v>
      </c>
      <c r="CA220" s="51" t="s">
        <v>173</v>
      </c>
      <c r="CB220" s="100"/>
      <c r="EX220" s="51" t="s">
        <v>174</v>
      </c>
      <c r="EY220" s="51" t="s">
        <v>172</v>
      </c>
      <c r="EZ220" s="51" t="s">
        <v>173</v>
      </c>
      <c r="FA220" s="51" t="s">
        <v>21</v>
      </c>
      <c r="FB220" s="51" t="s">
        <v>172</v>
      </c>
      <c r="FC220" s="51" t="s">
        <v>173</v>
      </c>
      <c r="FD220" s="51" t="s">
        <v>22</v>
      </c>
      <c r="FE220" s="51" t="s">
        <v>172</v>
      </c>
      <c r="FF220" s="51" t="s">
        <v>173</v>
      </c>
    </row>
    <row r="221" spans="1:162" x14ac:dyDescent="0.35">
      <c r="A221" s="200" t="s">
        <v>41</v>
      </c>
      <c r="B221" s="7" t="s">
        <v>149</v>
      </c>
      <c r="C221" s="7" t="s">
        <v>150</v>
      </c>
      <c r="D221" s="243">
        <f ca="1">VLOOKUP($A221,$A$79:$FD$94,COLUMN($BE$76),0)</f>
        <v>8.968990256943778</v>
      </c>
      <c r="E221" s="243">
        <f ca="1">VLOOKUP($A221,$A$79:$FD$94,COLUMN($BJ$76),0)</f>
        <v>5.7576483459058991</v>
      </c>
      <c r="F221" s="243">
        <f ca="1">VLOOKUP($A221,$A$79:$FD$94,COLUMN($BK$76),0)</f>
        <v>14.019793306726912</v>
      </c>
      <c r="G221" s="43"/>
      <c r="H221" s="43"/>
      <c r="I221" s="43"/>
      <c r="J221" s="43"/>
      <c r="K221" s="43"/>
      <c r="L221" s="43"/>
      <c r="BK221" s="43"/>
      <c r="BL221" s="43"/>
      <c r="BM221" s="43"/>
      <c r="BN221" s="43"/>
      <c r="BO221" s="43"/>
      <c r="BP221" s="43"/>
      <c r="BQ221" s="43"/>
      <c r="BR221" s="43"/>
      <c r="BS221" s="43"/>
      <c r="BT221" s="43"/>
      <c r="BU221" s="700"/>
      <c r="BV221" s="43"/>
      <c r="BW221" s="43"/>
      <c r="BX221" s="200" t="s">
        <v>41</v>
      </c>
      <c r="BY221" s="243">
        <f ca="1">VLOOKUP($A221,$A$79:$FD$94,COLUMN($EO$76),0)</f>
        <v>6.2292249888062914</v>
      </c>
      <c r="BZ221" s="243">
        <f ca="1">VLOOKUP($A221,$A$79:$FD$94,COLUMN($ET$76),0)</f>
        <v>3.6578979083462482</v>
      </c>
      <c r="CA221" s="243">
        <f ca="1">VLOOKUP($A221,$A$79:$FD$94,COLUMN($EU$76),0)</f>
        <v>2.5499360156365816</v>
      </c>
      <c r="CB221" s="43"/>
      <c r="EW221" s="7" t="s">
        <v>149</v>
      </c>
      <c r="EX221" s="26">
        <f ca="1">VLOOKUP($A221,$A$79:$FD$94,COLUMN($EX$76),0)</f>
        <v>8.4145352887355376</v>
      </c>
      <c r="EY221" s="26">
        <f ca="1">VLOOKUP($A221,$A$79:$FD$94,COLUMN($FC$76),0)</f>
        <v>5.3351542520680528</v>
      </c>
      <c r="EZ221" s="26">
        <f ca="1">VLOOKUP($A221,$A$79:$FD$94,COLUMN($FD$76),0)</f>
        <v>11.711925249663604</v>
      </c>
      <c r="FA221" s="26"/>
      <c r="FB221" s="26"/>
      <c r="FC221" s="26"/>
      <c r="FD221" s="109"/>
      <c r="FE221" s="109"/>
      <c r="FF221" s="109"/>
    </row>
    <row r="222" spans="1:162" x14ac:dyDescent="0.35">
      <c r="A222" s="7" t="s">
        <v>151</v>
      </c>
      <c r="B222" s="7" t="s">
        <v>152</v>
      </c>
      <c r="C222" s="7" t="s">
        <v>150</v>
      </c>
      <c r="D222" s="43">
        <f ca="1">VLOOKUP($A222,$A$79:$FD$94,COLUMN($BE$76),0)</f>
        <v>0.30143035209488078</v>
      </c>
      <c r="E222" s="43">
        <f ca="1">VLOOKUP($A222,$A$79:$FD$94,COLUMN($BJ$76),0)</f>
        <v>0.24114428167590463</v>
      </c>
      <c r="F222" s="43">
        <f ca="1">VLOOKUP($A222,$A$79:$FD$94,COLUMN($BK$76),0)</f>
        <v>0.46681094736192497</v>
      </c>
      <c r="G222" s="43"/>
      <c r="H222" s="43"/>
      <c r="I222" s="43"/>
      <c r="J222" s="43"/>
      <c r="K222" s="43"/>
      <c r="L222" s="43"/>
      <c r="BK222" s="43"/>
      <c r="BL222" s="43"/>
      <c r="BM222" s="43"/>
      <c r="BN222" s="43"/>
      <c r="BO222" s="43"/>
      <c r="BP222" s="43"/>
      <c r="BQ222" s="43"/>
      <c r="BR222" s="43"/>
      <c r="BS222" s="43"/>
      <c r="BT222" s="43"/>
      <c r="BU222" s="700"/>
      <c r="BV222" s="43"/>
      <c r="BW222" s="43"/>
      <c r="BX222" s="7" t="s">
        <v>151</v>
      </c>
      <c r="BY222" s="243">
        <f ca="1">VLOOKUP($A222,$A$79:$FD$94,COLUMN($EO$76),0)</f>
        <v>1.3357107560905652</v>
      </c>
      <c r="BZ222" s="243">
        <f ca="1">VLOOKUP($A222,$A$79:$FD$94,COLUMN($ET$76),0)</f>
        <v>1.0685686048724521</v>
      </c>
      <c r="CA222" s="243">
        <f ca="1">VLOOKUP($A222,$A$79:$FD$94,COLUMN($EU$76),0)</f>
        <v>1.2498313951275477</v>
      </c>
      <c r="CB222" s="43"/>
      <c r="EW222" s="7" t="s">
        <v>152</v>
      </c>
      <c r="EX222" s="26">
        <f ca="1">VLOOKUP($A222,$A$79:$FD$94,COLUMN($EX$76),0)</f>
        <v>0.51074095077462756</v>
      </c>
      <c r="EY222" s="109">
        <f ca="1">VLOOKUP($A222,$A$79:$FD$94,COLUMN($FC$76),0)</f>
        <v>0.40763163340833525</v>
      </c>
      <c r="EZ222" s="26">
        <f ca="1">VLOOKUP($A222,$A$79:$FD$94,COLUMN($FD$76),0)</f>
        <v>0.62436372535764006</v>
      </c>
      <c r="FA222" s="26"/>
      <c r="FB222" s="258"/>
      <c r="FC222" s="26"/>
      <c r="FD222" s="109"/>
      <c r="FE222" s="109"/>
      <c r="FF222" s="109"/>
    </row>
    <row r="223" spans="1:162" ht="43.5" x14ac:dyDescent="0.45">
      <c r="A223" s="478" t="s">
        <v>192</v>
      </c>
      <c r="D223" s="249" t="s">
        <v>171</v>
      </c>
      <c r="E223" s="249" t="s">
        <v>176</v>
      </c>
      <c r="F223" s="249" t="s">
        <v>56</v>
      </c>
      <c r="G223" s="584" t="s">
        <v>62</v>
      </c>
      <c r="H223" s="249" t="s">
        <v>60</v>
      </c>
      <c r="I223" s="249" t="s">
        <v>71</v>
      </c>
      <c r="J223" s="249" t="s">
        <v>72</v>
      </c>
      <c r="K223" s="249" t="s">
        <v>177</v>
      </c>
      <c r="L223" s="249" t="s">
        <v>188</v>
      </c>
      <c r="M223" s="249" t="s">
        <v>189</v>
      </c>
      <c r="N223" s="829" t="s">
        <v>74</v>
      </c>
      <c r="O223" s="829" t="s">
        <v>75</v>
      </c>
      <c r="P223" s="829" t="s">
        <v>178</v>
      </c>
      <c r="Q223" s="829" t="s">
        <v>179</v>
      </c>
      <c r="R223" s="706" t="s">
        <v>172</v>
      </c>
      <c r="S223" s="706" t="s">
        <v>173</v>
      </c>
      <c r="BK223" s="402"/>
      <c r="BL223" s="402"/>
      <c r="BM223" s="402"/>
      <c r="BN223" s="402"/>
      <c r="BO223" s="402"/>
      <c r="BP223" s="402"/>
      <c r="BQ223" s="402"/>
      <c r="BR223" s="402"/>
      <c r="BS223" s="402"/>
      <c r="BT223" s="402"/>
      <c r="BU223" s="698"/>
      <c r="BV223" s="402"/>
      <c r="BW223" s="402"/>
      <c r="BX223" s="402"/>
      <c r="BY223" s="402" t="s">
        <v>171</v>
      </c>
      <c r="BZ223" s="249" t="s">
        <v>176</v>
      </c>
      <c r="CA223" s="249" t="s">
        <v>56</v>
      </c>
      <c r="CB223" s="584" t="s">
        <v>62</v>
      </c>
      <c r="CC223" s="249" t="s">
        <v>60</v>
      </c>
      <c r="CD223" s="694" t="s">
        <v>67</v>
      </c>
      <c r="CE223" s="249" t="s">
        <v>71</v>
      </c>
      <c r="CF223" s="249" t="s">
        <v>72</v>
      </c>
      <c r="CG223" s="249" t="s">
        <v>177</v>
      </c>
      <c r="CH223" s="249" t="s">
        <v>188</v>
      </c>
      <c r="CI223" s="249" t="s">
        <v>189</v>
      </c>
      <c r="CJ223" s="829" t="s">
        <v>74</v>
      </c>
      <c r="CK223" s="829" t="s">
        <v>75</v>
      </c>
      <c r="CL223" s="829" t="s">
        <v>178</v>
      </c>
      <c r="CM223" s="829" t="s">
        <v>179</v>
      </c>
      <c r="CN223" s="52" t="s">
        <v>172</v>
      </c>
      <c r="CO223" s="52" t="s">
        <v>173</v>
      </c>
      <c r="CP223" s="52"/>
    </row>
    <row r="224" spans="1:162" x14ac:dyDescent="0.35">
      <c r="A224" s="200" t="s">
        <v>41</v>
      </c>
      <c r="B224" s="7" t="s">
        <v>149</v>
      </c>
      <c r="C224" s="7" t="s">
        <v>150</v>
      </c>
      <c r="D224" s="243">
        <f ca="1">VLOOKUP($A224,$A$31:$FD$46,COLUMN($BE$28),0)</f>
        <v>8.968990256943778</v>
      </c>
      <c r="E224" s="243">
        <f ca="1">VLOOKUP($A224,$A$31:$FD$46,COLUMN($D$28),0)</f>
        <v>1.7719298245614032</v>
      </c>
      <c r="F224" s="243">
        <f ca="1">VLOOKUP($A224,$A$31:$FD$46,COLUMN($I$28),0)</f>
        <v>26.493731890352418</v>
      </c>
      <c r="G224" s="243">
        <f ca="1">VLOOKUP($A224,$A$31:$FD$46,COLUMN($G$28),0)</f>
        <v>1.6140350877192979</v>
      </c>
      <c r="H224" s="243">
        <f ca="1">VLOOKUP($A224,$A$31:$FD$46,COLUMN($L$28),0)</f>
        <v>23.049146180227552</v>
      </c>
      <c r="I224" s="43"/>
      <c r="J224" s="43">
        <f ca="1">VLOOKUP($A224,$A$31:$FD$46,COLUMN($T$28),0)</f>
        <v>3.501339540702856</v>
      </c>
      <c r="K224" s="43">
        <f ca="1">VLOOKUP($A224,$A$31:$FD$46,COLUMN($H$28),0)</f>
        <v>3.0392217341706713</v>
      </c>
      <c r="L224" s="243" t="str">
        <f>VLOOKUP($A224,$A$31:$FD$46,COLUMN($Q$28),0)</f>
        <v>x</v>
      </c>
      <c r="M224" s="243">
        <f ca="1">VLOOKUP($A224,$A$31:$FD$46,COLUMN($R$28),0)</f>
        <v>5.561127447643095</v>
      </c>
      <c r="N224" s="243" t="str">
        <f t="shared" ref="N224:N225" si="249">IF(VLOOKUP($A224,$A$31:$FD$46,COLUMN($U$28),0)="","",VLOOKUP($A224,$A$31:$FD$46,COLUMN($U$28),0))</f>
        <v>x</v>
      </c>
      <c r="O224" s="243" t="str">
        <f t="shared" ref="O224:O225" si="250">IF(VLOOKUP($A224,$A$31:$FD$46,COLUMN($V$28),0)="","",VLOOKUP($A224,$A$31:$FD$46,COLUMN($V$28),0))</f>
        <v>x</v>
      </c>
      <c r="P224" s="243" t="str">
        <f t="shared" ref="P224:P225" si="251">IF(VLOOKUP($A224,$A$31:$FD$46,COLUMN($W$28),0)="","",VLOOKUP($A224,$A$31:$FD$46,COLUMN($W$28),0))</f>
        <v>x</v>
      </c>
      <c r="Q224" s="243">
        <f t="shared" ref="Q224:Q225" ca="1" si="252">IF(VLOOKUP($A224,$A$31:$FD$46,COLUMN($Y$28),0)="","",VLOOKUP($A224,$A$31:$FD$46,COLUMN($Y$28),0))</f>
        <v>3.7656683123843675</v>
      </c>
      <c r="R224" s="243">
        <f ca="1">VLOOKUP($A224,$A$31:$FD$46,COLUMN($BJ$28),0)</f>
        <v>5.7576483459058991</v>
      </c>
      <c r="S224" s="243">
        <f ca="1">VLOOKUP($A224,$A$31:$FD$46,COLUMN($BK$28),0)</f>
        <v>14.019793306726912</v>
      </c>
      <c r="BK224" s="43"/>
      <c r="BL224" s="43"/>
      <c r="BM224" s="43"/>
      <c r="BN224" s="43"/>
      <c r="BO224" s="43"/>
      <c r="BP224" s="43"/>
      <c r="BQ224" s="43"/>
      <c r="BR224" s="43"/>
      <c r="BS224" s="43"/>
      <c r="BT224" s="43"/>
      <c r="BU224" s="700"/>
      <c r="BV224" s="43"/>
      <c r="BW224" s="43"/>
      <c r="BX224" s="200" t="s">
        <v>41</v>
      </c>
      <c r="BY224" s="243">
        <f ca="1">VLOOKUP($A224,$A$31:$FD$46,COLUMN($EO$28),0)</f>
        <v>5.9530828882440447</v>
      </c>
      <c r="BZ224" s="243">
        <f ca="1">VLOOKUP($A224,$A$31:$FD$46,COLUMN($BV$28),0)</f>
        <v>8.64</v>
      </c>
      <c r="CA224" s="243">
        <f ca="1">VLOOKUP($A224,$A$31:$FD$46,COLUMN($CA$28),0)</f>
        <v>9.4166450083520168</v>
      </c>
      <c r="CB224" s="243">
        <f ca="1">VLOOKUP($A224,$A$31:$FD$46,COLUMN($BY$28),0)</f>
        <v>3.96</v>
      </c>
      <c r="CC224" s="243">
        <f ca="1">VLOOKUP($A224,$A$31:$FD$46,COLUMN($CD$28),0)</f>
        <v>9.504174351220037</v>
      </c>
      <c r="CE224" s="702"/>
      <c r="CF224" s="243">
        <f ca="1">VLOOKUP($A224,$A$31:$FD$46,COLUMN($CL$28),0)</f>
        <v>7.292378240383063</v>
      </c>
      <c r="CG224" s="243">
        <f ca="1">VLOOKUP($A224,$A$31:$FD$46,COLUMN($BZ$28),0)</f>
        <v>2.169519848073016</v>
      </c>
      <c r="CH224" s="243" t="str">
        <f>VLOOKUP($A224,$A$31:$FD$46,COLUMN($CI$28),0)</f>
        <v>x</v>
      </c>
      <c r="CI224" s="243">
        <f ca="1">VLOOKUP($A224,$A$31:$FD$46,COLUMN($CJ$28),0)</f>
        <v>1.6568526033734807</v>
      </c>
      <c r="CJ224" s="243" t="str">
        <f>IF(VLOOKUP($A224,$A$31:$FD$46,COLUMN($CM$28),0)="","",VLOOKUP($A224,$A$31:$FD$46,COLUMN($CM$28),0))</f>
        <v>x</v>
      </c>
      <c r="CK224" s="243" t="str">
        <f>IF(VLOOKUP($A224,$A$31:$FD$46,COLUMN($CN$28),0)="","",VLOOKUP($A224,$A$31:$FD$46,COLUMN($CN$28),0))</f>
        <v>x</v>
      </c>
      <c r="CL224" s="43" t="str">
        <f>IF(VLOOKUP($A224,$A$31:$FD$46,COLUMN($CO$28),0)="","",VLOOKUP($A224,$A$31:$FD$46,COLUMN($CO$28),0))</f>
        <v>x</v>
      </c>
      <c r="CM224" s="43">
        <f ca="1">IF(VLOOKUP($A224,$A$31:$FD$46,COLUMN($CQ$28),0)="","",VLOOKUP($A224,$A$31:$FD$46,COLUMN($CQ$28),0))</f>
        <v>2.4442584447778373</v>
      </c>
      <c r="CN224" s="243">
        <f ca="1">VLOOKUP($A224,$A$31:$FD$46,COLUMN($ET$28),0)</f>
        <v>3.4369842278964509</v>
      </c>
      <c r="CO224" s="243">
        <f ca="1">VLOOKUP($A224,$A$31:$FD$46,COLUMN($EU$28),0)</f>
        <v>2.7708496960863771</v>
      </c>
      <c r="CP224" s="243"/>
    </row>
    <row r="225" spans="1:94" x14ac:dyDescent="0.35">
      <c r="A225" s="7" t="s">
        <v>151</v>
      </c>
      <c r="B225" s="7" t="s">
        <v>152</v>
      </c>
      <c r="C225" s="7" t="s">
        <v>150</v>
      </c>
      <c r="D225" s="43">
        <f ca="1">VLOOKUP($A225,$A$31:$FD$46,COLUMN($BE$28),0)</f>
        <v>0.30143035209488078</v>
      </c>
      <c r="E225" s="43">
        <f ca="1">VLOOKUP($A225,$A$31:$FD$46,COLUMN($D$28),0)</f>
        <v>0.44199999999999995</v>
      </c>
      <c r="F225" s="43"/>
      <c r="G225" s="43">
        <f ca="1">VLOOKUP($A225,$A$31:$FD$46,COLUMN($G$28),0)</f>
        <v>0.40200000000000002</v>
      </c>
      <c r="H225" s="43"/>
      <c r="I225" s="43"/>
      <c r="J225" s="43"/>
      <c r="K225" s="43">
        <f ca="1">VLOOKUP($A225,$A$31:$FD$46,COLUMN($H$28),0)</f>
        <v>0.23990174605107395</v>
      </c>
      <c r="L225" s="43">
        <f ca="1">VLOOKUP($A225,$A$31:$FD$46,COLUMN($Q$28),0)</f>
        <v>0.42288809069532801</v>
      </c>
      <c r="M225" s="243">
        <f ca="1">VLOOKUP($A225,$A$31:$FD$46,COLUMN($R$28),0)</f>
        <v>0.88494403629728691</v>
      </c>
      <c r="N225" s="243" t="str">
        <f t="shared" si="249"/>
        <v>x</v>
      </c>
      <c r="O225" s="243" t="str">
        <f t="shared" si="250"/>
        <v>x</v>
      </c>
      <c r="P225" s="243">
        <f t="shared" si="251"/>
        <v>0</v>
      </c>
      <c r="Q225" s="243" t="str">
        <f t="shared" si="252"/>
        <v>x</v>
      </c>
      <c r="R225" s="43">
        <f ca="1">VLOOKUP($A225,$A$31:$FD$46,COLUMN($BJ$28),0)</f>
        <v>0.24114428167590463</v>
      </c>
      <c r="S225" s="43">
        <f ca="1">VLOOKUP($A225,$A$31:$FD$46,COLUMN($BK$28),0)</f>
        <v>0.46681094736192497</v>
      </c>
      <c r="BK225" s="43"/>
      <c r="BL225" s="43"/>
      <c r="BM225" s="43"/>
      <c r="BN225" s="43"/>
      <c r="BO225" s="43"/>
      <c r="BP225" s="43"/>
      <c r="BQ225" s="43"/>
      <c r="BR225" s="43"/>
      <c r="BS225" s="43"/>
      <c r="BT225" s="43"/>
      <c r="BU225" s="700"/>
      <c r="BV225" s="43"/>
      <c r="BW225" s="43"/>
      <c r="BX225" s="7" t="s">
        <v>151</v>
      </c>
      <c r="BY225" s="243">
        <f ca="1">VLOOKUP($A225,$A$31:$FD$46,COLUMN($EO$28),0)</f>
        <v>1.1730364943256839</v>
      </c>
      <c r="BZ225" s="243">
        <f ca="1">VLOOKUP($A225,$A$31:$FD$46,COLUMN($BV$28),0)</f>
        <v>2.8979999999999997</v>
      </c>
      <c r="CA225" s="701"/>
      <c r="CB225" s="243">
        <f ca="1">VLOOKUP($A225,$A$31:$FD$46,COLUMN($BY$28),0)</f>
        <v>3.8879999999999999</v>
      </c>
      <c r="CC225" s="243"/>
      <c r="CE225" s="702"/>
      <c r="CF225" s="702"/>
      <c r="CG225" s="701">
        <f ca="1">VLOOKUP($A225,$A$31:$FD$46,COLUMN($BZ$28),0)</f>
        <v>0.33535586699323794</v>
      </c>
      <c r="CH225" s="43">
        <f ca="1">VLOOKUP($A225,$A$31:$FD$46,COLUMN($CI$28),0)</f>
        <v>0.32879665437162059</v>
      </c>
      <c r="CI225" s="243">
        <f ca="1">VLOOKUP($A225,$A$31:$FD$46,COLUMN($CJ$28),0)</f>
        <v>0.647248916217667</v>
      </c>
      <c r="CJ225" s="243" t="str">
        <f>IF(VLOOKUP($A225,$A$31:$FD$46,COLUMN($CM$28),0)="","",VLOOKUP($A225,$A$31:$FD$46,COLUMN($CM$28),0))</f>
        <v>x</v>
      </c>
      <c r="CK225" s="243" t="str">
        <f>IF(VLOOKUP($A225,$A$31:$FD$46,COLUMN($CN$28),0)="","",VLOOKUP($A225,$A$31:$FD$46,COLUMN($CN$28),0))</f>
        <v>x</v>
      </c>
      <c r="CL225" s="43">
        <f>IF(VLOOKUP($A225,$A$31:$FD$46,COLUMN($CO$28),0)="","",VLOOKUP($A225,$A$31:$FD$46,COLUMN($CO$28),0))</f>
        <v>0</v>
      </c>
      <c r="CM225" s="43" t="str">
        <f>IF(VLOOKUP($A225,$A$31:$FD$46,COLUMN($CQ$28),0)="","",VLOOKUP($A225,$A$31:$FD$46,COLUMN($CQ$28),0))</f>
        <v>x</v>
      </c>
      <c r="CN225" s="243">
        <f ca="1">VLOOKUP($A225,$A$31:$FD$46,COLUMN($ET$28),0)</f>
        <v>0.93842919546054715</v>
      </c>
      <c r="CO225" s="243">
        <f ca="1">VLOOKUP($A225,$A$31:$FD$46,COLUMN($EU$28),0)</f>
        <v>1.3799708045394528</v>
      </c>
      <c r="CP225" s="243"/>
    </row>
    <row r="226" spans="1:94" x14ac:dyDescent="0.35"/>
    <row r="227" spans="1:94" x14ac:dyDescent="0.35"/>
    <row r="228" spans="1:94" ht="19.5" x14ac:dyDescent="0.45">
      <c r="A228" s="478" t="s">
        <v>193</v>
      </c>
      <c r="D228" s="249"/>
      <c r="E228" s="249"/>
      <c r="F228" s="249"/>
      <c r="G228" s="584"/>
      <c r="H228" s="249"/>
      <c r="I228" s="249"/>
      <c r="J228" s="249"/>
      <c r="K228" s="249"/>
      <c r="L228" s="249"/>
      <c r="M228" s="249"/>
      <c r="R228" s="706"/>
      <c r="S228" s="706"/>
    </row>
    <row r="229" spans="1:94" x14ac:dyDescent="0.35">
      <c r="A229" s="200"/>
      <c r="D229" s="243"/>
      <c r="E229" s="243"/>
      <c r="F229" s="243"/>
      <c r="G229" s="243"/>
      <c r="H229" s="243"/>
      <c r="I229" s="43"/>
      <c r="J229" s="43"/>
      <c r="K229" s="43"/>
      <c r="L229" s="243"/>
      <c r="M229" s="243"/>
      <c r="N229" s="243"/>
      <c r="O229" s="243"/>
    </row>
    <row r="230" spans="1:94" x14ac:dyDescent="0.35">
      <c r="A230" s="123" t="s">
        <v>194</v>
      </c>
      <c r="D230" s="43"/>
      <c r="E230" s="43"/>
      <c r="F230" s="43"/>
      <c r="G230" s="43"/>
      <c r="H230" s="43"/>
      <c r="I230" s="43"/>
      <c r="J230" s="43"/>
      <c r="K230" s="43"/>
      <c r="L230" s="43"/>
      <c r="M230" s="243"/>
      <c r="N230" s="43"/>
      <c r="O230" s="43"/>
    </row>
    <row r="231" spans="1:94" x14ac:dyDescent="0.35"/>
    <row r="232" spans="1:94" x14ac:dyDescent="0.35"/>
    <row r="233" spans="1:94" x14ac:dyDescent="0.35"/>
    <row r="234" spans="1:94" x14ac:dyDescent="0.35"/>
    <row r="235" spans="1:94" x14ac:dyDescent="0.35"/>
    <row r="236" spans="1:94" x14ac:dyDescent="0.35"/>
    <row r="237" spans="1:94" x14ac:dyDescent="0.35"/>
    <row r="238" spans="1:94" x14ac:dyDescent="0.35"/>
    <row r="239" spans="1:94" x14ac:dyDescent="0.35"/>
    <row r="240" spans="1:94" x14ac:dyDescent="0.35"/>
    <row r="241" spans="1:162" x14ac:dyDescent="0.35"/>
    <row r="242" spans="1:162" x14ac:dyDescent="0.35"/>
    <row r="243" spans="1:162" x14ac:dyDescent="0.35"/>
    <row r="244" spans="1:162" x14ac:dyDescent="0.35"/>
    <row r="245" spans="1:162" x14ac:dyDescent="0.35"/>
    <row r="246" spans="1:162" x14ac:dyDescent="0.35"/>
    <row r="247" spans="1:162" x14ac:dyDescent="0.35"/>
    <row r="248" spans="1:162" x14ac:dyDescent="0.35"/>
    <row r="249" spans="1:162" x14ac:dyDescent="0.35"/>
    <row r="250" spans="1:162" x14ac:dyDescent="0.35"/>
    <row r="251" spans="1:162" ht="19.5" x14ac:dyDescent="0.45">
      <c r="A251" s="478" t="s">
        <v>195</v>
      </c>
    </row>
    <row r="252" spans="1:162" x14ac:dyDescent="0.35">
      <c r="A252" s="200"/>
      <c r="D252" s="249" t="s">
        <v>171</v>
      </c>
      <c r="E252" s="52" t="s">
        <v>172</v>
      </c>
      <c r="F252" s="52" t="s">
        <v>173</v>
      </c>
      <c r="G252" s="249"/>
      <c r="H252" s="88"/>
      <c r="I252" s="88"/>
      <c r="J252" s="88"/>
      <c r="K252" s="88"/>
      <c r="L252" s="88"/>
      <c r="BK252" s="402"/>
      <c r="BL252" s="402"/>
      <c r="BM252" s="402"/>
      <c r="BN252" s="402"/>
      <c r="BO252" s="402"/>
      <c r="BP252" s="402"/>
      <c r="BQ252" s="402"/>
      <c r="BR252" s="402"/>
      <c r="BS252" s="402"/>
      <c r="BT252" s="402"/>
      <c r="BU252" s="698"/>
      <c r="BV252" s="100"/>
      <c r="BW252" s="100"/>
      <c r="BX252" s="100"/>
      <c r="BY252" s="100" t="s">
        <v>171</v>
      </c>
      <c r="BZ252" s="51" t="s">
        <v>172</v>
      </c>
      <c r="CA252" s="51" t="s">
        <v>173</v>
      </c>
      <c r="CB252" s="100"/>
      <c r="EX252" s="51" t="s">
        <v>174</v>
      </c>
      <c r="EY252" s="51" t="s">
        <v>172</v>
      </c>
      <c r="EZ252" s="51" t="s">
        <v>173</v>
      </c>
      <c r="FA252" s="51" t="s">
        <v>21</v>
      </c>
      <c r="FB252" s="51" t="s">
        <v>172</v>
      </c>
      <c r="FC252" s="51" t="s">
        <v>173</v>
      </c>
      <c r="FD252" s="51" t="s">
        <v>22</v>
      </c>
      <c r="FE252" s="51" t="s">
        <v>172</v>
      </c>
      <c r="FF252" s="51" t="s">
        <v>173</v>
      </c>
    </row>
    <row r="253" spans="1:162" x14ac:dyDescent="0.35">
      <c r="A253" s="200" t="s">
        <v>153</v>
      </c>
      <c r="B253" s="7" t="s">
        <v>154</v>
      </c>
      <c r="C253" s="7" t="s">
        <v>155</v>
      </c>
      <c r="D253" s="243">
        <f ca="1">VLOOKUP($A253,$A$79:$FD$94,COLUMN($BE$76),0)</f>
        <v>14135.6900472614</v>
      </c>
      <c r="E253" s="243">
        <f ca="1">VLOOKUP($A253,$A$79:$FD$94,COLUMN($BJ$76),0)</f>
        <v>11308.552037809121</v>
      </c>
      <c r="F253" s="243">
        <f ca="1">VLOOKUP($A253,$A$79:$FD$94,COLUMN($BK$76),0)</f>
        <v>26077.881174818307</v>
      </c>
      <c r="G253" s="243"/>
      <c r="H253" s="243"/>
      <c r="I253" s="243"/>
      <c r="J253" s="243"/>
      <c r="K253" s="243"/>
      <c r="L253" s="243"/>
      <c r="BK253" s="243"/>
      <c r="BL253" s="243"/>
      <c r="BM253" s="243"/>
      <c r="BN253" s="243"/>
      <c r="BO253" s="243"/>
      <c r="BP253" s="243"/>
      <c r="BQ253" s="243"/>
      <c r="BR253" s="243"/>
      <c r="BS253" s="243"/>
      <c r="BT253" s="243"/>
      <c r="BU253" s="699"/>
      <c r="BV253" s="243"/>
      <c r="BW253" s="243"/>
      <c r="BX253" s="200" t="s">
        <v>153</v>
      </c>
      <c r="BY253" s="243">
        <f ca="1">VLOOKUP($A253,$A$79:$FD$94,COLUMN($EO$76),0)</f>
        <v>38708.619554178447</v>
      </c>
      <c r="BZ253" s="243">
        <f ca="1">VLOOKUP($A253,$A$79:$FD$94,COLUMN($ET$76),0)</f>
        <v>30966.895643342759</v>
      </c>
      <c r="CA253" s="243">
        <f ca="1">VLOOKUP($A253,$A$79:$FD$94,COLUMN($EU$76),0)</f>
        <v>104527.49237430593</v>
      </c>
      <c r="CB253" s="243">
        <f ca="1">BY253+CA253</f>
        <v>143236.11192848437</v>
      </c>
      <c r="EW253" s="200" t="s">
        <v>153</v>
      </c>
      <c r="EX253" s="26">
        <f ca="1">VLOOKUP($A253,$A$79:$FD$94,COLUMN($EX$76),0)</f>
        <v>19108.591560756071</v>
      </c>
      <c r="EY253" s="26">
        <f ca="1">VLOOKUP($A253,$A$79:$FD$94,COLUMN($FC$76),0)</f>
        <v>15264.038327706372</v>
      </c>
      <c r="EZ253" s="26">
        <f ca="1">VLOOKUP($A253,$A$79:$FD$94,COLUMN($FD$76),0)</f>
        <v>41862.851046847347</v>
      </c>
      <c r="FA253" s="26"/>
      <c r="FB253" s="26"/>
      <c r="FC253" s="26"/>
      <c r="FD253" s="26"/>
      <c r="FE253" s="26"/>
      <c r="FF253" s="26"/>
    </row>
    <row r="254" spans="1:162" x14ac:dyDescent="0.35">
      <c r="A254" s="200" t="s">
        <v>156</v>
      </c>
      <c r="B254" s="7" t="s">
        <v>157</v>
      </c>
      <c r="C254" s="7" t="s">
        <v>155</v>
      </c>
      <c r="D254" s="243">
        <f ca="1">VLOOKUP($A254,$A$79:$FD$94,COLUMN($BE$76),0)</f>
        <v>14803.018592547865</v>
      </c>
      <c r="E254" s="243">
        <f ca="1">VLOOKUP($A254,$A$79:$FD$94,COLUMN($BJ$76),0)</f>
        <v>8134.0839479954866</v>
      </c>
      <c r="F254" s="243">
        <f ca="1">VLOOKUP($A254,$A$79:$FD$94,COLUMN($BK$76),0)</f>
        <v>12904.774165313913</v>
      </c>
      <c r="G254" s="243"/>
      <c r="H254" s="243"/>
      <c r="I254" s="243"/>
      <c r="J254" s="243"/>
      <c r="K254" s="243"/>
      <c r="L254" s="243"/>
      <c r="BK254" s="243"/>
      <c r="BL254" s="243"/>
      <c r="BM254" s="243"/>
      <c r="BN254" s="243"/>
      <c r="BO254" s="243"/>
      <c r="BP254" s="243"/>
      <c r="BQ254" s="243"/>
      <c r="BR254" s="243"/>
      <c r="BS254" s="243"/>
      <c r="BT254" s="243"/>
      <c r="BU254" s="699"/>
      <c r="BV254" s="243"/>
      <c r="BW254" s="243"/>
      <c r="BX254" s="200" t="s">
        <v>156</v>
      </c>
      <c r="BY254" s="243">
        <f ca="1">VLOOKUP($A254,$A$79:$FD$94,COLUMN($EO$76),0)</f>
        <v>22218.536072019229</v>
      </c>
      <c r="BZ254" s="243">
        <f ca="1">VLOOKUP($A254,$A$79:$FD$94,COLUMN($ET$76),0)</f>
        <v>11960.640883400323</v>
      </c>
      <c r="CA254" s="243">
        <f ca="1">VLOOKUP($A254,$A$79:$FD$94,COLUMN($EU$76),0)</f>
        <v>10501.304246159776</v>
      </c>
      <c r="CB254" s="243"/>
      <c r="EW254" s="200" t="s">
        <v>156</v>
      </c>
      <c r="EX254" s="26">
        <f ca="1">VLOOKUP($A254,$A$79:$FD$94,COLUMN($EX$76),0)</f>
        <v>16303.720333731346</v>
      </c>
      <c r="EY254" s="26">
        <f ca="1">VLOOKUP($A254,$A$79:$FD$94,COLUMN($FC$76),0)</f>
        <v>8904.0314979632494</v>
      </c>
      <c r="EZ254" s="26">
        <f ca="1">VLOOKUP($A254,$A$79:$FD$94,COLUMN($FD$76),0)</f>
        <v>12421.168196054197</v>
      </c>
      <c r="FA254" s="26"/>
      <c r="FB254" s="26"/>
      <c r="FC254" s="26"/>
      <c r="FD254" s="26"/>
      <c r="FE254" s="26"/>
      <c r="FF254" s="26"/>
    </row>
    <row r="255" spans="1:162" ht="43.5" x14ac:dyDescent="0.45">
      <c r="A255" s="478" t="s">
        <v>196</v>
      </c>
      <c r="D255" s="249" t="s">
        <v>171</v>
      </c>
      <c r="E255" s="249" t="s">
        <v>176</v>
      </c>
      <c r="F255" s="249" t="s">
        <v>56</v>
      </c>
      <c r="G255" s="584" t="s">
        <v>62</v>
      </c>
      <c r="H255" s="249" t="s">
        <v>60</v>
      </c>
      <c r="I255" s="249" t="s">
        <v>67</v>
      </c>
      <c r="J255" s="249" t="s">
        <v>71</v>
      </c>
      <c r="K255" s="249" t="s">
        <v>72</v>
      </c>
      <c r="L255" s="249" t="s">
        <v>177</v>
      </c>
      <c r="M255" s="695" t="s">
        <v>73</v>
      </c>
      <c r="N255" s="249" t="s">
        <v>63</v>
      </c>
      <c r="O255" s="249" t="s">
        <v>65</v>
      </c>
      <c r="P255" s="249" t="s">
        <v>66</v>
      </c>
      <c r="Q255" s="829" t="s">
        <v>74</v>
      </c>
      <c r="R255" s="829" t="s">
        <v>75</v>
      </c>
      <c r="S255" s="829" t="s">
        <v>178</v>
      </c>
      <c r="T255" s="829" t="s">
        <v>179</v>
      </c>
      <c r="U255" s="706" t="s">
        <v>172</v>
      </c>
      <c r="V255" s="706" t="s">
        <v>173</v>
      </c>
      <c r="BO255" s="402"/>
      <c r="BP255" s="402"/>
      <c r="BQ255" s="402"/>
      <c r="BR255" s="402"/>
      <c r="BS255" s="402"/>
      <c r="BT255" s="402"/>
      <c r="BU255" s="402"/>
      <c r="BV255" s="402"/>
      <c r="BW255" s="402"/>
      <c r="BX255" s="402"/>
      <c r="BY255" s="698"/>
      <c r="BZ255" s="402"/>
      <c r="CA255" s="402"/>
      <c r="CB255" s="402"/>
      <c r="CC255" s="402" t="s">
        <v>171</v>
      </c>
      <c r="CD255" s="249" t="s">
        <v>176</v>
      </c>
      <c r="CE255" s="249" t="s">
        <v>56</v>
      </c>
      <c r="CF255" s="584" t="s">
        <v>62</v>
      </c>
      <c r="CG255" s="249" t="s">
        <v>60</v>
      </c>
      <c r="CH255" s="694" t="s">
        <v>67</v>
      </c>
      <c r="CI255" s="249" t="s">
        <v>71</v>
      </c>
      <c r="CJ255" s="249" t="s">
        <v>72</v>
      </c>
      <c r="CK255" s="249" t="s">
        <v>177</v>
      </c>
      <c r="CL255" s="695" t="s">
        <v>73</v>
      </c>
      <c r="CM255" s="249" t="s">
        <v>63</v>
      </c>
      <c r="CN255" s="829" t="s">
        <v>74</v>
      </c>
      <c r="CO255" s="829" t="s">
        <v>75</v>
      </c>
      <c r="CP255" s="829"/>
      <c r="CQ255" s="829" t="s">
        <v>178</v>
      </c>
      <c r="CR255" s="829"/>
      <c r="CS255" s="7" t="s">
        <v>179</v>
      </c>
      <c r="CT255" s="52" t="s">
        <v>172</v>
      </c>
      <c r="CU255" s="52" t="s">
        <v>173</v>
      </c>
      <c r="EV255" s="7"/>
      <c r="EZ255" s="684"/>
    </row>
    <row r="256" spans="1:162" x14ac:dyDescent="0.35">
      <c r="A256" s="200" t="s">
        <v>153</v>
      </c>
      <c r="B256" s="7" t="s">
        <v>154</v>
      </c>
      <c r="C256" s="7" t="s">
        <v>155</v>
      </c>
      <c r="D256" s="243">
        <f ca="1">VLOOKUP($A256,$A$31:$FD$46,COLUMN($BE$28),0)</f>
        <v>5684.7330277583233</v>
      </c>
      <c r="E256" s="243">
        <f ca="1">VLOOKUP($A256,$A$31:$FD$46,COLUMN($D$28),0)</f>
        <v>10249.302999999998</v>
      </c>
      <c r="F256" s="243">
        <f ca="1">VLOOKUP($A256,$A$31:$FD$46,COLUMN($I$28),0)</f>
        <v>4792.0052108349018</v>
      </c>
      <c r="G256" s="243">
        <f ca="1">VLOOKUP($A256,$A$31:$FD$46,COLUMN($G$28),0)</f>
        <v>10968.552333333333</v>
      </c>
      <c r="H256" s="243">
        <f ca="1">VLOOKUP($A256,$A$31:$FD$46,COLUMN($L$28),0)</f>
        <v>3704.3241532489101</v>
      </c>
      <c r="I256" s="243" t="str">
        <f>VLOOKUP($A256,$A$31:$FD$46,COLUMN($P$28),0)</f>
        <v>x</v>
      </c>
      <c r="J256" s="243"/>
      <c r="K256" s="243">
        <f ca="1">VLOOKUP($A256,$A$31:$FD$46,COLUMN($T$28),0)</f>
        <v>13321.485909785073</v>
      </c>
      <c r="L256" s="243">
        <f ca="1">VLOOKUP($A256,$A$31:$FD$46,COLUMN($H$28),0)</f>
        <v>23078.283602964795</v>
      </c>
      <c r="M256" s="243">
        <f ca="1">VLOOKUP($A256,$A$31:$FD$46,COLUMN($AA$28),0)</f>
        <v>1392.3903047581116</v>
      </c>
      <c r="N256" s="243">
        <f ca="1">VLOOKUP($A256,$A$31:$FD$46,COLUMN($M$28),0)</f>
        <v>6510.2231860489319</v>
      </c>
      <c r="O256" s="243" t="str">
        <f>VLOOKUP($A256,$A$31:$FD$46,COLUMN($N$28),0)</f>
        <v>x</v>
      </c>
      <c r="P256" s="243" t="str">
        <f>VLOOKUP($A256,$A$31:$FD$46,COLUMN($O$28),0)</f>
        <v>x</v>
      </c>
      <c r="Q256" s="243">
        <f t="shared" ref="Q256:Q257" si="253">IF(VLOOKUP($A256,$A$31:$FD$46,COLUMN($U$28),0)="","",VLOOKUP($A256,$A$31:$FD$46,COLUMN($U$28),0))</f>
        <v>13017.302123552123</v>
      </c>
      <c r="R256" s="243">
        <f t="shared" ref="R256:R257" si="254">IF(VLOOKUP($A256,$A$31:$FD$46,COLUMN($V$28),0)="","",VLOOKUP($A256,$A$31:$FD$46,COLUMN($V$28),0))</f>
        <v>4030.1567374517372</v>
      </c>
      <c r="S256" s="43">
        <f t="shared" ref="S256:S257" ca="1" si="255">IF(VLOOKUP($A256,$A$31:$FD$46,COLUMN($W$28),0)="","",VLOOKUP($A256,$A$31:$FD$46,COLUMN($W$28),0))</f>
        <v>1383.1925071747357</v>
      </c>
      <c r="T256" s="243">
        <f t="shared" ref="T256:T257" ca="1" si="256">IF(VLOOKUP($A256,$A$31:$FD$46,COLUMN($Y$28),0)="","",VLOOKUP($A256,$A$31:$FD$46,COLUMN($Y$28),0))</f>
        <v>2266.9200217538446</v>
      </c>
      <c r="U256" s="243">
        <f ca="1">VLOOKUP($A256,$A$31:$FD$46,COLUMN($BJ$28),0)</f>
        <v>4547.7864222066582</v>
      </c>
      <c r="V256" s="243">
        <f ca="1">VLOOKUP($A256,$A$31:$FD$46,COLUMN($BK$28),0)</f>
        <v>13914.840460165178</v>
      </c>
      <c r="BO256" s="243"/>
      <c r="BP256" s="243"/>
      <c r="BQ256" s="243"/>
      <c r="BR256" s="243"/>
      <c r="BS256" s="243"/>
      <c r="BT256" s="243"/>
      <c r="BU256" s="243"/>
      <c r="BV256" s="243"/>
      <c r="BW256" s="243"/>
      <c r="BX256" s="243"/>
      <c r="BY256" s="699"/>
      <c r="BZ256" s="243"/>
      <c r="CA256" s="243"/>
      <c r="CB256" s="200" t="s">
        <v>153</v>
      </c>
      <c r="CC256" s="243">
        <f ca="1">VLOOKUP($A256,$A$31:$FD$46,COLUMN($EO$28),0)</f>
        <v>11173.965899959267</v>
      </c>
      <c r="CD256" s="243">
        <f ca="1">VLOOKUP($A256,$A$31:$FD$46,COLUMN($BV$28),0)</f>
        <v>15354.666000000001</v>
      </c>
      <c r="CE256" s="243">
        <f ca="1">VLOOKUP($A256,$A$31:$FD$46,COLUMN($CA$28),0)</f>
        <v>2829.4955050473109</v>
      </c>
      <c r="CF256" s="243">
        <f ca="1">VLOOKUP($A256,$A$31:$FD$46,COLUMN($BY$28),0)</f>
        <v>7201.746000000001</v>
      </c>
      <c r="CG256" s="243">
        <f ca="1">VLOOKUP($A256,$A$31:$FD$46,COLUMN($CD$28),0)</f>
        <v>3910.6977978307964</v>
      </c>
      <c r="CI256" s="243"/>
      <c r="CJ256" s="243">
        <f ca="1">VLOOKUP($A256,$A$31:$FD$46,COLUMN($CL$28),0)</f>
        <v>8927.1229065987827</v>
      </c>
      <c r="CK256" s="243">
        <f ca="1">VLOOKUP($A256,$A$31:$FD$46,COLUMN($BZ$28),0)</f>
        <v>36923.734604271165</v>
      </c>
      <c r="CL256" s="243">
        <f ca="1">VLOOKUP($A256,$A$31:$FD$46,COLUMN($CS$28),0)</f>
        <v>1383.572496387641</v>
      </c>
      <c r="CM256" s="243">
        <f ca="1">VLOOKUP($A256,$A$31:$FD$46,COLUMN($CE$28),0)</f>
        <v>10198.991008466774</v>
      </c>
      <c r="CN256" s="243">
        <f>IF(VLOOKUP($A256,$A$31:$FD$46,COLUMN($CM$28),0)="","",VLOOKUP($A256,$A$31:$FD$46,COLUMN($CM$28),0))</f>
        <v>69952.12355212355</v>
      </c>
      <c r="CO256" s="243">
        <f>IF(VLOOKUP($A256,$A$31:$FD$46,COLUMN($CN$28),0)="","",VLOOKUP($A256,$A$31:$FD$46,COLUMN($CN$28),0))</f>
        <v>21657.177451737451</v>
      </c>
      <c r="CP256" s="243"/>
      <c r="CQ256" s="43">
        <f ca="1">IF(VLOOKUP($A256,$A$31:$FD$46,COLUMN($CO$28),0)="","",VLOOKUP($A256,$A$31:$FD$46,COLUMN($CO$28),0))</f>
        <v>3761.133088588786</v>
      </c>
      <c r="CR256" s="43"/>
      <c r="CS256" s="7">
        <f ca="1">IF(VLOOKUP($A256,$A$31:$FD$46,COLUMN($CQ$28),0)="","",VLOOKUP($A256,$A$31:$FD$46,COLUMN($CQ$28),0))</f>
        <v>4284.8601154937251</v>
      </c>
      <c r="CT256" s="243">
        <f ca="1">VLOOKUP($A256,$A$31:$FD$46,COLUMN($ET$28),0)</f>
        <v>8939.1727199674133</v>
      </c>
      <c r="CU256" s="243">
        <f ca="1">VLOOKUP($A256,$A$31:$FD$46,COLUMN($EU$28),0)</f>
        <v>47022.526121731433</v>
      </c>
      <c r="EV256" s="7"/>
      <c r="EZ256" s="684"/>
    </row>
    <row r="257" spans="1:156" x14ac:dyDescent="0.35">
      <c r="A257" s="200" t="s">
        <v>156</v>
      </c>
      <c r="B257" s="7" t="s">
        <v>157</v>
      </c>
      <c r="C257" s="7" t="s">
        <v>155</v>
      </c>
      <c r="D257" s="243">
        <f ca="1">VLOOKUP($A257,$A$31:$FD$46,COLUMN($BE$28),0)</f>
        <v>3335.7616640093811</v>
      </c>
      <c r="E257" s="243">
        <f ca="1">VLOOKUP($A257,$A$31:$FD$46,COLUMN($D$28),0)</f>
        <v>1402.5362</v>
      </c>
      <c r="F257" s="243">
        <f ca="1">VLOOKUP($A257,$A$31:$FD$46,COLUMN($I$28),0)</f>
        <v>7059.6638912984936</v>
      </c>
      <c r="G257" s="243">
        <f ca="1">VLOOKUP($A257,$A$31:$FD$46,COLUMN($G$28),0)</f>
        <v>1402.5362</v>
      </c>
      <c r="H257" s="243">
        <f ca="1">VLOOKUP($A257,$A$31:$FD$46,COLUMN($L$28),0)</f>
        <v>4209.9800659098528</v>
      </c>
      <c r="I257" s="243" t="str">
        <f>VLOOKUP($A257,$A$31:$FD$46,COLUMN($P$28),0)</f>
        <v>x</v>
      </c>
      <c r="J257" s="243"/>
      <c r="K257" s="243"/>
      <c r="L257" s="243">
        <f ca="1">VLOOKUP($A257,$A$31:$FD$46,COLUMN($H$28),0)</f>
        <v>5868.452836244428</v>
      </c>
      <c r="M257" s="243"/>
      <c r="N257" s="243" t="str">
        <f>VLOOKUP($A257,$A$31:$FD$46,COLUMN($M$28),0)</f>
        <v>x</v>
      </c>
      <c r="O257" s="243" t="str">
        <f>VLOOKUP($A257,$A$31:$FD$46,COLUMN($N$28),0)</f>
        <v>x</v>
      </c>
      <c r="P257" s="243" t="str">
        <f>VLOOKUP($A257,$A$31:$FD$46,COLUMN($O$28),0)</f>
        <v>x</v>
      </c>
      <c r="Q257" s="243" t="str">
        <f t="shared" si="253"/>
        <v>x</v>
      </c>
      <c r="R257" s="243" t="str">
        <f t="shared" si="254"/>
        <v>x</v>
      </c>
      <c r="S257" s="243" t="str">
        <f t="shared" si="255"/>
        <v>x</v>
      </c>
      <c r="T257" s="243">
        <f t="shared" ca="1" si="256"/>
        <v>1433.9100780421329</v>
      </c>
      <c r="U257" s="243">
        <f ca="1">VLOOKUP($A257,$A$31:$FD$46,COLUMN($BJ$28),0)</f>
        <v>1670.3935051879839</v>
      </c>
      <c r="V257" s="243">
        <f ca="1">VLOOKUP($A257,$A$31:$FD$46,COLUMN($BK$28),0)</f>
        <v>2979.1217818312907</v>
      </c>
      <c r="BO257" s="243"/>
      <c r="BP257" s="243"/>
      <c r="BQ257" s="243"/>
      <c r="BR257" s="243"/>
      <c r="BS257" s="243"/>
      <c r="BT257" s="243"/>
      <c r="BU257" s="243"/>
      <c r="BV257" s="243"/>
      <c r="BW257" s="243"/>
      <c r="BX257" s="243"/>
      <c r="BY257" s="699"/>
      <c r="BZ257" s="243"/>
      <c r="CA257" s="243"/>
      <c r="CB257" s="200" t="s">
        <v>156</v>
      </c>
      <c r="CC257" s="243">
        <f ca="1">VLOOKUP($A257,$A$31:$FD$46,COLUMN($EO$28),0)</f>
        <v>1563.4560238067857</v>
      </c>
      <c r="CD257" s="243">
        <f ca="1">VLOOKUP($A257,$A$31:$FD$46,COLUMN($BV$28),0)</f>
        <v>1983.8771999999999</v>
      </c>
      <c r="CE257" s="243">
        <f ca="1">VLOOKUP($A257,$A$31:$FD$46,COLUMN($CA$28),0)</f>
        <v>1814.3168952035446</v>
      </c>
      <c r="CF257" s="243">
        <f ca="1">VLOOKUP($A257,$A$31:$FD$46,COLUMN($BY$28),0)</f>
        <v>692.99820000000011</v>
      </c>
      <c r="CG257" s="243">
        <f ca="1">VLOOKUP($A257,$A$31:$FD$46,COLUMN($CD$28),0)</f>
        <v>1529.5517626987407</v>
      </c>
      <c r="CI257" s="243"/>
      <c r="CJ257" s="243"/>
      <c r="CK257" s="243">
        <f ca="1">VLOOKUP($A257,$A$31:$FD$46,COLUMN($BZ$28),0)</f>
        <v>3492.9994032609447</v>
      </c>
      <c r="CL257" s="243"/>
      <c r="CM257" s="243" t="str">
        <f>VLOOKUP($A257,$A$31:$FD$46,COLUMN($CE$28),0)</f>
        <v>x</v>
      </c>
      <c r="CN257" s="243" t="str">
        <f>IF(VLOOKUP($A257,$A$31:$FD$46,COLUMN($CM$28),0)="","",VLOOKUP($A257,$A$31:$FD$46,COLUMN($CM$28),0))</f>
        <v>x</v>
      </c>
      <c r="CO257" s="243" t="str">
        <f>IF(VLOOKUP($A257,$A$31:$FD$46,COLUMN($CN$28),0)="","",VLOOKUP($A257,$A$31:$FD$46,COLUMN($CN$28),0))</f>
        <v>x</v>
      </c>
      <c r="CP257" s="243"/>
      <c r="CQ257" s="43" t="str">
        <f>IF(VLOOKUP($A257,$A$31:$FD$46,COLUMN($CO$28),0)="","",VLOOKUP($A257,$A$31:$FD$46,COLUMN($CO$28),0))</f>
        <v>x</v>
      </c>
      <c r="CR257" s="43"/>
      <c r="CS257" s="7">
        <f ca="1">IF(VLOOKUP($A257,$A$31:$FD$46,COLUMN($CQ$28),0)="","",VLOOKUP($A257,$A$31:$FD$46,COLUMN($CQ$28),0))</f>
        <v>657.59458666764726</v>
      </c>
      <c r="CT257" s="243">
        <f ca="1">VLOOKUP($A257,$A$31:$FD$46,COLUMN($ET$28),0)</f>
        <v>792.98065700599886</v>
      </c>
      <c r="CU257" s="243">
        <f ca="1">VLOOKUP($A257,$A$31:$FD$46,COLUMN($EU$28),0)</f>
        <v>1543.6347035633275</v>
      </c>
      <c r="EV257" s="7"/>
      <c r="EZ257" s="684"/>
    </row>
    <row r="258" spans="1:156" x14ac:dyDescent="0.35">
      <c r="BU258" s="7"/>
      <c r="BY258" s="684"/>
      <c r="EV258" s="7"/>
      <c r="EZ258" s="684"/>
    </row>
    <row r="259" spans="1:156" ht="43.5" x14ac:dyDescent="0.45">
      <c r="A259" s="478" t="s">
        <v>197</v>
      </c>
      <c r="D259" s="249" t="s">
        <v>171</v>
      </c>
      <c r="E259" s="249" t="s">
        <v>176</v>
      </c>
      <c r="F259" s="249" t="s">
        <v>56</v>
      </c>
      <c r="G259" s="584" t="s">
        <v>62</v>
      </c>
      <c r="H259" s="249" t="s">
        <v>60</v>
      </c>
      <c r="I259" s="249" t="s">
        <v>67</v>
      </c>
      <c r="J259" s="249" t="s">
        <v>71</v>
      </c>
      <c r="K259" s="249" t="s">
        <v>72</v>
      </c>
      <c r="L259" s="249" t="s">
        <v>177</v>
      </c>
      <c r="M259" s="695" t="s">
        <v>73</v>
      </c>
      <c r="N259" s="249" t="s">
        <v>63</v>
      </c>
      <c r="O259" s="249" t="s">
        <v>65</v>
      </c>
      <c r="P259" s="249" t="s">
        <v>66</v>
      </c>
      <c r="Q259" s="829" t="s">
        <v>74</v>
      </c>
      <c r="R259" s="829" t="s">
        <v>75</v>
      </c>
      <c r="S259" s="829" t="s">
        <v>178</v>
      </c>
      <c r="T259" s="829" t="s">
        <v>179</v>
      </c>
      <c r="U259" s="706" t="s">
        <v>172</v>
      </c>
      <c r="V259" s="706" t="s">
        <v>173</v>
      </c>
      <c r="BU259" s="7"/>
      <c r="BY259" s="684"/>
      <c r="CB259" s="402"/>
      <c r="CC259" s="402" t="s">
        <v>171</v>
      </c>
      <c r="CD259" s="249" t="s">
        <v>176</v>
      </c>
      <c r="CE259" s="249" t="s">
        <v>56</v>
      </c>
      <c r="CF259" s="584" t="s">
        <v>62</v>
      </c>
      <c r="CG259" s="249" t="s">
        <v>60</v>
      </c>
      <c r="CH259" s="694" t="s">
        <v>67</v>
      </c>
      <c r="CI259" s="249" t="s">
        <v>71</v>
      </c>
      <c r="CJ259" s="249" t="s">
        <v>72</v>
      </c>
      <c r="CK259" s="249" t="s">
        <v>177</v>
      </c>
      <c r="CL259" s="695" t="s">
        <v>73</v>
      </c>
      <c r="CM259" s="249" t="s">
        <v>63</v>
      </c>
      <c r="CN259" s="829" t="s">
        <v>74</v>
      </c>
      <c r="CO259" s="829" t="s">
        <v>75</v>
      </c>
      <c r="CP259" s="829"/>
      <c r="CQ259" s="829" t="s">
        <v>178</v>
      </c>
      <c r="CR259" s="829"/>
      <c r="CS259" s="7" t="s">
        <v>179</v>
      </c>
      <c r="CT259" s="52" t="s">
        <v>172</v>
      </c>
      <c r="CU259" s="52" t="s">
        <v>173</v>
      </c>
      <c r="EV259" s="7"/>
      <c r="EZ259" s="684"/>
    </row>
    <row r="260" spans="1:156" x14ac:dyDescent="0.35">
      <c r="A260" s="200" t="s">
        <v>153</v>
      </c>
      <c r="B260" s="7" t="s">
        <v>154</v>
      </c>
      <c r="C260" s="7" t="s">
        <v>155</v>
      </c>
      <c r="D260" s="243">
        <f ca="1">VLOOKUP($A260,$A$55:$FD$70,COLUMN($BE$52),0)</f>
        <v>8450.9570195030774</v>
      </c>
      <c r="E260" s="243">
        <f ca="1">VLOOKUP($A260,$A$55:$FD$70,COLUMN($D$52),0)</f>
        <v>6633.3456000000006</v>
      </c>
      <c r="F260" s="243">
        <f ca="1">VLOOKUP($A260,$A$55:$FD$70,COLUMN($I$52),0)</f>
        <v>4845.6045541539843</v>
      </c>
      <c r="G260" s="243">
        <f ca="1">VLOOKUP($A260,$A$55:$FD$70,COLUMN($G$52),0)</f>
        <v>5306.6764800000001</v>
      </c>
      <c r="H260" s="243"/>
      <c r="I260" s="243" t="str">
        <f>VLOOKUP($A260,$A$55:$FD$70,COLUMN($P$52),0)</f>
        <v>x</v>
      </c>
      <c r="J260" s="243"/>
      <c r="K260" s="243">
        <f ca="1">VLOOKUP($A260,$A$55:$FD$70,COLUMN($T$52),0)</f>
        <v>4309.787776513891</v>
      </c>
      <c r="L260" s="243">
        <f ca="1">VLOOKUP($A260,$A$55:$FD$70,COLUMN($H$52),0)</f>
        <v>12647.203800108658</v>
      </c>
      <c r="M260" s="243"/>
      <c r="N260" s="243"/>
      <c r="O260" s="243" t="str">
        <f>VLOOKUP($A260,$A$31:$FD$46,COLUMN($N$28),0)</f>
        <v>x</v>
      </c>
      <c r="P260" s="243" t="str">
        <f>VLOOKUP($A260,$A$31:$FD$46,COLUMN($O$28),0)</f>
        <v>x</v>
      </c>
      <c r="Q260" s="243">
        <f t="shared" ref="Q260:Q261" si="257">IF(VLOOKUP($A260,$A$55:$FD$70,COLUMN($U$28),0)="","",VLOOKUP($A260,$A$55:$FD$70,COLUMN($U$28),0))</f>
        <v>13317.913945945946</v>
      </c>
      <c r="R260" s="243">
        <f t="shared" ref="R260:R261" si="258">IF(VLOOKUP($A260,$A$55:$FD$70,COLUMN($V$28),0)="","",VLOOKUP($A260,$A$55:$FD$70,COLUMN($V$28),0))</f>
        <v>1818.4074810810812</v>
      </c>
      <c r="S260" s="43">
        <f t="shared" ref="S260:S261" si="259">IF(VLOOKUP($A260,$A$55:$FD$70,COLUMN($W$28),0)="","",VLOOKUP($A260,$A$55:$FD$70,COLUMN($W$28),0))</f>
        <v>24.981758631760155</v>
      </c>
      <c r="T260" s="243">
        <f t="shared" ref="T260:T261" ca="1" si="260">IF(VLOOKUP($A260,$A$55:$FD$70,COLUMN($Y$28),0)="","",VLOOKUP($A260,$A$55:$FD$70,COLUMN($Y$28),0))</f>
        <v>23654.757912819485</v>
      </c>
      <c r="U260" s="26">
        <f ca="1">VLOOKUP($A260,$A$55:$FD$70,COLUMN($BJ$52),0)</f>
        <v>6760.7656156024623</v>
      </c>
      <c r="V260" s="26">
        <f ca="1">VLOOKUP($A260,$A$55:$FD$70,COLUMN($BK$52),0)</f>
        <v>12163.040714653127</v>
      </c>
      <c r="BU260" s="7"/>
      <c r="BY260" s="684"/>
      <c r="CB260" s="200" t="s">
        <v>153</v>
      </c>
      <c r="CC260" s="243">
        <f ca="1">VLOOKUP($A260,$A$55:$FD$70,COLUMN($EO$52),0)</f>
        <v>27534.653654219179</v>
      </c>
      <c r="CD260" s="243">
        <f ca="1">VLOOKUP($A260,$A$55:$FD$70,COLUMN($BV$52),0)</f>
        <v>4399.1040000000003</v>
      </c>
      <c r="CE260" s="243">
        <f ca="1">VLOOKUP($A260,$A$55:$FD$70,COLUMN($CA$52),0)</f>
        <v>99415.861469937299</v>
      </c>
      <c r="CF260" s="243">
        <f ca="1">VLOOKUP($A260,$A$55:$FD$70,COLUMN($BY$52),0)</f>
        <v>15396.864000000001</v>
      </c>
      <c r="CG260" s="243"/>
      <c r="CI260" s="243"/>
      <c r="CJ260" s="243">
        <f ca="1">VLOOKUP($A260,$A$55:$FD$70,COLUMN($CL$52),0)</f>
        <v>21379.278732389354</v>
      </c>
      <c r="CK260" s="243">
        <f ca="1">VLOOKUP($A260,$A$55:$FD$70,COLUMN($BZ$52),0)</f>
        <v>71699.986409479243</v>
      </c>
      <c r="CL260" s="243"/>
      <c r="CM260" s="243"/>
      <c r="CN260" s="243">
        <f>IF(VLOOKUP($A260,$A$55:$FD$70,COLUMN($CM$28),0)="","",VLOOKUP($A260,$A$55:$FD$70,COLUMN($CM$28),0))</f>
        <v>94209.897760617765</v>
      </c>
      <c r="CO260" s="243">
        <f>IF(VLOOKUP($A260,$A$55:$FD$70,COLUMN($CN$28),0)="","",VLOOKUP($A260,$A$55:$FD$70,COLUMN($CN$28),0))</f>
        <v>12863.274501930502</v>
      </c>
      <c r="CP260" s="243"/>
      <c r="CQ260" s="43">
        <f>IF(VLOOKUP($A260,$A$55:$FD$70,COLUMN($CO$28),0)="","",VLOOKUP($A260,$A$55:$FD$70,COLUMN($CO$28),0))</f>
        <v>125.77942628665728</v>
      </c>
      <c r="CR260" s="43"/>
      <c r="CS260" s="7">
        <f ca="1">IF(VLOOKUP($A260,$A$55:$FD$70,COLUMN($CQ$28),0)="","",VLOOKUP($A260,$A$55:$FD$70,COLUMN($CQ$28),0))</f>
        <v>60362.942343506438</v>
      </c>
      <c r="CT260" s="243">
        <f ca="1">VLOOKUP($A260,$A$55:$FD$70,COLUMN($ET$52),0)</f>
        <v>22027.722923375342</v>
      </c>
      <c r="CU260" s="243">
        <f ca="1">VLOOKUP($A260,$A$55:$FD$70,COLUMN($EU$52),0)</f>
        <v>57504.966252574493</v>
      </c>
      <c r="EV260" s="7"/>
      <c r="EZ260" s="684"/>
    </row>
    <row r="261" spans="1:156" x14ac:dyDescent="0.35">
      <c r="A261" s="200" t="s">
        <v>156</v>
      </c>
      <c r="B261" s="7" t="s">
        <v>157</v>
      </c>
      <c r="C261" s="7" t="s">
        <v>155</v>
      </c>
      <c r="D261" s="243">
        <f ca="1">VLOOKUP($A261,$A$55:$FD$70,COLUMN($BE$52),0)</f>
        <v>11467.256928538485</v>
      </c>
      <c r="E261" s="243">
        <f ca="1">VLOOKUP($A261,$A$55:$FD$70,COLUMN($D$52),0)</f>
        <v>5306.6764800000001</v>
      </c>
      <c r="F261" s="243">
        <f ca="1">VLOOKUP($A261,$A$55:$FD$70,COLUMN($I$52),0)</f>
        <v>5105.1011153992204</v>
      </c>
      <c r="G261" s="243">
        <f ca="1">VLOOKUP($A261,$A$55:$FD$70,COLUMN($G$52),0)</f>
        <v>5306.6764800000001</v>
      </c>
      <c r="H261" s="243"/>
      <c r="I261" s="243" t="str">
        <f>VLOOKUP($A261,$A$55:$FD$70,COLUMN($P$52),0)</f>
        <v>x</v>
      </c>
      <c r="J261" s="243"/>
      <c r="K261" s="243"/>
      <c r="L261" s="243">
        <f ca="1">VLOOKUP($A261,$A$55:$FD$70,COLUMN($H$52),0)</f>
        <v>3387.6438750291049</v>
      </c>
      <c r="M261" s="243"/>
      <c r="N261" s="243" t="str">
        <f>VLOOKUP($A261,$A$31:$FD$46,COLUMN($M$28),0)</f>
        <v>x</v>
      </c>
      <c r="O261" s="243" t="str">
        <f>VLOOKUP($A261,$A$31:$FD$46,COLUMN($N$28),0)</f>
        <v>x</v>
      </c>
      <c r="P261" s="243" t="str">
        <f>VLOOKUP($A261,$A$31:$FD$46,COLUMN($O$28),0)</f>
        <v>x</v>
      </c>
      <c r="Q261" s="243" t="str">
        <f t="shared" si="257"/>
        <v>x</v>
      </c>
      <c r="R261" s="243" t="str">
        <f t="shared" si="258"/>
        <v>x</v>
      </c>
      <c r="S261" s="243" t="str">
        <f t="shared" si="259"/>
        <v>x</v>
      </c>
      <c r="T261" s="243">
        <f t="shared" ca="1" si="260"/>
        <v>23874.322407891763</v>
      </c>
      <c r="U261" s="26">
        <f ca="1">VLOOKUP($A261,$A$55:$FD$70,COLUMN($BJ$52),0)</f>
        <v>6463.690442807504</v>
      </c>
      <c r="V261" s="26">
        <f ca="1">VLOOKUP($A261,$A$55:$FD$70,COLUMN($BK$52),0)</f>
        <v>9925.6523834826221</v>
      </c>
      <c r="BU261" s="7"/>
      <c r="BY261" s="684"/>
      <c r="CB261" s="200" t="s">
        <v>156</v>
      </c>
      <c r="CC261" s="243">
        <f ca="1">VLOOKUP($A261,$A$55:$FD$70,COLUMN($EO$52),0)</f>
        <v>20655.080048212443</v>
      </c>
      <c r="CD261" s="243">
        <f ca="1">VLOOKUP($A261,$A$55:$FD$70,COLUMN($BV$52),0)</f>
        <v>11437.670400000001</v>
      </c>
      <c r="CE261" s="243">
        <f ca="1">VLOOKUP($A261,$A$55:$FD$70,COLUMN($CA$52),0)</f>
        <v>30910.737958347312</v>
      </c>
      <c r="CF261" s="243">
        <f ca="1">VLOOKUP($A261,$A$55:$FD$70,COLUMN($BY$52),0)</f>
        <v>15132.91776</v>
      </c>
      <c r="CG261" s="243"/>
      <c r="CI261" s="243"/>
      <c r="CJ261" s="243"/>
      <c r="CK261" s="243">
        <f ca="1">VLOOKUP($A261,$A$55:$FD$70,COLUMN($BZ$52),0)</f>
        <v>6695.5047652195381</v>
      </c>
      <c r="CL261" s="243"/>
      <c r="CM261" s="243" t="str">
        <f>VLOOKUP($A261,$A$31:$FD$46,COLUMN($CE$28),0)</f>
        <v>x</v>
      </c>
      <c r="CN261" s="243" t="str">
        <f>IF(VLOOKUP($A261,$A$55:$FD$70,COLUMN($CM$28),0)="","",VLOOKUP($A261,$A$55:$FD$70,COLUMN($CM$28),0))</f>
        <v>x</v>
      </c>
      <c r="CO261" s="243" t="str">
        <f>IF(VLOOKUP($A261,$A$55:$FD$70,COLUMN($CN$28),0)="","",VLOOKUP($A261,$A$55:$FD$70,COLUMN($CN$28),0))</f>
        <v>x</v>
      </c>
      <c r="CP261" s="243"/>
      <c r="CQ261" s="43" t="str">
        <f>IF(VLOOKUP($A261,$A$55:$FD$70,COLUMN($CO$28),0)="","",VLOOKUP($A261,$A$55:$FD$70,COLUMN($CO$28),0))</f>
        <v>x</v>
      </c>
      <c r="CR261" s="43"/>
      <c r="CS261" s="7">
        <f ca="1">IF(VLOOKUP($A261,$A$55:$FD$70,COLUMN($CQ$28),0)="","",VLOOKUP($A261,$A$55:$FD$70,COLUMN($CQ$28),0))</f>
        <v>31852.166976458004</v>
      </c>
      <c r="CT261" s="243">
        <f ca="1">VLOOKUP($A261,$A$55:$FD$70,COLUMN($ET$52),0)</f>
        <v>11167.660226394324</v>
      </c>
      <c r="CU261" s="243">
        <f ca="1">VLOOKUP($A261,$A$55:$FD$70,COLUMN($EU$52),0)</f>
        <v>8957.6695425964499</v>
      </c>
      <c r="EV261" s="7"/>
      <c r="EZ261" s="684"/>
    </row>
    <row r="262" spans="1:156" x14ac:dyDescent="0.35">
      <c r="CE262" s="243"/>
      <c r="CF262" s="243"/>
      <c r="CG262" s="243"/>
      <c r="CH262" s="243"/>
    </row>
    <row r="263" spans="1:156" x14ac:dyDescent="0.35"/>
    <row r="264" spans="1:156" x14ac:dyDescent="0.35"/>
    <row r="265" spans="1:156" x14ac:dyDescent="0.35"/>
    <row r="266" spans="1:156" x14ac:dyDescent="0.35"/>
    <row r="267" spans="1:156" x14ac:dyDescent="0.35"/>
    <row r="268" spans="1:156" x14ac:dyDescent="0.35"/>
    <row r="269" spans="1:156" x14ac:dyDescent="0.35"/>
    <row r="270" spans="1:156" x14ac:dyDescent="0.35"/>
    <row r="271" spans="1:156" x14ac:dyDescent="0.35"/>
    <row r="272" spans="1:156" x14ac:dyDescent="0.35"/>
    <row r="273" spans="1:162" x14ac:dyDescent="0.35"/>
    <row r="274" spans="1:162" x14ac:dyDescent="0.35"/>
    <row r="275" spans="1:162" x14ac:dyDescent="0.35"/>
    <row r="276" spans="1:162" x14ac:dyDescent="0.35"/>
    <row r="277" spans="1:162" x14ac:dyDescent="0.35"/>
    <row r="278" spans="1:162" x14ac:dyDescent="0.35"/>
    <row r="279" spans="1:162" x14ac:dyDescent="0.35"/>
    <row r="280" spans="1:162" x14ac:dyDescent="0.35"/>
    <row r="281" spans="1:162" ht="19.5" x14ac:dyDescent="0.45">
      <c r="A281" s="478" t="s">
        <v>198</v>
      </c>
    </row>
    <row r="282" spans="1:162" x14ac:dyDescent="0.35">
      <c r="D282" s="249" t="s">
        <v>171</v>
      </c>
      <c r="E282" s="52" t="s">
        <v>172</v>
      </c>
      <c r="F282" s="52" t="s">
        <v>173</v>
      </c>
      <c r="G282" s="249"/>
      <c r="H282" s="88"/>
      <c r="I282" s="88"/>
      <c r="J282" s="88"/>
      <c r="K282" s="88"/>
      <c r="L282" s="88"/>
      <c r="BK282" s="402"/>
      <c r="BL282" s="402"/>
      <c r="BM282" s="402"/>
      <c r="BN282" s="402"/>
      <c r="BO282" s="402"/>
      <c r="BP282" s="402"/>
      <c r="BQ282" s="402"/>
      <c r="BR282" s="402"/>
      <c r="BS282" s="402"/>
      <c r="BT282" s="402"/>
      <c r="BU282" s="698"/>
      <c r="BV282" s="100"/>
      <c r="BW282" s="100"/>
      <c r="BX282" s="100"/>
      <c r="BY282" s="100" t="s">
        <v>171</v>
      </c>
      <c r="BZ282" s="51" t="s">
        <v>172</v>
      </c>
      <c r="CA282" s="51" t="s">
        <v>173</v>
      </c>
      <c r="CB282" s="100"/>
      <c r="EX282" s="51" t="s">
        <v>174</v>
      </c>
      <c r="EY282" s="51" t="s">
        <v>172</v>
      </c>
      <c r="EZ282" s="51" t="s">
        <v>173</v>
      </c>
      <c r="FA282" s="51" t="s">
        <v>21</v>
      </c>
      <c r="FB282" s="51" t="s">
        <v>172</v>
      </c>
      <c r="FC282" s="51" t="s">
        <v>173</v>
      </c>
      <c r="FD282" s="51" t="s">
        <v>22</v>
      </c>
      <c r="FE282" s="51" t="s">
        <v>172</v>
      </c>
      <c r="FF282" s="51" t="s">
        <v>173</v>
      </c>
    </row>
    <row r="283" spans="1:162" x14ac:dyDescent="0.35">
      <c r="A283" s="200" t="s">
        <v>158</v>
      </c>
      <c r="B283" s="7" t="s">
        <v>159</v>
      </c>
      <c r="C283" s="7" t="s">
        <v>160</v>
      </c>
      <c r="D283" s="243">
        <f ca="1">VLOOKUP($A283,$A$79:$FD$94,COLUMN($BE$76),0)</f>
        <v>1462.966180277087</v>
      </c>
      <c r="E283" s="243">
        <f ca="1">VLOOKUP($A283,$A$79:$FD$94,COLUMN($BJ$76),0)</f>
        <v>641.11089019357996</v>
      </c>
      <c r="F283" s="243">
        <f ca="1">VLOOKUP($A283,$A$79:$FD$94,COLUMN($BK$76),0)</f>
        <v>657.18301469285962</v>
      </c>
      <c r="G283" s="243"/>
      <c r="H283" s="243"/>
      <c r="I283" s="243"/>
      <c r="J283" s="243"/>
      <c r="K283" s="243"/>
      <c r="L283" s="243"/>
      <c r="BK283" s="243"/>
      <c r="BL283" s="243"/>
      <c r="BM283" s="243"/>
      <c r="BN283" s="243"/>
      <c r="BO283" s="243"/>
      <c r="BP283" s="243"/>
      <c r="BQ283" s="243"/>
      <c r="BR283" s="243"/>
      <c r="BS283" s="243"/>
      <c r="BT283" s="243"/>
      <c r="BU283" s="699"/>
      <c r="BV283" s="243"/>
      <c r="BW283" s="243"/>
      <c r="BX283" s="200" t="s">
        <v>158</v>
      </c>
      <c r="BY283" s="243">
        <f ca="1">VLOOKUP($A283,$A$79:$FD$94,COLUMN($EO$76),0)</f>
        <v>1989.5063643555104</v>
      </c>
      <c r="BZ283" s="243">
        <f ca="1">VLOOKUP($A283,$A$79:$FD$94,COLUMN($ET$76),0)</f>
        <v>215.80142902176408</v>
      </c>
      <c r="CA283" s="243">
        <f ca="1">VLOOKUP($A283,$A$79:$FD$94,COLUMN($EU$76),0)</f>
        <v>537.39608751791775</v>
      </c>
      <c r="CB283" s="243"/>
      <c r="EW283" s="200" t="s">
        <v>158</v>
      </c>
      <c r="EX283" s="26">
        <f ca="1">VLOOKUP($A283,$A$79:$FD$94,COLUMN($EX$76),0)</f>
        <v>1569.5237837399663</v>
      </c>
      <c r="EY283" s="26">
        <f ca="1">VLOOKUP($A283,$A$79:$FD$94,COLUMN($FC$76),0)</f>
        <v>555.53370340785546</v>
      </c>
      <c r="EZ283" s="26">
        <f ca="1">VLOOKUP($A283,$A$79:$FD$94,COLUMN($FD$76),0)</f>
        <v>633.08049834371877</v>
      </c>
      <c r="FA283" s="26"/>
      <c r="FB283" s="26"/>
      <c r="FC283" s="26"/>
      <c r="FD283" s="26"/>
      <c r="FE283" s="26"/>
      <c r="FF283" s="26"/>
    </row>
    <row r="284" spans="1:162" ht="43.5" x14ac:dyDescent="0.45">
      <c r="A284" s="478" t="s">
        <v>199</v>
      </c>
      <c r="D284" s="249" t="s">
        <v>171</v>
      </c>
      <c r="E284" s="249" t="s">
        <v>176</v>
      </c>
      <c r="F284" s="249" t="s">
        <v>56</v>
      </c>
      <c r="G284" s="584" t="s">
        <v>62</v>
      </c>
      <c r="H284" s="249" t="s">
        <v>60</v>
      </c>
      <c r="I284" s="249" t="s">
        <v>67</v>
      </c>
      <c r="J284" s="249" t="s">
        <v>71</v>
      </c>
      <c r="K284" s="249" t="s">
        <v>72</v>
      </c>
      <c r="L284" s="249" t="s">
        <v>177</v>
      </c>
      <c r="M284" s="249" t="s">
        <v>63</v>
      </c>
      <c r="N284" s="249" t="s">
        <v>65</v>
      </c>
      <c r="O284" s="249" t="s">
        <v>66</v>
      </c>
      <c r="P284" s="829" t="s">
        <v>74</v>
      </c>
      <c r="Q284" s="829" t="s">
        <v>75</v>
      </c>
      <c r="R284" s="829" t="s">
        <v>178</v>
      </c>
      <c r="S284" s="829" t="s">
        <v>179</v>
      </c>
      <c r="T284" s="706" t="s">
        <v>172</v>
      </c>
      <c r="U284" s="706" t="s">
        <v>173</v>
      </c>
      <c r="BO284" s="402"/>
      <c r="BP284" s="402"/>
      <c r="BQ284" s="402"/>
      <c r="BR284" s="402"/>
      <c r="BS284" s="402"/>
      <c r="BT284" s="402"/>
      <c r="BU284" s="402"/>
      <c r="BV284" s="402"/>
      <c r="BW284" s="402"/>
      <c r="BX284" s="402"/>
      <c r="BY284" s="698"/>
      <c r="BZ284" s="402"/>
      <c r="CA284" s="402"/>
      <c r="CB284" s="402"/>
      <c r="CC284" s="402" t="s">
        <v>171</v>
      </c>
      <c r="CD284" s="249" t="s">
        <v>176</v>
      </c>
      <c r="CE284" s="249" t="s">
        <v>56</v>
      </c>
      <c r="CF284" s="584" t="s">
        <v>62</v>
      </c>
      <c r="CG284" s="249" t="s">
        <v>60</v>
      </c>
      <c r="CH284" s="694" t="s">
        <v>67</v>
      </c>
      <c r="CI284" s="249" t="s">
        <v>71</v>
      </c>
      <c r="CJ284" s="249" t="s">
        <v>72</v>
      </c>
      <c r="CK284" s="249" t="s">
        <v>177</v>
      </c>
      <c r="CL284" s="249" t="s">
        <v>63</v>
      </c>
      <c r="CM284" s="249" t="s">
        <v>65</v>
      </c>
      <c r="CN284" s="249" t="s">
        <v>66</v>
      </c>
      <c r="CO284" s="52" t="s">
        <v>172</v>
      </c>
      <c r="CP284" s="52"/>
      <c r="CQ284" s="52" t="s">
        <v>173</v>
      </c>
      <c r="CR284" s="52"/>
      <c r="CT284" s="52"/>
      <c r="EV284" s="7"/>
      <c r="EZ284" s="684"/>
    </row>
    <row r="285" spans="1:162" x14ac:dyDescent="0.35">
      <c r="A285" s="200" t="s">
        <v>158</v>
      </c>
      <c r="B285" s="7" t="s">
        <v>159</v>
      </c>
      <c r="C285" s="7" t="s">
        <v>160</v>
      </c>
      <c r="D285" s="243">
        <f ca="1">VLOOKUP($A285,$A$31:$FD$46,COLUMN($BE$28),0)</f>
        <v>672.10315628825492</v>
      </c>
      <c r="E285" s="243">
        <f ca="1">VLOOKUP($A285,$A$31:$FD$46,COLUMN($D$28),0)</f>
        <v>768.51298630136989</v>
      </c>
      <c r="F285" s="243"/>
      <c r="G285" s="243"/>
      <c r="H285" s="243"/>
      <c r="I285" s="243" t="str">
        <f>VLOOKUP($A285,$A$31:$FD$46,COLUMN($P$28),0)</f>
        <v>x</v>
      </c>
      <c r="J285" s="243"/>
      <c r="K285" s="243">
        <f ca="1">VLOOKUP($A285,$A$31:$FD$46,COLUMN($T$28),0)</f>
        <v>340.099320190485</v>
      </c>
      <c r="L285" s="243">
        <f ca="1">VLOOKUP($A285,$A$31:$FD$46,COLUMN($H$28),0)</f>
        <v>618.46767233356525</v>
      </c>
      <c r="M285" s="243" t="str">
        <f>VLOOKUP($A285,$A$31:$FD$46,COLUMN($M$28),0)</f>
        <v>x</v>
      </c>
      <c r="N285" s="243"/>
      <c r="O285" s="243"/>
      <c r="P285" s="243" t="str">
        <f t="shared" ref="P285" si="261">IF(VLOOKUP($A285,$A$31:$FD$46,COLUMN($U$28),0)="","",VLOOKUP($A285,$A$31:$FD$46,COLUMN($U$28),0))</f>
        <v>x</v>
      </c>
      <c r="Q285" s="243" t="str">
        <f t="shared" ref="Q285" si="262">IF(VLOOKUP($A285,$A$31:$FD$46,COLUMN($V$28),0)="","",VLOOKUP($A285,$A$31:$FD$46,COLUMN($V$28),0))</f>
        <v>x</v>
      </c>
      <c r="R285" s="243" t="str">
        <f t="shared" ref="R285" si="263">IF(VLOOKUP($A285,$A$31:$FD$46,COLUMN($W$28),0)="","",VLOOKUP($A285,$A$31:$FD$46,COLUMN($W$28),0))</f>
        <v>x</v>
      </c>
      <c r="S285" s="243" t="str">
        <f t="shared" ref="S285" si="264">IF(VLOOKUP($A285,$A$31:$FD$46,COLUMN($Y$28),0)="","",VLOOKUP($A285,$A$31:$FD$46,COLUMN($Y$28),0))</f>
        <v>x</v>
      </c>
      <c r="T285" s="243">
        <f ca="1">VLOOKUP($A285,$A$31:$FD$46,COLUMN($BJ$28),0)</f>
        <v>265.60306887821594</v>
      </c>
      <c r="U285" s="243">
        <f ca="1">VLOOKUP($A285,$A$31:$FD$46,COLUMN($BK$28),0)</f>
        <v>77.127864010491976</v>
      </c>
      <c r="BO285" s="243"/>
      <c r="BP285" s="243"/>
      <c r="BQ285" s="243"/>
      <c r="BR285" s="243"/>
      <c r="BS285" s="243"/>
      <c r="BT285" s="243"/>
      <c r="BU285" s="243"/>
      <c r="BV285" s="243"/>
      <c r="BW285" s="243"/>
      <c r="BX285" s="243"/>
      <c r="BY285" s="699"/>
      <c r="BZ285" s="243"/>
      <c r="CA285" s="243"/>
      <c r="CB285" s="200" t="s">
        <v>158</v>
      </c>
      <c r="CC285" s="243">
        <f ca="1">VLOOKUP($A285,$A$31:$FD$46,COLUMN($EO$28),0)</f>
        <v>412.03996746513093</v>
      </c>
      <c r="CD285" s="243">
        <f ca="1">VLOOKUP($A285,$A$31:$FD$46,COLUMN($BV$28),0)</f>
        <v>402.06180821917809</v>
      </c>
      <c r="CE285" s="243"/>
      <c r="CF285" s="243"/>
      <c r="CG285" s="243"/>
      <c r="CI285" s="243"/>
      <c r="CJ285" s="243">
        <f ca="1">VLOOKUP($A285,$A$31:$FD$46,COLUMN($CL$28),0)</f>
        <v>590.51876095905584</v>
      </c>
      <c r="CK285" s="243">
        <f ca="1">VLOOKUP($A285,$A$31:$FD$46,COLUMN($BZ$28),0)</f>
        <v>273.47381095501731</v>
      </c>
      <c r="CL285" s="243" t="str">
        <f>VLOOKUP($A285,$A$31:$FD$46,COLUMN($CE$28),0)</f>
        <v>x</v>
      </c>
      <c r="CM285" s="243" t="str">
        <f>VLOOKUP($A285,$A$31:$FD$46,COLUMN($CF$28),0)</f>
        <v>x</v>
      </c>
      <c r="CN285" s="243" t="str">
        <f>VLOOKUP($A285,$A$31:$FD$46,COLUMN($CG$28),0)</f>
        <v>x</v>
      </c>
      <c r="CO285" s="243">
        <f ca="1">VLOOKUP($A285,$A$31:$FD$46,COLUMN($ET$28),0)</f>
        <v>110.85292520809088</v>
      </c>
      <c r="CP285" s="243"/>
      <c r="CQ285" s="243">
        <f ca="1">VLOOKUP($A285,$A$31:$FD$46,COLUMN($EU$28),0)</f>
        <v>142.78303479513994</v>
      </c>
      <c r="CR285" s="243"/>
      <c r="CT285" s="243"/>
      <c r="EV285" s="7"/>
      <c r="EZ285" s="684"/>
    </row>
    <row r="286" spans="1:162" x14ac:dyDescent="0.35">
      <c r="BU286" s="7"/>
      <c r="BY286" s="684"/>
      <c r="EV286" s="7"/>
      <c r="EZ286" s="684"/>
    </row>
    <row r="287" spans="1:162" x14ac:dyDescent="0.35">
      <c r="BU287" s="7"/>
      <c r="BY287" s="684"/>
      <c r="EV287" s="7"/>
      <c r="EZ287" s="684"/>
    </row>
    <row r="288" spans="1:162" ht="43.5" x14ac:dyDescent="0.45">
      <c r="A288" s="478" t="s">
        <v>200</v>
      </c>
      <c r="D288" s="249" t="s">
        <v>171</v>
      </c>
      <c r="E288" s="249" t="s">
        <v>176</v>
      </c>
      <c r="F288" s="249" t="s">
        <v>56</v>
      </c>
      <c r="G288" s="584" t="s">
        <v>62</v>
      </c>
      <c r="H288" s="249" t="s">
        <v>60</v>
      </c>
      <c r="I288" s="249" t="s">
        <v>67</v>
      </c>
      <c r="J288" s="249" t="s">
        <v>71</v>
      </c>
      <c r="K288" s="249" t="s">
        <v>72</v>
      </c>
      <c r="L288" s="249" t="s">
        <v>177</v>
      </c>
      <c r="M288" s="249" t="s">
        <v>63</v>
      </c>
      <c r="N288" s="249" t="s">
        <v>65</v>
      </c>
      <c r="O288" s="249" t="s">
        <v>66</v>
      </c>
      <c r="P288" s="829" t="s">
        <v>74</v>
      </c>
      <c r="Q288" s="829" t="s">
        <v>75</v>
      </c>
      <c r="R288" s="829" t="s">
        <v>178</v>
      </c>
      <c r="S288" s="829" t="s">
        <v>179</v>
      </c>
      <c r="T288" s="706" t="s">
        <v>172</v>
      </c>
      <c r="U288" s="706" t="s">
        <v>173</v>
      </c>
      <c r="BU288" s="7"/>
      <c r="BY288" s="684"/>
      <c r="CB288" s="402"/>
      <c r="CC288" s="402" t="s">
        <v>171</v>
      </c>
      <c r="CD288" s="249" t="s">
        <v>176</v>
      </c>
      <c r="CE288" s="249" t="s">
        <v>56</v>
      </c>
      <c r="CF288" s="584" t="s">
        <v>62</v>
      </c>
      <c r="CG288" s="249" t="s">
        <v>60</v>
      </c>
      <c r="CH288" s="694" t="s">
        <v>67</v>
      </c>
      <c r="CI288" s="249" t="s">
        <v>71</v>
      </c>
      <c r="CJ288" s="249" t="s">
        <v>72</v>
      </c>
      <c r="CK288" s="249" t="s">
        <v>177</v>
      </c>
      <c r="CL288" s="249" t="s">
        <v>63</v>
      </c>
      <c r="CM288" s="249" t="s">
        <v>65</v>
      </c>
      <c r="CN288" s="249" t="s">
        <v>66</v>
      </c>
      <c r="CO288" s="52" t="s">
        <v>172</v>
      </c>
      <c r="CP288" s="52"/>
      <c r="CQ288" s="52" t="s">
        <v>173</v>
      </c>
      <c r="CR288" s="52"/>
      <c r="CT288" s="52"/>
      <c r="EV288" s="7"/>
      <c r="EZ288" s="684"/>
    </row>
    <row r="289" spans="1:156" x14ac:dyDescent="0.35">
      <c r="A289" s="200" t="s">
        <v>158</v>
      </c>
      <c r="B289" s="7" t="s">
        <v>159</v>
      </c>
      <c r="C289" s="7" t="s">
        <v>160</v>
      </c>
      <c r="D289" s="243">
        <f ca="1">VLOOKUP($A289,$A$55:$FD$70,COLUMN($BE$52),0)</f>
        <v>790.8630239888322</v>
      </c>
      <c r="E289" s="243">
        <f ca="1">VLOOKUP($A289,$A$55:$FD$70,COLUMN($D$52),0)</f>
        <v>726.94198356164395</v>
      </c>
      <c r="F289" s="243"/>
      <c r="G289" s="243"/>
      <c r="H289" s="243"/>
      <c r="I289" s="243" t="str">
        <f>VLOOKUP($A289,$A$55:$FD$70,COLUMN($P$52),0)</f>
        <v>x</v>
      </c>
      <c r="J289" s="243"/>
      <c r="K289" s="243">
        <f ca="1">VLOOKUP($A289,$A$55:$FD$70,COLUMN($T$52),0)</f>
        <v>321.47824734462694</v>
      </c>
      <c r="L289" s="243">
        <f ca="1">VLOOKUP($A289,$A$55:$FD$70,COLUMN($H$52),0)</f>
        <v>1515.9319623417914</v>
      </c>
      <c r="M289" s="243"/>
      <c r="N289" s="243"/>
      <c r="O289" s="243"/>
      <c r="P289" s="243" t="str">
        <f t="shared" ref="P289" si="265">IF(VLOOKUP($A289,$A$55:$FD$70,COLUMN($U$28),0)="","",VLOOKUP($A289,$A$55:$FD$70,COLUMN($U$28),0))</f>
        <v>x</v>
      </c>
      <c r="Q289" s="243" t="str">
        <f t="shared" ref="Q289" si="266">IF(VLOOKUP($A289,$A$55:$FD$70,COLUMN($V$28),0)="","",VLOOKUP($A289,$A$55:$FD$70,COLUMN($V$28),0))</f>
        <v>x</v>
      </c>
      <c r="R289" s="243" t="str">
        <f t="shared" ref="R289" si="267">IF(VLOOKUP($A289,$A$55:$FD$70,COLUMN($W$28),0)="","",VLOOKUP($A289,$A$55:$FD$70,COLUMN($W$28),0))</f>
        <v>x</v>
      </c>
      <c r="S289" s="243" t="str">
        <f t="shared" ref="S289" si="268">IF(VLOOKUP($A289,$A$55:$FD$70,COLUMN($Y$28),0)="","",VLOOKUP($A289,$A$55:$FD$70,COLUMN($Y$28),0))</f>
        <v>x</v>
      </c>
      <c r="T289" s="26">
        <f ca="1">VLOOKUP($A289,$A$55:$FD$70,COLUMN($BJ$52),0)</f>
        <v>375.5078213153642</v>
      </c>
      <c r="U289" s="26">
        <f ca="1">VLOOKUP($A289,$A$55:$FD$70,COLUMN($BK$52),0)</f>
        <v>580.05515068236753</v>
      </c>
      <c r="BU289" s="7"/>
      <c r="BY289" s="684"/>
      <c r="CB289" s="200" t="s">
        <v>158</v>
      </c>
      <c r="CC289" s="243">
        <f ca="1">VLOOKUP($A289,$A$55:$FD$70,COLUMN($EO$52),0)</f>
        <v>1577.4663968903794</v>
      </c>
      <c r="CD289" s="243">
        <f ca="1">VLOOKUP($A289,$A$55:$FD$70,COLUMN($BV$52),0)</f>
        <v>1446.2807671232879</v>
      </c>
      <c r="CE289" s="243"/>
      <c r="CF289" s="243"/>
      <c r="CG289" s="243"/>
      <c r="CI289" s="243"/>
      <c r="CJ289" s="243">
        <f ca="1">VLOOKUP($A289,$A$55:$FD$70,COLUMN($CL$52),0)</f>
        <v>1608.9426000552728</v>
      </c>
      <c r="CK289" s="243">
        <f ca="1">VLOOKUP($A289,$A$55:$FD$70,COLUMN($BZ$52),0)</f>
        <v>2070.7327127938515</v>
      </c>
      <c r="CL289" s="243"/>
      <c r="CM289" s="243" t="str">
        <f>VLOOKUP($A289,$A$31:$FD$46,COLUMN($CF$28),0)</f>
        <v>x</v>
      </c>
      <c r="CN289" s="243" t="str">
        <f>VLOOKUP($A289,$A$31:$FD$46,COLUMN($CG$28),0)</f>
        <v>x</v>
      </c>
      <c r="CO289" s="243">
        <f ca="1">VLOOKUP($A289,$A$55:$FD$70,COLUMN($ET$52),0)</f>
        <v>104.94850381367314</v>
      </c>
      <c r="CP289" s="243"/>
      <c r="CQ289" s="243">
        <f ca="1">VLOOKUP($A289,$A$55:$FD$70,COLUMN($EU$52),0)</f>
        <v>394.61305272277764</v>
      </c>
      <c r="CR289" s="243"/>
      <c r="CT289" s="243"/>
      <c r="EV289" s="7"/>
      <c r="EZ289" s="684"/>
    </row>
    <row r="290" spans="1:156" x14ac:dyDescent="0.35">
      <c r="CI290" s="243"/>
      <c r="CJ290" s="243"/>
      <c r="CK290" s="243"/>
    </row>
    <row r="291" spans="1:156" x14ac:dyDescent="0.35"/>
    <row r="292" spans="1:156" x14ac:dyDescent="0.35"/>
    <row r="293" spans="1:156" x14ac:dyDescent="0.35"/>
    <row r="294" spans="1:156" x14ac:dyDescent="0.35"/>
    <row r="295" spans="1:156" x14ac:dyDescent="0.35"/>
    <row r="296" spans="1:156" x14ac:dyDescent="0.35"/>
    <row r="297" spans="1:156" x14ac:dyDescent="0.35"/>
    <row r="298" spans="1:156" x14ac:dyDescent="0.35"/>
    <row r="299" spans="1:156" x14ac:dyDescent="0.35"/>
    <row r="300" spans="1:156" x14ac:dyDescent="0.35"/>
    <row r="301" spans="1:156" x14ac:dyDescent="0.35"/>
    <row r="302" spans="1:156" x14ac:dyDescent="0.35"/>
    <row r="303" spans="1:156" x14ac:dyDescent="0.35"/>
    <row r="304" spans="1:156"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825" x14ac:dyDescent="0.35"/>
    <row r="3826" x14ac:dyDescent="0.35"/>
    <row r="3827" x14ac:dyDescent="0.35"/>
    <row r="3836" x14ac:dyDescent="0.35"/>
  </sheetData>
  <conditionalFormatting sqref="B4:B24">
    <cfRule type="cellIs" dxfId="85" priority="63" operator="equal">
      <formula>"Amber"</formula>
    </cfRule>
    <cfRule type="cellIs" dxfId="84" priority="62" operator="equal">
      <formula>"Amber / Red"</formula>
    </cfRule>
    <cfRule type="cellIs" dxfId="83" priority="61" operator="equal">
      <formula>"Green / Amber"</formula>
    </cfRule>
    <cfRule type="cellIs" dxfId="82" priority="64" operator="equal">
      <formula>"Red"</formula>
    </cfRule>
  </conditionalFormatting>
  <conditionalFormatting sqref="N4:N24">
    <cfRule type="cellIs" dxfId="81" priority="60" operator="equal">
      <formula>"Red"</formula>
    </cfRule>
    <cfRule type="cellIs" dxfId="80" priority="59" operator="equal">
      <formula>"Amber"</formula>
    </cfRule>
    <cfRule type="cellIs" dxfId="79" priority="58" operator="equal">
      <formula>"Amber / Red"</formula>
    </cfRule>
    <cfRule type="cellIs" dxfId="78" priority="57" operator="equal">
      <formula>"Green / Amber"</formula>
    </cfRule>
  </conditionalFormatting>
  <conditionalFormatting sqref="P4:P24">
    <cfRule type="cellIs" dxfId="77" priority="56" operator="equal">
      <formula>"Red"</formula>
    </cfRule>
    <cfRule type="cellIs" dxfId="76" priority="55" operator="equal">
      <formula>"Amber"</formula>
    </cfRule>
    <cfRule type="cellIs" dxfId="75" priority="54" operator="equal">
      <formula>"Amber / Red"</formula>
    </cfRule>
    <cfRule type="cellIs" dxfId="74" priority="53" operator="equal">
      <formula>"Green / Amber"</formula>
    </cfRule>
  </conditionalFormatting>
  <conditionalFormatting sqref="R4:R24">
    <cfRule type="cellIs" dxfId="73" priority="52" operator="equal">
      <formula>"Red"</formula>
    </cfRule>
    <cfRule type="cellIs" dxfId="72" priority="51" operator="equal">
      <formula>"Amber"</formula>
    </cfRule>
    <cfRule type="cellIs" dxfId="71" priority="50" operator="equal">
      <formula>"Amber / Red"</formula>
    </cfRule>
    <cfRule type="cellIs" dxfId="70" priority="49" operator="equal">
      <formula>"Green / Amber"</formula>
    </cfRule>
  </conditionalFormatting>
  <conditionalFormatting sqref="T4:T24">
    <cfRule type="cellIs" dxfId="69" priority="48" operator="equal">
      <formula>"Red"</formula>
    </cfRule>
    <cfRule type="cellIs" dxfId="68" priority="47" operator="equal">
      <formula>"Amber"</formula>
    </cfRule>
    <cfRule type="cellIs" dxfId="67" priority="46" operator="equal">
      <formula>"Amber / Red"</formula>
    </cfRule>
    <cfRule type="cellIs" dxfId="66" priority="45" operator="equal">
      <formula>"Green / Amber"</formula>
    </cfRule>
  </conditionalFormatting>
  <conditionalFormatting sqref="V4:V24">
    <cfRule type="cellIs" dxfId="65" priority="41" operator="equal">
      <formula>"Green / Amber"</formula>
    </cfRule>
    <cfRule type="cellIs" dxfId="64" priority="44" operator="equal">
      <formula>"Red"</formula>
    </cfRule>
    <cfRule type="cellIs" dxfId="63" priority="43" operator="equal">
      <formula>"Amber"</formula>
    </cfRule>
    <cfRule type="cellIs" dxfId="62" priority="42" operator="equal">
      <formula>"Amber / Red"</formula>
    </cfRule>
  </conditionalFormatting>
  <conditionalFormatting sqref="X4:X24">
    <cfRule type="cellIs" dxfId="61" priority="40" operator="equal">
      <formula>"Red"</formula>
    </cfRule>
    <cfRule type="cellIs" dxfId="60" priority="39" operator="equal">
      <formula>"Amber"</formula>
    </cfRule>
    <cfRule type="cellIs" dxfId="59" priority="38" operator="equal">
      <formula>"Amber / Red"</formula>
    </cfRule>
    <cfRule type="cellIs" dxfId="58" priority="37" operator="equal">
      <formula>"Green / Amber"</formula>
    </cfRule>
  </conditionalFormatting>
  <conditionalFormatting sqref="Z4:Z24">
    <cfRule type="cellIs" dxfId="57" priority="33" operator="equal">
      <formula>"Green / Amber"</formula>
    </cfRule>
    <cfRule type="cellIs" dxfId="56" priority="34" operator="equal">
      <formula>"Amber / Red"</formula>
    </cfRule>
    <cfRule type="cellIs" dxfId="55" priority="35" operator="equal">
      <formula>"Amber"</formula>
    </cfRule>
    <cfRule type="cellIs" dxfId="54" priority="36" operator="equal">
      <formula>"Red"</formula>
    </cfRule>
  </conditionalFormatting>
  <conditionalFormatting sqref="AB4:AB24">
    <cfRule type="cellIs" dxfId="53" priority="32" operator="equal">
      <formula>"Red"</formula>
    </cfRule>
    <cfRule type="cellIs" dxfId="52" priority="31" operator="equal">
      <formula>"Amber"</formula>
    </cfRule>
    <cfRule type="cellIs" dxfId="51" priority="30" operator="equal">
      <formula>"Amber / Red"</formula>
    </cfRule>
    <cfRule type="cellIs" dxfId="50" priority="29" operator="equal">
      <formula>"Green / Amber"</formula>
    </cfRule>
  </conditionalFormatting>
  <conditionalFormatting sqref="AD4:AD24">
    <cfRule type="cellIs" dxfId="49" priority="25" operator="equal">
      <formula>"Green / Amber"</formula>
    </cfRule>
    <cfRule type="cellIs" dxfId="48" priority="28" operator="equal">
      <formula>"Red"</formula>
    </cfRule>
    <cfRule type="cellIs" dxfId="47" priority="27" operator="equal">
      <formula>"Amber"</formula>
    </cfRule>
    <cfRule type="cellIs" dxfId="46" priority="26" operator="equal">
      <formula>"Amber / Red"</formula>
    </cfRule>
  </conditionalFormatting>
  <conditionalFormatting sqref="AF4:AF24">
    <cfRule type="cellIs" dxfId="45" priority="24" operator="equal">
      <formula>"Red"</formula>
    </cfRule>
    <cfRule type="cellIs" dxfId="44" priority="23" operator="equal">
      <formula>"Amber"</formula>
    </cfRule>
    <cfRule type="cellIs" dxfId="43" priority="22" operator="equal">
      <formula>"Amber / Red"</formula>
    </cfRule>
    <cfRule type="cellIs" dxfId="42" priority="21" operator="equal">
      <formula>"Green / Amber"</formula>
    </cfRule>
  </conditionalFormatting>
  <conditionalFormatting sqref="AH4:AH24">
    <cfRule type="cellIs" dxfId="41" priority="17" operator="equal">
      <formula>"Green / Amber"</formula>
    </cfRule>
    <cfRule type="cellIs" dxfId="40" priority="20" operator="equal">
      <formula>"Red"</formula>
    </cfRule>
    <cfRule type="cellIs" dxfId="39" priority="19" operator="equal">
      <formula>"Amber"</formula>
    </cfRule>
    <cfRule type="cellIs" dxfId="38" priority="18" operator="equal">
      <formula>"Amber / Red"</formula>
    </cfRule>
  </conditionalFormatting>
  <conditionalFormatting sqref="AJ4:AJ24">
    <cfRule type="cellIs" dxfId="37" priority="8" operator="equal">
      <formula>"Red"</formula>
    </cfRule>
    <cfRule type="cellIs" dxfId="36" priority="7" operator="equal">
      <formula>"Amber"</formula>
    </cfRule>
    <cfRule type="cellIs" dxfId="35" priority="6" operator="equal">
      <formula>"Amber / Red"</formula>
    </cfRule>
    <cfRule type="cellIs" dxfId="34" priority="5" operator="equal">
      <formula>"Green / Amber"</formula>
    </cfRule>
  </conditionalFormatting>
  <conditionalFormatting sqref="AL4:AL24">
    <cfRule type="cellIs" dxfId="33" priority="16" operator="equal">
      <formula>"Red"</formula>
    </cfRule>
    <cfRule type="cellIs" dxfId="32" priority="15" operator="equal">
      <formula>"Amber"</formula>
    </cfRule>
    <cfRule type="cellIs" dxfId="31" priority="14" operator="equal">
      <formula>"Amber / Red"</formula>
    </cfRule>
    <cfRule type="cellIs" dxfId="30" priority="13" operator="equal">
      <formula>"Green / Amber"</formula>
    </cfRule>
  </conditionalFormatting>
  <conditionalFormatting sqref="AM4:AM24">
    <cfRule type="expression" dxfId="29" priority="3">
      <formula>$AB$3&lt;$Z4</formula>
    </cfRule>
    <cfRule type="expression" dxfId="28" priority="4">
      <formula>AM4&gt;$Z4</formula>
    </cfRule>
  </conditionalFormatting>
  <conditionalFormatting sqref="AN4:AN24">
    <cfRule type="cellIs" dxfId="27" priority="9" operator="equal">
      <formula>"Green / Amber"</formula>
    </cfRule>
    <cfRule type="cellIs" dxfId="26" priority="12" operator="equal">
      <formula>"Red"</formula>
    </cfRule>
    <cfRule type="cellIs" dxfId="25" priority="11" operator="equal">
      <formula>"Amber"</formula>
    </cfRule>
    <cfRule type="cellIs" dxfId="24" priority="10" operator="equal">
      <formula>"Amber / Red"</formula>
    </cfRule>
  </conditionalFormatting>
  <conditionalFormatting sqref="AO4:AO24">
    <cfRule type="expression" dxfId="23" priority="2">
      <formula>AO4&gt;$Z4</formula>
    </cfRule>
    <cfRule type="expression" dxfId="22" priority="1">
      <formula>AO4&lt;$Z4</formula>
    </cfRule>
  </conditionalFormatting>
  <dataValidations count="1">
    <dataValidation type="list" allowBlank="1" showInputMessage="1" showErrorMessage="1" sqref="R4:R20 P4:P24 B4:B24" xr:uid="{00000000-0002-0000-0400-000000000000}">
      <formula1>RAG</formula1>
    </dataValidation>
  </dataValidations>
  <hyperlinks>
    <hyperlink ref="A11" location="Customer_Contacts" display="Customer contacts" xr:uid="{00000000-0004-0000-0400-000000000000}"/>
    <hyperlink ref="A10" location="'Customer priorities'!A1" display="Priorities" xr:uid="{00000000-0004-0000-0400-000001000000}"/>
    <hyperlink ref="A12" location="Customer_Satisfaction" display="Customer satisfaction" xr:uid="{00000000-0004-0000-0400-000002000000}"/>
    <hyperlink ref="A17" location="External_WTP" display="External WTP" xr:uid="{00000000-0004-0000-0400-000003000000}"/>
    <hyperlink ref="A14" location="WRMP_core_online_results" display="WRMP online" xr:uid="{00000000-0004-0000-0400-000004000000}"/>
    <hyperlink ref="A15" location="WRMP_core_workshop_results" display="WRMP workshops" xr:uid="{00000000-0004-0000-0400-000005000000}"/>
    <hyperlink ref="A13" location="SSW_WTP_PR14" display="SSW WTP PR14" xr:uid="{00000000-0004-0000-0400-000006000000}"/>
    <hyperlink ref="A5" location="WTP_core_Maxdiff" display="WTP core_MaxDiff" xr:uid="{00000000-0004-0000-0400-000007000000}"/>
    <hyperlink ref="A16" location="ExternalWTP14!A1" display="ExternalWTP14" xr:uid="{00000000-0004-0000-0400-000008000000}"/>
    <hyperlink ref="A4" location="'WTP core_DCE'!A1" display="WTPCore_DCE" xr:uid="{00000000-0004-0000-0400-00000A000000}"/>
    <hyperlink ref="A6" location="WTPCore_DCE2!A1" display="WTPCore_DCE2" xr:uid="{00000000-0004-0000-0400-00000B000000}"/>
    <hyperlink ref="A8" location="WTPCore_DCE2_LowBill!A1" display="WTPCore_DCE2_LowBill" xr:uid="{00000000-0004-0000-0400-00000C000000}"/>
  </hyperlinks>
  <pageMargins left="0.7" right="0.7" top="0.75" bottom="0.75" header="0.3" footer="0.3"/>
  <pageSetup paperSize="9" orientation="portrait" r:id="rId1"/>
  <ignoredErrors>
    <ignoredError sqref="DF65 DB60:DB61 AJ6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69850</xdr:colOff>
                    <xdr:row>2</xdr:row>
                    <xdr:rowOff>38100</xdr:rowOff>
                  </from>
                  <to>
                    <xdr:col>7</xdr:col>
                    <xdr:colOff>819150</xdr:colOff>
                    <xdr:row>2</xdr:row>
                    <xdr:rowOff>247650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8</xdr:col>
                    <xdr:colOff>69850</xdr:colOff>
                    <xdr:row>2</xdr:row>
                    <xdr:rowOff>31750</xdr:rowOff>
                  </from>
                  <to>
                    <xdr:col>10</xdr:col>
                    <xdr:colOff>19050</xdr:colOff>
                    <xdr:row>2</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AC41"/>
  <sheetViews>
    <sheetView topLeftCell="B1" zoomScale="80" zoomScaleNormal="80" workbookViewId="0">
      <selection activeCell="C5" sqref="C5:AC20"/>
    </sheetView>
  </sheetViews>
  <sheetFormatPr defaultRowHeight="14.5" x14ac:dyDescent="0.35"/>
  <cols>
    <col min="1" max="1" width="46.7265625" bestFit="1" customWidth="1"/>
    <col min="2" max="2" width="21.81640625" customWidth="1"/>
    <col min="3" max="3" width="12" customWidth="1"/>
    <col min="4" max="4" width="9.1796875" customWidth="1"/>
    <col min="5" max="5" width="9.26953125" customWidth="1"/>
    <col min="6" max="6" width="12" customWidth="1"/>
    <col min="7" max="7" width="9.26953125" customWidth="1"/>
    <col min="8" max="8" width="10.81640625" customWidth="1"/>
    <col min="9" max="9" width="16.81640625" customWidth="1"/>
    <col min="10" max="10" width="9.1796875" customWidth="1"/>
    <col min="11" max="11" width="10.81640625" customWidth="1"/>
    <col min="12" max="12" width="12" customWidth="1"/>
    <col min="13" max="14" width="9.1796875" customWidth="1"/>
    <col min="15" max="15" width="13.54296875" customWidth="1"/>
    <col min="16" max="16" width="9.1796875" customWidth="1"/>
    <col min="17" max="17" width="10.81640625" customWidth="1"/>
    <col min="18" max="18" width="13.54296875" customWidth="1"/>
    <col min="19" max="19" width="9.1796875" customWidth="1"/>
    <col min="20" max="20" width="10.81640625" customWidth="1"/>
    <col min="21" max="21" width="12" bestFit="1" customWidth="1"/>
    <col min="24" max="24" width="12" bestFit="1" customWidth="1"/>
    <col min="26" max="26" width="10.81640625" bestFit="1" customWidth="1"/>
    <col min="27" max="27" width="13.54296875" bestFit="1" customWidth="1"/>
    <col min="29" max="29" width="10.81640625" bestFit="1" customWidth="1"/>
  </cols>
  <sheetData>
    <row r="1" spans="1:29" ht="28.5" x14ac:dyDescent="0.65">
      <c r="A1" s="76" t="s">
        <v>201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row>
    <row r="2" spans="1:29" ht="23.5" x14ac:dyDescent="0.55000000000000004">
      <c r="A2" s="51"/>
      <c r="B2" s="51"/>
      <c r="C2" s="126" t="s">
        <v>24</v>
      </c>
      <c r="D2" s="126"/>
      <c r="E2" s="126"/>
      <c r="F2" s="126"/>
      <c r="G2" s="126"/>
      <c r="H2" s="126"/>
      <c r="I2" s="126"/>
      <c r="J2" s="126"/>
      <c r="K2" s="126"/>
      <c r="L2" s="731" t="s">
        <v>26</v>
      </c>
      <c r="M2" s="732"/>
      <c r="N2" s="732"/>
      <c r="O2" s="732"/>
      <c r="P2" s="732"/>
      <c r="Q2" s="732"/>
      <c r="R2" s="732"/>
      <c r="S2" s="732"/>
      <c r="T2" s="732"/>
      <c r="U2" s="713" t="s">
        <v>202</v>
      </c>
      <c r="V2" s="713"/>
      <c r="W2" s="713"/>
      <c r="X2" s="713"/>
      <c r="Y2" s="713"/>
      <c r="Z2" s="713"/>
      <c r="AA2" s="713"/>
      <c r="AB2" s="713"/>
      <c r="AC2" s="713"/>
    </row>
    <row r="3" spans="1:29" x14ac:dyDescent="0.35">
      <c r="A3" s="733" t="s">
        <v>203</v>
      </c>
      <c r="B3" s="733"/>
      <c r="C3" s="734" t="s">
        <v>21</v>
      </c>
      <c r="D3" s="734"/>
      <c r="E3" s="734"/>
      <c r="F3" s="734" t="s">
        <v>22</v>
      </c>
      <c r="G3" s="734"/>
      <c r="H3" s="734"/>
      <c r="I3" s="734" t="s">
        <v>174</v>
      </c>
      <c r="J3" s="734"/>
      <c r="K3" s="734"/>
      <c r="L3" s="734" t="s">
        <v>21</v>
      </c>
      <c r="M3" s="734"/>
      <c r="N3" s="734"/>
      <c r="O3" s="734" t="s">
        <v>22</v>
      </c>
      <c r="P3" s="734"/>
      <c r="Q3" s="734"/>
      <c r="R3" s="734" t="s">
        <v>174</v>
      </c>
      <c r="S3" s="734"/>
      <c r="T3" s="734"/>
      <c r="U3" s="734" t="s">
        <v>21</v>
      </c>
      <c r="V3" s="734"/>
      <c r="W3" s="734"/>
      <c r="X3" s="734" t="s">
        <v>22</v>
      </c>
      <c r="Y3" s="734"/>
      <c r="Z3" s="734"/>
      <c r="AA3" s="734" t="s">
        <v>174</v>
      </c>
      <c r="AB3" s="734"/>
      <c r="AC3" s="734"/>
    </row>
    <row r="4" spans="1:29" x14ac:dyDescent="0.35">
      <c r="A4" s="724"/>
      <c r="B4" s="725" t="s">
        <v>124</v>
      </c>
      <c r="C4" s="726" t="s">
        <v>204</v>
      </c>
      <c r="D4" s="726" t="s">
        <v>205</v>
      </c>
      <c r="E4" s="726" t="s">
        <v>206</v>
      </c>
      <c r="F4" s="726" t="s">
        <v>204</v>
      </c>
      <c r="G4" s="726" t="s">
        <v>205</v>
      </c>
      <c r="H4" s="726" t="s">
        <v>206</v>
      </c>
      <c r="I4" s="726" t="s">
        <v>204</v>
      </c>
      <c r="J4" s="726" t="s">
        <v>205</v>
      </c>
      <c r="K4" s="726" t="s">
        <v>206</v>
      </c>
      <c r="L4" s="726" t="s">
        <v>204</v>
      </c>
      <c r="M4" s="726" t="s">
        <v>205</v>
      </c>
      <c r="N4" s="726" t="s">
        <v>206</v>
      </c>
      <c r="O4" s="726" t="s">
        <v>204</v>
      </c>
      <c r="P4" s="726" t="s">
        <v>205</v>
      </c>
      <c r="Q4" s="726" t="s">
        <v>206</v>
      </c>
      <c r="R4" s="726" t="s">
        <v>204</v>
      </c>
      <c r="S4" s="726" t="s">
        <v>205</v>
      </c>
      <c r="T4" s="726" t="s">
        <v>206</v>
      </c>
      <c r="U4" s="726" t="s">
        <v>204</v>
      </c>
      <c r="V4" s="726" t="s">
        <v>205</v>
      </c>
      <c r="W4" s="726" t="s">
        <v>206</v>
      </c>
      <c r="X4" s="726" t="s">
        <v>204</v>
      </c>
      <c r="Y4" s="726" t="s">
        <v>205</v>
      </c>
      <c r="Z4" s="726" t="s">
        <v>206</v>
      </c>
      <c r="AA4" s="726" t="s">
        <v>204</v>
      </c>
      <c r="AB4" s="726" t="s">
        <v>205</v>
      </c>
      <c r="AC4" s="726" t="s">
        <v>206</v>
      </c>
    </row>
    <row r="5" spans="1:29" x14ac:dyDescent="0.35">
      <c r="A5" s="727" t="s">
        <v>125</v>
      </c>
      <c r="B5" s="491" t="s">
        <v>127</v>
      </c>
      <c r="C5" s="728">
        <f ca="1">INDEX(SSW_WTP_HH,MATCH($A5,SSC_WTP_OPTIONS,0))</f>
        <v>76407.098861916034</v>
      </c>
      <c r="D5" s="729">
        <f ca="1">0.8*INDEX(SSW_MINWTP_HH,MATCH($A5,SSC_WTP_OPTIONS,0))+0.2*C5</f>
        <v>15290.984667308676</v>
      </c>
      <c r="E5" s="729">
        <f ca="1">0.8*INDEX(SSW_MAXWTP_HH,MATCH($A5,SSC_WTP_OPTIONS,0))+0.2*C5</f>
        <v>334205.10896974301</v>
      </c>
      <c r="F5" s="728">
        <f ca="1">INDEX(SSW_WTP_NHH,MATCH($A5,SSC_WTP_OPTIONS,0))</f>
        <v>7622.6095930999772</v>
      </c>
      <c r="G5" s="729">
        <f ca="1">0.8*INDEX(SSW_MINWTP_NHH,MATCH($A5,SSC_WTP_OPTIONS,0))+0.2*F5</f>
        <v>1562.6060264896446</v>
      </c>
      <c r="H5" s="729">
        <f t="shared" ref="H5:H20" ca="1" si="0">0.8*INDEX(SSW_MAXWTP_NHH,MATCH($A5,SSC_WTP_OPTIONS,0))+0.2*F5</f>
        <v>15556.19829111648</v>
      </c>
      <c r="I5" s="728">
        <f ca="1">INDEX(SSW_WTP_ALL,MATCH($A5,SSC_WTP_OPTIONS,0))</f>
        <v>84029.708455016007</v>
      </c>
      <c r="J5" s="729">
        <f ca="1">0.8*INDEX(SSW_MINWTP_ALL,MATCH($A5,SSC_WTP_OPTIONS,0))+0.2*I5</f>
        <v>16853.59069379832</v>
      </c>
      <c r="K5" s="729">
        <f t="shared" ref="K5:K20" ca="1" si="1">0.8*INDEX(SSW_MAXWTP_ALL,MATCH($A5,SSC_WTP_OPTIONS,0))+0.2*I5</f>
        <v>349761.30726085947</v>
      </c>
      <c r="L5" s="728">
        <f ca="1">INDEX(CAM_WTP_HH,MATCH($A5,SSC_WTP_OPTIONS,0))</f>
        <v>25481.516128957282</v>
      </c>
      <c r="M5" s="729">
        <f ca="1">0.8*INDEX(CAM_MINWTP_HH,MATCH($A5,SSC_WTP_OPTIONS,0))+0.2*L5</f>
        <v>5109.3085601627263</v>
      </c>
      <c r="N5" s="729">
        <f t="shared" ref="N5:N20" ca="1" si="2">0.8*INDEX(CAM_MAXWTP_HH,MATCH($A5,SSC_WTP_OPTIONS,0))+0.2*L5</f>
        <v>110081.14844918781</v>
      </c>
      <c r="O5" s="728">
        <f ca="1">INDEX(CAM_WTP_NHH,MATCH($A5,SSC_WTP_OPTIONS,0))</f>
        <v>6972.4197788726624</v>
      </c>
      <c r="P5" s="729">
        <f ca="1">0.8*INDEX(CAM_MINWTP_NHH,MATCH($A5,SSC_WTP_OPTIONS,0))+0.2*O5</f>
        <v>1492.6532007621847</v>
      </c>
      <c r="Q5" s="729">
        <f t="shared" ref="Q5:Q20" ca="1" si="3">0.8*INDEX(CAM_MAXWTP_NHH,MATCH($A5,SSC_WTP_OPTIONS,0))+0.2*O5</f>
        <v>13129.865205774533</v>
      </c>
      <c r="R5" s="728">
        <f ca="1">INDEX(CAM_WTP_ALL,MATCH($A5,SSC_WTP_OPTIONS,0))</f>
        <v>32453.935907829946</v>
      </c>
      <c r="S5" s="729">
        <f ca="1">0.8*INDEX(CAM_MINWTP_ALL,MATCH($A5,SSC_WTP_OPTIONS,0))+0.2*R5</f>
        <v>6601.9617609249117</v>
      </c>
      <c r="T5" s="729">
        <f t="shared" ref="T5:T20" ca="1" si="4">0.8*INDEX(CAM_MAXWTP_ALL,MATCH($A5,SSC_WTP_OPTIONS,0))+0.2*R5</f>
        <v>123211.01365496234</v>
      </c>
      <c r="U5" s="728">
        <f ca="1">INDEX(SSC_WTP_HH,MATCH($A5,SSC_WTP_OPTIONS,0))</f>
        <v>66160.28212357474</v>
      </c>
      <c r="V5" s="729">
        <f t="shared" ref="V5:V20" ca="1" si="5">0.8*INDEX(SSC_MINWTP_HH,MATCH($A5,SSC_WTP_OPTIONS,0))+0.2*U5</f>
        <v>13242.313575881948</v>
      </c>
      <c r="W5" s="729">
        <f t="shared" ref="W5:W20" ca="1" si="6">0.8*INDEX(SSC_MAXWTP_HH,MATCH($A5,SSC_WTP_OPTIONS,0))+0.2*U5</f>
        <v>289108.77375119581</v>
      </c>
      <c r="X5" s="728">
        <f ca="1">INDEX(SSC_WTP_NHH,MATCH($A5,SSC_WTP_OPTIONS,0))</f>
        <v>7477.808377863038</v>
      </c>
      <c r="Y5" s="729">
        <f t="shared" ref="Y5:Y20" ca="1" si="7">0.8*INDEX(SSC_MINWTP_NHH,MATCH($A5,SSC_WTP_OPTIONS,0))+0.2*X5</f>
        <v>1547.0271079139488</v>
      </c>
      <c r="Z5" s="729">
        <f t="shared" ref="Z5:Z20" ca="1" si="8">0.8*INDEX(SSC_MAXWTP_NHH,MATCH($A5,SSC_WTP_OPTIONS,0))+0.2*X5</f>
        <v>15015.839196527108</v>
      </c>
      <c r="AA5" s="728">
        <f ca="1">INDEX(SSC_WTP_ALL,MATCH($A5,SSC_WTP_OPTIONS,0))</f>
        <v>73592.156136015474</v>
      </c>
      <c r="AB5" s="729">
        <f t="shared" ref="AB5:AB20" ca="1" si="9">0.8*INDEX(SSC_MINWTP_ALL,MATCH($A5,SSC_WTP_OPTIONS,0))+0.2*AA5</f>
        <v>14778.93610197517</v>
      </c>
      <c r="AC5" s="729">
        <f t="shared" ref="AC5:AC20" ca="1" si="10">0.8*INDEX(SSC_MAXWTP_ALL,MATCH($A5,SSC_WTP_OPTIONS,0))+0.2*AA5</f>
        <v>303913.60735034221</v>
      </c>
    </row>
    <row r="6" spans="1:29" x14ac:dyDescent="0.35">
      <c r="A6" s="727" t="s">
        <v>129</v>
      </c>
      <c r="B6" s="491" t="s">
        <v>127</v>
      </c>
      <c r="C6" s="728">
        <f t="shared" ref="C6:C19" ca="1" si="11">INDEX(SSW_WTP_HH,MATCH($A6,SSC_WTP_OPTIONS,0))</f>
        <v>85.822087531625911</v>
      </c>
      <c r="D6" s="729">
        <f t="shared" ref="D6:D20" ca="1" si="12">0.8*INDEX(SSW_MINWTP_HH,MATCH($A6,SSC_WTP_OPTIONS,0))+0.2*C6</f>
        <v>17.164417506325183</v>
      </c>
      <c r="E6" s="729">
        <f t="shared" ref="E6:E20" ca="1" si="13">0.8*INDEX(SSW_MAXWTP_HH,MATCH($A6,SSC_WTP_OPTIONS,0))+0.2*C6</f>
        <v>130.12527328637006</v>
      </c>
      <c r="F6" s="728">
        <f t="shared" ref="F6:F15" ca="1" si="14">INDEX(SSW_WTP_NHH,MATCH($A6,SSC_WTP_OPTIONS,0))</f>
        <v>1749.8856613397638</v>
      </c>
      <c r="G6" s="729">
        <f t="shared" ref="G6:G20" ca="1" si="15">0.8*INDEX(SSW_MINWTP_NHH,MATCH($A6,SSC_WTP_OPTIONS,0))+0.2*F6</f>
        <v>349.97713226795281</v>
      </c>
      <c r="H6" s="729">
        <f t="shared" ca="1" si="0"/>
        <v>4782.0443197679524</v>
      </c>
      <c r="I6" s="728">
        <f t="shared" ref="I6:I20" ca="1" si="16">INDEX(SSW_WTP_ALL,MATCH($A6,SSC_WTP_OPTIONS,0))</f>
        <v>1835.7077488713896</v>
      </c>
      <c r="J6" s="729">
        <f t="shared" ref="J6:J20" ca="1" si="17">0.8*INDEX(SSW_MINWTP_ALL,MATCH($A6,SSC_WTP_OPTIONS,0))+0.2*I6</f>
        <v>367.14154977427796</v>
      </c>
      <c r="K6" s="729">
        <f t="shared" ca="1" si="1"/>
        <v>4912.1695930543237</v>
      </c>
      <c r="L6" s="728">
        <f t="shared" ref="L6:L20" ca="1" si="18">INDEX(CAM_WTP_HH,MATCH($A6,SSC_WTP_OPTIONS,0))</f>
        <v>279.08191297253887</v>
      </c>
      <c r="M6" s="729">
        <f t="shared" ref="M6:M20" ca="1" si="19">0.8*INDEX(CAM_MINWTP_HH,MATCH($A6,SSC_WTP_OPTIONS,0))+0.2*L6</f>
        <v>55.816382594507779</v>
      </c>
      <c r="N6" s="729">
        <f t="shared" ca="1" si="2"/>
        <v>546.33150442991189</v>
      </c>
      <c r="O6" s="728">
        <f t="shared" ref="O6:O15" ca="1" si="20">INDEX(CAM_WTP_NHH,MATCH($A6,SSC_WTP_OPTIONS,0))</f>
        <v>2475.9075697462099</v>
      </c>
      <c r="P6" s="729">
        <f t="shared" ref="P6:P20" ca="1" si="21">0.8*INDEX(CAM_MINWTP_NHH,MATCH($A6,SSC_WTP_OPTIONS,0))+0.2*O6</f>
        <v>495.181513949242</v>
      </c>
      <c r="Q6" s="729">
        <f t="shared" ca="1" si="3"/>
        <v>4927.2487014492417</v>
      </c>
      <c r="R6" s="728">
        <f t="shared" ref="R6:R20" ca="1" si="22">INDEX(CAM_WTP_ALL,MATCH($A6,SSC_WTP_OPTIONS,0))</f>
        <v>2754.9894827187486</v>
      </c>
      <c r="S6" s="729">
        <f t="shared" ref="S6:S20" ca="1" si="23">0.8*INDEX(CAM_MINWTP_ALL,MATCH($A6,SSC_WTP_OPTIONS,0))+0.2*R6</f>
        <v>550.99789654374979</v>
      </c>
      <c r="T6" s="729">
        <f t="shared" ca="1" si="4"/>
        <v>5473.5802058791542</v>
      </c>
      <c r="U6" s="728">
        <f t="shared" ref="U6:U20" ca="1" si="24">INDEX(SSC_WTP_HH,MATCH($A6,SSC_WTP_OPTIONS,0))</f>
        <v>124.70820150230071</v>
      </c>
      <c r="V6" s="729">
        <f t="shared" ca="1" si="5"/>
        <v>24.941640300460143</v>
      </c>
      <c r="W6" s="729">
        <f t="shared" ca="1" si="6"/>
        <v>213.87078481536113</v>
      </c>
      <c r="X6" s="728">
        <f t="shared" ref="X6:X15" ca="1" si="25">INDEX(SSC_WTP_NHH,MATCH($A6,SSC_WTP_OPTIONS,0))</f>
        <v>1911.5751438962229</v>
      </c>
      <c r="Y6" s="729">
        <f t="shared" ca="1" si="7"/>
        <v>382.31502877924459</v>
      </c>
      <c r="Z6" s="729">
        <f t="shared" ca="1" si="8"/>
        <v>4814.3822162792439</v>
      </c>
      <c r="AA6" s="728">
        <f t="shared" ref="AA6:AA20" ca="1" si="26">INDEX(SSC_WTP_ALL,MATCH($A6,SSC_WTP_OPTIONS,0))</f>
        <v>2021.7457027218131</v>
      </c>
      <c r="AB6" s="729">
        <f t="shared" ca="1" si="9"/>
        <v>404.34914054436263</v>
      </c>
      <c r="AC6" s="729">
        <f t="shared" ca="1" si="10"/>
        <v>5025.7840355416429</v>
      </c>
    </row>
    <row r="7" spans="1:29" x14ac:dyDescent="0.35">
      <c r="A7" s="727" t="s">
        <v>131</v>
      </c>
      <c r="B7" s="491" t="s">
        <v>127</v>
      </c>
      <c r="C7" s="728">
        <f t="shared" ca="1" si="11"/>
        <v>115.36542928251625</v>
      </c>
      <c r="D7" s="729">
        <f t="shared" ca="1" si="12"/>
        <v>23.073085856503251</v>
      </c>
      <c r="E7" s="729">
        <f t="shared" ca="1" si="13"/>
        <v>364.82351547044885</v>
      </c>
      <c r="F7" s="728">
        <f t="shared" ca="1" si="14"/>
        <v>1864.5747735639102</v>
      </c>
      <c r="G7" s="729">
        <f t="shared" ca="1" si="15"/>
        <v>372.91495471278205</v>
      </c>
      <c r="H7" s="729">
        <f t="shared" ca="1" si="0"/>
        <v>6577.9696422127818</v>
      </c>
      <c r="I7" s="728">
        <f t="shared" ca="1" si="16"/>
        <v>1979.9402028464265</v>
      </c>
      <c r="J7" s="729">
        <f t="shared" ca="1" si="17"/>
        <v>395.98804056928532</v>
      </c>
      <c r="K7" s="729">
        <f t="shared" ca="1" si="1"/>
        <v>6942.7931576832316</v>
      </c>
      <c r="L7" s="728">
        <f t="shared" ca="1" si="18"/>
        <v>132.85257747554425</v>
      </c>
      <c r="M7" s="729">
        <f t="shared" ca="1" si="19"/>
        <v>26.57051549510885</v>
      </c>
      <c r="N7" s="729">
        <f t="shared" ca="1" si="2"/>
        <v>664.8586215509215</v>
      </c>
      <c r="O7" s="728">
        <f t="shared" ca="1" si="20"/>
        <v>2518.0655264835627</v>
      </c>
      <c r="P7" s="729">
        <f t="shared" ca="1" si="21"/>
        <v>503.61310529671255</v>
      </c>
      <c r="Q7" s="729">
        <f t="shared" ca="1" si="3"/>
        <v>6708.6677927967121</v>
      </c>
      <c r="R7" s="728">
        <f t="shared" ca="1" si="22"/>
        <v>2650.9181039591072</v>
      </c>
      <c r="S7" s="729">
        <f t="shared" ca="1" si="23"/>
        <v>530.18362079182145</v>
      </c>
      <c r="T7" s="729">
        <f t="shared" ca="1" si="4"/>
        <v>7373.5264143476343</v>
      </c>
      <c r="U7" s="728">
        <f t="shared" ca="1" si="24"/>
        <v>118.88404592260046</v>
      </c>
      <c r="V7" s="729">
        <f t="shared" ca="1" si="5"/>
        <v>23.776809184520094</v>
      </c>
      <c r="W7" s="729">
        <f t="shared" ca="1" si="6"/>
        <v>425.19405189016572</v>
      </c>
      <c r="X7" s="728">
        <f t="shared" ca="1" si="25"/>
        <v>2010.1111278688779</v>
      </c>
      <c r="Y7" s="729">
        <f t="shared" ca="1" si="7"/>
        <v>402.02222557377559</v>
      </c>
      <c r="Z7" s="729">
        <f t="shared" ca="1" si="8"/>
        <v>6607.0769130737754</v>
      </c>
      <c r="AA7" s="728">
        <f t="shared" ca="1" si="26"/>
        <v>2115.7281242265567</v>
      </c>
      <c r="AB7" s="729">
        <f t="shared" ca="1" si="9"/>
        <v>423.14562484531137</v>
      </c>
      <c r="AC7" s="729">
        <f t="shared" ca="1" si="10"/>
        <v>7029.9620100325601</v>
      </c>
    </row>
    <row r="8" spans="1:29" x14ac:dyDescent="0.35">
      <c r="A8" s="727" t="s">
        <v>133</v>
      </c>
      <c r="B8" s="491" t="s">
        <v>127</v>
      </c>
      <c r="C8" s="728">
        <f ca="1">INDEX(SSW_WTP_HH,MATCH($A8,SSC_WTP_OPTIONS,0))</f>
        <v>13.304326831287657</v>
      </c>
      <c r="D8" s="729">
        <f t="shared" ca="1" si="12"/>
        <v>2.6608653662575317</v>
      </c>
      <c r="E8" s="729">
        <f t="shared" ca="1" si="13"/>
        <v>23.168802629286031</v>
      </c>
      <c r="F8" s="728">
        <f t="shared" ca="1" si="14"/>
        <v>26.328187080823877</v>
      </c>
      <c r="G8" s="729">
        <f t="shared" ca="1" si="15"/>
        <v>5.2656374161647754</v>
      </c>
      <c r="H8" s="729">
        <f t="shared" ca="1" si="0"/>
        <v>55.957852953980051</v>
      </c>
      <c r="I8" s="728">
        <f t="shared" ca="1" si="16"/>
        <v>39.632513912111534</v>
      </c>
      <c r="J8" s="729">
        <f t="shared" ca="1" si="17"/>
        <v>7.9265027824223075</v>
      </c>
      <c r="K8" s="729">
        <f t="shared" ca="1" si="1"/>
        <v>79.126655583266086</v>
      </c>
      <c r="L8" s="728">
        <f t="shared" ca="1" si="18"/>
        <v>8.8791467176272239</v>
      </c>
      <c r="M8" s="729">
        <f t="shared" ca="1" si="19"/>
        <v>1.7758293435254449</v>
      </c>
      <c r="N8" s="729">
        <f t="shared" ca="1" si="2"/>
        <v>25.334472980638495</v>
      </c>
      <c r="O8" s="728">
        <f t="shared" ca="1" si="20"/>
        <v>25.348956661599704</v>
      </c>
      <c r="P8" s="729">
        <f t="shared" ca="1" si="21"/>
        <v>5.0697913323199408</v>
      </c>
      <c r="Q8" s="729">
        <f t="shared" ca="1" si="3"/>
        <v>103.60801218602344</v>
      </c>
      <c r="R8" s="728">
        <f t="shared" ca="1" si="22"/>
        <v>34.22810337922693</v>
      </c>
      <c r="S8" s="729">
        <f t="shared" ca="1" si="23"/>
        <v>6.8456206758453861</v>
      </c>
      <c r="T8" s="729">
        <f t="shared" ca="1" si="4"/>
        <v>128.94248516666195</v>
      </c>
      <c r="U8" s="728">
        <f t="shared" ca="1" si="24"/>
        <v>12.413929368452452</v>
      </c>
      <c r="V8" s="729">
        <f t="shared" ca="1" si="5"/>
        <v>2.4827858736904904</v>
      </c>
      <c r="W8" s="729">
        <f t="shared" ca="1" si="6"/>
        <v>23.604560572839333</v>
      </c>
      <c r="X8" s="728">
        <f t="shared" ca="1" si="25"/>
        <v>26.110106527117964</v>
      </c>
      <c r="Y8" s="729">
        <f t="shared" ca="1" si="7"/>
        <v>5.2220213054235929</v>
      </c>
      <c r="Z8" s="729">
        <f t="shared" ca="1" si="8"/>
        <v>66.569832428363583</v>
      </c>
      <c r="AA8" s="728">
        <f t="shared" ca="1" si="26"/>
        <v>38.538806248523308</v>
      </c>
      <c r="AB8" s="729">
        <f t="shared" ca="1" si="9"/>
        <v>7.7077612497046619</v>
      </c>
      <c r="AC8" s="729">
        <f t="shared" ca="1" si="10"/>
        <v>89.208042674761572</v>
      </c>
    </row>
    <row r="9" spans="1:29" x14ac:dyDescent="0.35">
      <c r="A9" s="727" t="s">
        <v>135</v>
      </c>
      <c r="B9" s="491" t="s">
        <v>127</v>
      </c>
      <c r="C9" s="728">
        <f ca="1">INDEX(SSW_WTP_HH,MATCH($A9,SSC_WTP_OPTIONS,0))</f>
        <v>200.68834953644827</v>
      </c>
      <c r="D9" s="729">
        <f t="shared" ca="1" si="12"/>
        <v>40.137669907289656</v>
      </c>
      <c r="E9" s="729">
        <f t="shared" ca="1" si="13"/>
        <v>676.2098465500859</v>
      </c>
      <c r="F9" s="728">
        <f t="shared" ca="1" si="14"/>
        <v>129.80393778360127</v>
      </c>
      <c r="G9" s="729">
        <f t="shared" ca="1" si="15"/>
        <v>25.960787556720256</v>
      </c>
      <c r="H9" s="729">
        <f t="shared" ca="1" si="0"/>
        <v>275.88491532076421</v>
      </c>
      <c r="I9" s="728">
        <f ca="1">INDEX(SSW_WTP_ALL,MATCH($A9,SSC_WTP_OPTIONS,0))</f>
        <v>330.49228732004951</v>
      </c>
      <c r="J9" s="729">
        <f t="shared" ca="1" si="17"/>
        <v>66.098457464009911</v>
      </c>
      <c r="K9" s="729">
        <f t="shared" ca="1" si="1"/>
        <v>952.09476187085011</v>
      </c>
      <c r="L9" s="728">
        <f t="shared" ca="1" si="18"/>
        <v>928.2785356721389</v>
      </c>
      <c r="M9" s="729">
        <f t="shared" ca="1" si="19"/>
        <v>190.20786793844789</v>
      </c>
      <c r="N9" s="729">
        <f t="shared" ca="1" si="2"/>
        <v>3374.6972416452891</v>
      </c>
      <c r="O9" s="728">
        <f t="shared" ca="1" si="20"/>
        <v>159.31311691882092</v>
      </c>
      <c r="P9" s="729">
        <f t="shared" ca="1" si="21"/>
        <v>31.862623383764188</v>
      </c>
      <c r="Q9" s="729">
        <f t="shared" ca="1" si="3"/>
        <v>1580.2121299131561</v>
      </c>
      <c r="R9" s="728">
        <f t="shared" ca="1" si="22"/>
        <v>1087.5916525909597</v>
      </c>
      <c r="S9" s="729">
        <f t="shared" ca="1" si="23"/>
        <v>222.07049132221206</v>
      </c>
      <c r="T9" s="729">
        <f t="shared" ca="1" si="4"/>
        <v>4954.909371558444</v>
      </c>
      <c r="U9" s="728">
        <f t="shared" ca="1" si="24"/>
        <v>347.0879172555409</v>
      </c>
      <c r="V9" s="729">
        <f t="shared" ca="1" si="5"/>
        <v>70.333530898717186</v>
      </c>
      <c r="W9" s="729">
        <f t="shared" ca="1" si="6"/>
        <v>1219.1767469635593</v>
      </c>
      <c r="X9" s="728">
        <f t="shared" ca="1" si="25"/>
        <v>136.37581095959419</v>
      </c>
      <c r="Y9" s="729">
        <f t="shared" ca="1" si="7"/>
        <v>27.275162191918838</v>
      </c>
      <c r="Z9" s="729">
        <f t="shared" ca="1" si="8"/>
        <v>566.36649717088949</v>
      </c>
      <c r="AA9" s="728">
        <f t="shared" ca="1" si="26"/>
        <v>483.70888196179777</v>
      </c>
      <c r="AB9" s="729">
        <f t="shared" ca="1" si="9"/>
        <v>97.663011581090728</v>
      </c>
      <c r="AC9" s="729">
        <f t="shared" ca="1" si="10"/>
        <v>1762.1570226668528</v>
      </c>
    </row>
    <row r="10" spans="1:29" x14ac:dyDescent="0.35">
      <c r="A10" s="727" t="s">
        <v>137</v>
      </c>
      <c r="B10" s="491" t="s">
        <v>127</v>
      </c>
      <c r="C10" s="728">
        <f t="shared" ca="1" si="11"/>
        <v>188.73767978356349</v>
      </c>
      <c r="D10" s="729">
        <f t="shared" ca="1" si="12"/>
        <v>37.747535956712703</v>
      </c>
      <c r="E10" s="729">
        <f t="shared" ca="1" si="13"/>
        <v>675.67647960631564</v>
      </c>
      <c r="F10" s="728">
        <f t="shared" ca="1" si="14"/>
        <v>3038.9562982561574</v>
      </c>
      <c r="G10" s="729">
        <f t="shared" ca="1" si="15"/>
        <v>607.79125965123148</v>
      </c>
      <c r="H10" s="729">
        <f t="shared" ca="1" si="0"/>
        <v>13581.049936597665</v>
      </c>
      <c r="I10" s="728">
        <f t="shared" ca="1" si="16"/>
        <v>3227.6939780397211</v>
      </c>
      <c r="J10" s="729">
        <f t="shared" ca="1" si="17"/>
        <v>645.53879560794428</v>
      </c>
      <c r="K10" s="729">
        <f t="shared" ca="1" si="1"/>
        <v>14256.726416203981</v>
      </c>
      <c r="L10" s="728">
        <f t="shared" ca="1" si="18"/>
        <v>124.28472217011971</v>
      </c>
      <c r="M10" s="729">
        <f t="shared" ca="1" si="19"/>
        <v>24.856944434023944</v>
      </c>
      <c r="N10" s="729">
        <f t="shared" ca="1" si="2"/>
        <v>535.22905327574733</v>
      </c>
      <c r="O10" s="728">
        <f t="shared" ca="1" si="20"/>
        <v>3802.8500319821865</v>
      </c>
      <c r="P10" s="729">
        <f t="shared" ca="1" si="21"/>
        <v>760.57000639643729</v>
      </c>
      <c r="Q10" s="729">
        <f t="shared" ca="1" si="3"/>
        <v>13733.82868334287</v>
      </c>
      <c r="R10" s="728">
        <f t="shared" ca="1" si="22"/>
        <v>3927.134754152306</v>
      </c>
      <c r="S10" s="729">
        <f t="shared" ca="1" si="23"/>
        <v>785.42695083046124</v>
      </c>
      <c r="T10" s="729">
        <f t="shared" ca="1" si="4"/>
        <v>14269.057736618617</v>
      </c>
      <c r="U10" s="728">
        <f t="shared" ca="1" si="24"/>
        <v>175.76899863224097</v>
      </c>
      <c r="V10" s="729">
        <f t="shared" ca="1" si="5"/>
        <v>35.153799726448192</v>
      </c>
      <c r="W10" s="729">
        <f t="shared" ca="1" si="6"/>
        <v>647.41683167008057</v>
      </c>
      <c r="X10" s="728">
        <f t="shared" ca="1" si="25"/>
        <v>3209.0800660159825</v>
      </c>
      <c r="Y10" s="729">
        <f t="shared" ca="1" si="7"/>
        <v>641.81601320319658</v>
      </c>
      <c r="Z10" s="729">
        <f t="shared" ca="1" si="8"/>
        <v>13615.07469014963</v>
      </c>
      <c r="AA10" s="728">
        <f t="shared" ca="1" si="26"/>
        <v>3369.2420215137831</v>
      </c>
      <c r="AB10" s="729">
        <f t="shared" ca="1" si="9"/>
        <v>673.84840430275665</v>
      </c>
      <c r="AC10" s="729">
        <f t="shared" ca="1" si="10"/>
        <v>14259.221944542838</v>
      </c>
    </row>
    <row r="11" spans="1:29" x14ac:dyDescent="0.35">
      <c r="A11" s="727" t="s">
        <v>139</v>
      </c>
      <c r="B11" s="491" t="s">
        <v>127</v>
      </c>
      <c r="C11" s="728">
        <f t="shared" ca="1" si="11"/>
        <v>36.063122450039202</v>
      </c>
      <c r="D11" s="729">
        <f t="shared" ca="1" si="12"/>
        <v>7.2126244900078404</v>
      </c>
      <c r="E11" s="729">
        <f t="shared" ca="1" si="13"/>
        <v>63.284249245867215</v>
      </c>
      <c r="F11" s="728">
        <f t="shared" ca="1" si="14"/>
        <v>1088.9269992761444</v>
      </c>
      <c r="G11" s="729">
        <f t="shared" ca="1" si="15"/>
        <v>217.78539985522889</v>
      </c>
      <c r="H11" s="729">
        <f t="shared" ca="1" si="0"/>
        <v>3907.5442781416386</v>
      </c>
      <c r="I11" s="728">
        <f t="shared" ca="1" si="16"/>
        <v>1124.9901217261836</v>
      </c>
      <c r="J11" s="729">
        <f t="shared" ca="1" si="17"/>
        <v>224.99802434523673</v>
      </c>
      <c r="K11" s="729">
        <f t="shared" ca="1" si="1"/>
        <v>3970.8285273875058</v>
      </c>
      <c r="L11" s="728">
        <f t="shared" ca="1" si="18"/>
        <v>51.388697023115611</v>
      </c>
      <c r="M11" s="729">
        <f t="shared" ca="1" si="19"/>
        <v>10.277739404623123</v>
      </c>
      <c r="N11" s="729">
        <f t="shared" ca="1" si="2"/>
        <v>104.38950238038585</v>
      </c>
      <c r="O11" s="728">
        <f t="shared" ca="1" si="20"/>
        <v>1370.6438098482497</v>
      </c>
      <c r="P11" s="729">
        <f t="shared" ca="1" si="21"/>
        <v>274.12876196964993</v>
      </c>
      <c r="Q11" s="729">
        <f t="shared" ca="1" si="3"/>
        <v>3963.8876402560595</v>
      </c>
      <c r="R11" s="728">
        <f t="shared" ca="1" si="22"/>
        <v>1422.0325068713653</v>
      </c>
      <c r="S11" s="729">
        <f t="shared" ca="1" si="23"/>
        <v>284.40650137427309</v>
      </c>
      <c r="T11" s="729">
        <f t="shared" ca="1" si="4"/>
        <v>4068.2771426364448</v>
      </c>
      <c r="U11" s="728">
        <f t="shared" ca="1" si="24"/>
        <v>39.146805456349952</v>
      </c>
      <c r="V11" s="729">
        <f t="shared" ca="1" si="5"/>
        <v>7.8293610912699911</v>
      </c>
      <c r="W11" s="729">
        <f t="shared" ca="1" si="6"/>
        <v>71.555101993123941</v>
      </c>
      <c r="X11" s="728">
        <f t="shared" ca="1" si="25"/>
        <v>1151.6670416928248</v>
      </c>
      <c r="Y11" s="729">
        <f t="shared" ca="1" si="7"/>
        <v>230.33340833856496</v>
      </c>
      <c r="Z11" s="729">
        <f t="shared" ca="1" si="8"/>
        <v>3920.0922866249743</v>
      </c>
      <c r="AA11" s="728">
        <f t="shared" ca="1" si="26"/>
        <v>1185.1035292970932</v>
      </c>
      <c r="AB11" s="729">
        <f t="shared" ca="1" si="9"/>
        <v>237.02070585941865</v>
      </c>
      <c r="AC11" s="729">
        <f t="shared" ca="1" si="10"/>
        <v>3990.5495120638748</v>
      </c>
    </row>
    <row r="12" spans="1:29" x14ac:dyDescent="0.35">
      <c r="A12" s="727" t="s">
        <v>141</v>
      </c>
      <c r="B12" s="491" t="s">
        <v>127</v>
      </c>
      <c r="C12" s="728">
        <f t="shared" ca="1" si="11"/>
        <v>19509.759207595394</v>
      </c>
      <c r="D12" s="729">
        <f t="shared" ca="1" si="12"/>
        <v>3975.8835058201189</v>
      </c>
      <c r="E12" s="729">
        <f t="shared" ca="1" si="13"/>
        <v>73254.661040679857</v>
      </c>
      <c r="F12" s="728">
        <f t="shared" ca="1" si="14"/>
        <v>1538.744562493473</v>
      </c>
      <c r="G12" s="729">
        <f t="shared" ca="1" si="15"/>
        <v>488.89929455253525</v>
      </c>
      <c r="H12" s="729">
        <f t="shared" ca="1" si="0"/>
        <v>2790.4824774709159</v>
      </c>
      <c r="I12" s="728">
        <f t="shared" ca="1" si="16"/>
        <v>21048.503770088868</v>
      </c>
      <c r="J12" s="729">
        <f t="shared" ca="1" si="17"/>
        <v>4464.7828003726545</v>
      </c>
      <c r="K12" s="729">
        <f t="shared" ca="1" si="1"/>
        <v>76045.14351815077</v>
      </c>
      <c r="L12" s="728">
        <f t="shared" ca="1" si="18"/>
        <v>31302.052369317589</v>
      </c>
      <c r="M12" s="729">
        <f t="shared" ca="1" si="19"/>
        <v>6346.0720210837471</v>
      </c>
      <c r="N12" s="729">
        <f t="shared" ca="1" si="2"/>
        <v>117916.02810066995</v>
      </c>
      <c r="O12" s="728">
        <f t="shared" ca="1" si="20"/>
        <v>3220.7143209952542</v>
      </c>
      <c r="P12" s="729">
        <f t="shared" ca="1" si="21"/>
        <v>681.15052342895422</v>
      </c>
      <c r="Q12" s="729">
        <f t="shared" ca="1" si="3"/>
        <v>5093.962348047974</v>
      </c>
      <c r="R12" s="728">
        <f t="shared" ca="1" si="22"/>
        <v>34522.766690312841</v>
      </c>
      <c r="S12" s="729">
        <f t="shared" ca="1" si="23"/>
        <v>7027.2225445127015</v>
      </c>
      <c r="T12" s="729">
        <f t="shared" ca="1" si="4"/>
        <v>123009.99044871792</v>
      </c>
      <c r="U12" s="728">
        <f t="shared" ca="1" si="24"/>
        <v>21882.5050942077</v>
      </c>
      <c r="V12" s="729">
        <f t="shared" ca="1" si="5"/>
        <v>4452.7928713659603</v>
      </c>
      <c r="W12" s="729">
        <f t="shared" ca="1" si="6"/>
        <v>82241.045073774701</v>
      </c>
      <c r="X12" s="728">
        <f t="shared" ca="1" si="25"/>
        <v>1913.3294293946471</v>
      </c>
      <c r="Y12" s="729">
        <f t="shared" ca="1" si="7"/>
        <v>531.71480928830999</v>
      </c>
      <c r="Z12" s="729">
        <f t="shared" ca="1" si="8"/>
        <v>3303.4814159882326</v>
      </c>
      <c r="AA12" s="728">
        <f t="shared" ca="1" si="26"/>
        <v>23775.333001025512</v>
      </c>
      <c r="AB12" s="729">
        <f t="shared" ca="1" si="9"/>
        <v>4983.3518410841407</v>
      </c>
      <c r="AC12" s="729">
        <f t="shared" ca="1" si="10"/>
        <v>85549.568227313765</v>
      </c>
    </row>
    <row r="13" spans="1:29" x14ac:dyDescent="0.35">
      <c r="A13" s="727" t="s">
        <v>143</v>
      </c>
      <c r="B13" s="736" t="s">
        <v>145</v>
      </c>
      <c r="C13" s="728">
        <f t="shared" ca="1" si="11"/>
        <v>328099.43809182022</v>
      </c>
      <c r="D13" s="729">
        <f t="shared" ca="1" si="12"/>
        <v>65619.887618364053</v>
      </c>
      <c r="E13" s="729">
        <f t="shared" ca="1" si="13"/>
        <v>586433.19888781896</v>
      </c>
      <c r="F13" s="728">
        <f t="shared" ca="1" si="14"/>
        <v>403267.61681808537</v>
      </c>
      <c r="G13" s="729">
        <f t="shared" ca="1" si="15"/>
        <v>80653.523363617074</v>
      </c>
      <c r="H13" s="729">
        <f t="shared" ca="1" si="0"/>
        <v>892142.05489682057</v>
      </c>
      <c r="I13" s="728">
        <f t="shared" ca="1" si="16"/>
        <v>731367.05490990565</v>
      </c>
      <c r="J13" s="729">
        <f t="shared" ca="1" si="17"/>
        <v>146273.41098198114</v>
      </c>
      <c r="K13" s="729">
        <f t="shared" ca="1" si="1"/>
        <v>1478575.2537846395</v>
      </c>
      <c r="L13" s="728">
        <f t="shared" ca="1" si="18"/>
        <v>130861.85916951248</v>
      </c>
      <c r="M13" s="729">
        <f t="shared" ca="1" si="19"/>
        <v>26172.371833902496</v>
      </c>
      <c r="N13" s="729">
        <f t="shared" ca="1" si="2"/>
        <v>401858.92543390242</v>
      </c>
      <c r="O13" s="728">
        <f t="shared" ca="1" si="20"/>
        <v>373685.13598728913</v>
      </c>
      <c r="P13" s="729">
        <f t="shared" ca="1" si="21"/>
        <v>74737.027197457835</v>
      </c>
      <c r="Q13" s="729">
        <f t="shared" ca="1" si="3"/>
        <v>834902.19839745772</v>
      </c>
      <c r="R13" s="728">
        <f t="shared" ca="1" si="22"/>
        <v>504546.9951568016</v>
      </c>
      <c r="S13" s="729">
        <f t="shared" ca="1" si="23"/>
        <v>100909.39903136033</v>
      </c>
      <c r="T13" s="729">
        <f t="shared" ca="1" si="4"/>
        <v>1236761.1238313601</v>
      </c>
      <c r="U13" s="728">
        <f t="shared" ca="1" si="24"/>
        <v>288412.95407593879</v>
      </c>
      <c r="V13" s="729">
        <f t="shared" ca="1" si="5"/>
        <v>57682.590815187759</v>
      </c>
      <c r="W13" s="729">
        <f t="shared" ca="1" si="6"/>
        <v>549294.71851711266</v>
      </c>
      <c r="X13" s="728">
        <f t="shared" ca="1" si="25"/>
        <v>396679.41890988935</v>
      </c>
      <c r="Y13" s="729">
        <f t="shared" ca="1" si="7"/>
        <v>79335.883781977871</v>
      </c>
      <c r="Z13" s="729">
        <f t="shared" ca="1" si="8"/>
        <v>879394.39167643362</v>
      </c>
      <c r="AA13" s="728">
        <f t="shared" ca="1" si="26"/>
        <v>685464.76157041371</v>
      </c>
      <c r="AB13" s="729">
        <f t="shared" ca="1" si="9"/>
        <v>137092.95231408274</v>
      </c>
      <c r="AC13" s="729">
        <f t="shared" ca="1" si="10"/>
        <v>1429638.5630050334</v>
      </c>
    </row>
    <row r="14" spans="1:29" x14ac:dyDescent="0.35">
      <c r="A14" s="727" t="s">
        <v>146</v>
      </c>
      <c r="B14" s="736" t="s">
        <v>145</v>
      </c>
      <c r="C14" s="728">
        <f t="shared" ca="1" si="11"/>
        <v>1005208.5511884175</v>
      </c>
      <c r="D14" s="729">
        <f t="shared" ca="1" si="12"/>
        <v>273542.04303768347</v>
      </c>
      <c r="E14" s="729">
        <f t="shared" ca="1" si="13"/>
        <v>1775840.5180935189</v>
      </c>
      <c r="F14" s="728">
        <f t="shared" ca="1" si="14"/>
        <v>3952546.090307917</v>
      </c>
      <c r="G14" s="729">
        <f t="shared" ca="1" si="15"/>
        <v>1045229.6891015834</v>
      </c>
      <c r="H14" s="729">
        <f t="shared" ca="1" si="0"/>
        <v>7409164.212280334</v>
      </c>
      <c r="I14" s="728">
        <f t="shared" ca="1" si="16"/>
        <v>4957754.6414963342</v>
      </c>
      <c r="J14" s="729">
        <f t="shared" ca="1" si="17"/>
        <v>1318771.7321392668</v>
      </c>
      <c r="K14" s="729">
        <f t="shared" ca="1" si="1"/>
        <v>9185004.730373852</v>
      </c>
      <c r="L14" s="728">
        <f t="shared" ca="1" si="18"/>
        <v>430258.68961941078</v>
      </c>
      <c r="M14" s="729">
        <f t="shared" ca="1" si="19"/>
        <v>195748.14824979723</v>
      </c>
      <c r="N14" s="729">
        <f t="shared" ca="1" si="2"/>
        <v>482737.19259063032</v>
      </c>
      <c r="O14" s="728">
        <f t="shared" ca="1" si="20"/>
        <v>1576192.6918665692</v>
      </c>
      <c r="P14" s="729">
        <f t="shared" ca="1" si="21"/>
        <v>766397.22990145045</v>
      </c>
      <c r="Q14" s="729">
        <f t="shared" ca="1" si="3"/>
        <v>2211579.8652483141</v>
      </c>
      <c r="R14" s="728">
        <f t="shared" ca="1" si="22"/>
        <v>2006451.38148598</v>
      </c>
      <c r="S14" s="729">
        <f t="shared" ca="1" si="23"/>
        <v>962145.37815124774</v>
      </c>
      <c r="T14" s="729">
        <f t="shared" ca="1" si="4"/>
        <v>2694317.0578389447</v>
      </c>
      <c r="U14" s="728">
        <f t="shared" ca="1" si="24"/>
        <v>889521.98367037077</v>
      </c>
      <c r="V14" s="729">
        <f t="shared" ca="1" si="5"/>
        <v>257889.0108979576</v>
      </c>
      <c r="W14" s="729">
        <f t="shared" ca="1" si="6"/>
        <v>1515653.1605987889</v>
      </c>
      <c r="X14" s="728">
        <f t="shared" ca="1" si="25"/>
        <v>3423317.7751340428</v>
      </c>
      <c r="Y14" s="729">
        <f t="shared" ca="1" si="7"/>
        <v>983132.009229952</v>
      </c>
      <c r="Z14" s="729">
        <f t="shared" ca="1" si="8"/>
        <v>6251630.6531901555</v>
      </c>
      <c r="AA14" s="728">
        <f t="shared" ca="1" si="26"/>
        <v>4360490.0603906941</v>
      </c>
      <c r="AB14" s="729">
        <f t="shared" ca="1" si="9"/>
        <v>1246600.1282204143</v>
      </c>
      <c r="AC14" s="729">
        <f t="shared" ca="1" si="10"/>
        <v>7871463.7241505524</v>
      </c>
    </row>
    <row r="15" spans="1:29" x14ac:dyDescent="0.35">
      <c r="A15" s="727" t="s">
        <v>40</v>
      </c>
      <c r="B15" s="736" t="s">
        <v>148</v>
      </c>
      <c r="C15" s="728">
        <f t="shared" ca="1" si="11"/>
        <v>65426.556323929632</v>
      </c>
      <c r="D15" s="729">
        <f t="shared" ca="1" si="12"/>
        <v>19103.393696865918</v>
      </c>
      <c r="E15" s="729">
        <f t="shared" ca="1" si="13"/>
        <v>208829.90952203574</v>
      </c>
      <c r="F15" s="728">
        <f t="shared" ca="1" si="14"/>
        <v>82520.393738162325</v>
      </c>
      <c r="G15" s="729">
        <f t="shared" ca="1" si="15"/>
        <v>16504.078747632466</v>
      </c>
      <c r="H15" s="729">
        <f t="shared" ca="1" si="0"/>
        <v>164092.96345217602</v>
      </c>
      <c r="I15" s="728">
        <f t="shared" ca="1" si="16"/>
        <v>147946.95006209196</v>
      </c>
      <c r="J15" s="729">
        <f t="shared" ca="1" si="17"/>
        <v>35607.472444498388</v>
      </c>
      <c r="K15" s="729">
        <f t="shared" ca="1" si="1"/>
        <v>372922.87297421176</v>
      </c>
      <c r="L15" s="728">
        <f t="shared" ca="1" si="18"/>
        <v>89325.793874844283</v>
      </c>
      <c r="M15" s="729">
        <f t="shared" ca="1" si="19"/>
        <v>36206.73488527858</v>
      </c>
      <c r="N15" s="729">
        <f t="shared" ca="1" si="2"/>
        <v>167213.36695559253</v>
      </c>
      <c r="O15" s="728">
        <f t="shared" ca="1" si="20"/>
        <v>169216.2373168499</v>
      </c>
      <c r="P15" s="729">
        <f t="shared" ca="1" si="21"/>
        <v>33843.247463369982</v>
      </c>
      <c r="Q15" s="729">
        <f t="shared" ca="1" si="3"/>
        <v>590952.97189133242</v>
      </c>
      <c r="R15" s="728">
        <f t="shared" ca="1" si="22"/>
        <v>258542.0311916942</v>
      </c>
      <c r="S15" s="729">
        <f t="shared" ca="1" si="23"/>
        <v>70049.982348648569</v>
      </c>
      <c r="T15" s="729">
        <f t="shared" ca="1" si="4"/>
        <v>758166.33884692495</v>
      </c>
      <c r="U15" s="728">
        <f t="shared" ca="1" si="24"/>
        <v>70235.359566387473</v>
      </c>
      <c r="V15" s="729">
        <f t="shared" ca="1" si="5"/>
        <v>22544.783924838019</v>
      </c>
      <c r="W15" s="729">
        <f t="shared" ca="1" si="6"/>
        <v>200456.17942261096</v>
      </c>
      <c r="X15" s="728">
        <f t="shared" ca="1" si="25"/>
        <v>101828.08394106755</v>
      </c>
      <c r="Y15" s="729">
        <f t="shared" ca="1" si="7"/>
        <v>20365.616788213512</v>
      </c>
      <c r="Z15" s="729">
        <f t="shared" ca="1" si="8"/>
        <v>259157.27637361796</v>
      </c>
      <c r="AA15" s="728">
        <f t="shared" ca="1" si="26"/>
        <v>170328.42664507939</v>
      </c>
      <c r="AB15" s="729">
        <f t="shared" ca="1" si="9"/>
        <v>42577.71217853947</v>
      </c>
      <c r="AC15" s="729">
        <f t="shared" ca="1" si="10"/>
        <v>450885.81239350542</v>
      </c>
    </row>
    <row r="16" spans="1:29" x14ac:dyDescent="0.35">
      <c r="A16" s="727" t="s">
        <v>41</v>
      </c>
      <c r="B16" s="736" t="s">
        <v>150</v>
      </c>
      <c r="C16" s="728">
        <f t="shared" ca="1" si="11"/>
        <v>8.968990256943778</v>
      </c>
      <c r="D16" s="729">
        <f t="shared" ca="1" si="12"/>
        <v>3.2113419110378785</v>
      </c>
      <c r="E16" s="729">
        <f t="shared" ca="1" si="13"/>
        <v>22.98878356367069</v>
      </c>
      <c r="F16" s="728"/>
      <c r="G16" s="729">
        <f t="shared" ca="1" si="15"/>
        <v>0</v>
      </c>
      <c r="H16" s="729">
        <f t="shared" ca="1" si="0"/>
        <v>0</v>
      </c>
      <c r="I16" s="728">
        <f t="shared" ca="1" si="16"/>
        <v>8.968990256943778</v>
      </c>
      <c r="J16" s="729">
        <f t="shared" ca="1" si="17"/>
        <v>3.2113419110378785</v>
      </c>
      <c r="K16" s="729">
        <f t="shared" ca="1" si="1"/>
        <v>22.98878356367069</v>
      </c>
      <c r="L16" s="728">
        <f t="shared" ca="1" si="18"/>
        <v>5.9530828882440447</v>
      </c>
      <c r="M16" s="729">
        <f t="shared" ca="1" si="19"/>
        <v>2.5160986603475939</v>
      </c>
      <c r="N16" s="729">
        <f t="shared" ca="1" si="2"/>
        <v>8.7239325843304218</v>
      </c>
      <c r="O16" s="728"/>
      <c r="P16" s="729">
        <f t="shared" si="21"/>
        <v>0</v>
      </c>
      <c r="Q16" s="729">
        <f t="shared" si="3"/>
        <v>0</v>
      </c>
      <c r="R16" s="728">
        <f t="shared" ca="1" si="22"/>
        <v>6.2292249888062914</v>
      </c>
      <c r="S16" s="729">
        <f t="shared" ca="1" si="23"/>
        <v>2.5713270804600432</v>
      </c>
      <c r="T16" s="729">
        <f t="shared" ca="1" si="4"/>
        <v>8.779161004442873</v>
      </c>
      <c r="U16" s="728">
        <f t="shared" ca="1" si="24"/>
        <v>8.3621547835250585</v>
      </c>
      <c r="V16" s="729">
        <f t="shared" ca="1" si="5"/>
        <v>3.0714509211645042</v>
      </c>
      <c r="W16" s="729">
        <f t="shared" ca="1" si="6"/>
        <v>20.118530422896161</v>
      </c>
      <c r="X16" s="728"/>
      <c r="Y16" s="729">
        <f t="shared" si="7"/>
        <v>0</v>
      </c>
      <c r="Z16" s="729">
        <f t="shared" si="8"/>
        <v>0</v>
      </c>
      <c r="AA16" s="728">
        <f t="shared" ca="1" si="26"/>
        <v>8.4145352887355376</v>
      </c>
      <c r="AB16" s="729">
        <f t="shared" ca="1" si="9"/>
        <v>3.0818200842347845</v>
      </c>
      <c r="AC16" s="729">
        <f t="shared" ca="1" si="10"/>
        <v>20.113137275299536</v>
      </c>
    </row>
    <row r="17" spans="1:29" x14ac:dyDescent="0.35">
      <c r="A17" s="727" t="s">
        <v>207</v>
      </c>
      <c r="B17" s="736" t="s">
        <v>150</v>
      </c>
      <c r="C17" s="730" t="e">
        <f t="shared" si="11"/>
        <v>#N/A</v>
      </c>
      <c r="D17" s="729" t="e">
        <f t="shared" si="12"/>
        <v>#N/A</v>
      </c>
      <c r="E17" s="729" t="e">
        <f t="shared" si="13"/>
        <v>#N/A</v>
      </c>
      <c r="F17" s="730"/>
      <c r="G17" s="729" t="e">
        <f t="shared" si="15"/>
        <v>#N/A</v>
      </c>
      <c r="H17" s="729" t="e">
        <f t="shared" si="0"/>
        <v>#N/A</v>
      </c>
      <c r="I17" s="730" t="e">
        <f t="shared" si="16"/>
        <v>#N/A</v>
      </c>
      <c r="J17" s="729" t="e">
        <f t="shared" si="17"/>
        <v>#N/A</v>
      </c>
      <c r="K17" s="729" t="e">
        <f t="shared" si="1"/>
        <v>#N/A</v>
      </c>
      <c r="L17" s="730" t="e">
        <f t="shared" si="18"/>
        <v>#N/A</v>
      </c>
      <c r="M17" s="729" t="e">
        <f t="shared" si="19"/>
        <v>#N/A</v>
      </c>
      <c r="N17" s="729" t="e">
        <f t="shared" si="2"/>
        <v>#N/A</v>
      </c>
      <c r="O17" s="730"/>
      <c r="P17" s="729" t="e">
        <f t="shared" si="21"/>
        <v>#N/A</v>
      </c>
      <c r="Q17" s="729" t="e">
        <f t="shared" si="3"/>
        <v>#N/A</v>
      </c>
      <c r="R17" s="730" t="e">
        <f t="shared" si="22"/>
        <v>#N/A</v>
      </c>
      <c r="S17" s="729" t="e">
        <f t="shared" si="23"/>
        <v>#N/A</v>
      </c>
      <c r="T17" s="729" t="e">
        <f t="shared" si="4"/>
        <v>#N/A</v>
      </c>
      <c r="U17" s="730" t="e">
        <f t="shared" si="24"/>
        <v>#N/A</v>
      </c>
      <c r="V17" s="729" t="e">
        <f t="shared" si="5"/>
        <v>#N/A</v>
      </c>
      <c r="W17" s="729" t="e">
        <f t="shared" si="6"/>
        <v>#N/A</v>
      </c>
      <c r="X17" s="730"/>
      <c r="Y17" s="729" t="e">
        <f t="shared" si="7"/>
        <v>#N/A</v>
      </c>
      <c r="Z17" s="729" t="e">
        <f t="shared" si="8"/>
        <v>#N/A</v>
      </c>
      <c r="AA17" s="730" t="e">
        <f t="shared" si="26"/>
        <v>#N/A</v>
      </c>
      <c r="AB17" s="729" t="e">
        <f t="shared" si="9"/>
        <v>#N/A</v>
      </c>
      <c r="AC17" s="729" t="e">
        <f t="shared" si="10"/>
        <v>#N/A</v>
      </c>
    </row>
    <row r="18" spans="1:29" x14ac:dyDescent="0.35">
      <c r="A18" s="727" t="s">
        <v>153</v>
      </c>
      <c r="B18" s="736" t="s">
        <v>155</v>
      </c>
      <c r="C18" s="728">
        <f t="shared" ca="1" si="11"/>
        <v>5684.7330277583233</v>
      </c>
      <c r="D18" s="729">
        <f t="shared" ca="1" si="12"/>
        <v>1136.9466055516648</v>
      </c>
      <c r="E18" s="729">
        <f t="shared" ca="1" si="13"/>
        <v>19599.573487923502</v>
      </c>
      <c r="F18" s="728">
        <f ca="1">INDEX(SSW_WTP_NHH,MATCH($A18,SSC_WTP_OPTIONS,0))</f>
        <v>8450.9570195030774</v>
      </c>
      <c r="G18" s="729">
        <f t="shared" ca="1" si="15"/>
        <v>1690.1914039006156</v>
      </c>
      <c r="H18" s="729">
        <f t="shared" ca="1" si="0"/>
        <v>20613.997734156204</v>
      </c>
      <c r="I18" s="728">
        <f t="shared" ca="1" si="16"/>
        <v>14135.6900472614</v>
      </c>
      <c r="J18" s="729">
        <f t="shared" ca="1" si="17"/>
        <v>2827.1380094522801</v>
      </c>
      <c r="K18" s="729">
        <f t="shared" ca="1" si="1"/>
        <v>40213.571222079707</v>
      </c>
      <c r="L18" s="730">
        <f t="shared" ca="1" si="18"/>
        <v>11173.965899959267</v>
      </c>
      <c r="M18" s="729">
        <f t="shared" ca="1" si="19"/>
        <v>2234.7931799918533</v>
      </c>
      <c r="N18" s="729">
        <f t="shared" ca="1" si="2"/>
        <v>58196.492021690698</v>
      </c>
      <c r="O18" s="728">
        <f ca="1">INDEX(CAM_WTP_NHH,MATCH($A18,SSC_WTP_OPTIONS,0))</f>
        <v>27534.653654219179</v>
      </c>
      <c r="P18" s="729">
        <f t="shared" ca="1" si="21"/>
        <v>5506.9307308438365</v>
      </c>
      <c r="Q18" s="729">
        <f t="shared" ca="1" si="3"/>
        <v>85039.619906793669</v>
      </c>
      <c r="R18" s="728">
        <f t="shared" ca="1" si="22"/>
        <v>38708.619554178447</v>
      </c>
      <c r="S18" s="729">
        <f t="shared" ca="1" si="23"/>
        <v>7741.7239108356898</v>
      </c>
      <c r="T18" s="729">
        <f t="shared" ca="1" si="4"/>
        <v>143236.11192848437</v>
      </c>
      <c r="U18" s="728">
        <f t="shared" ca="1" si="24"/>
        <v>6789.2302226253551</v>
      </c>
      <c r="V18" s="729">
        <f t="shared" ca="1" si="5"/>
        <v>1357.8460445250712</v>
      </c>
      <c r="W18" s="729">
        <f t="shared" ca="1" si="6"/>
        <v>27365.720278115034</v>
      </c>
      <c r="X18" s="728">
        <f ca="1">INDEX(SSC_WTP_NHH,MATCH($A18,SSC_WTP_OPTIONS,0))</f>
        <v>12701.012008758671</v>
      </c>
      <c r="Y18" s="729">
        <f t="shared" ca="1" si="7"/>
        <v>2540.2024017517342</v>
      </c>
      <c r="Z18" s="729">
        <f t="shared" ca="1" si="8"/>
        <v>34961.974553941101</v>
      </c>
      <c r="AA18" s="728">
        <f t="shared" ca="1" si="26"/>
        <v>19108.591560756071</v>
      </c>
      <c r="AB18" s="729">
        <f t="shared" ca="1" si="9"/>
        <v>3821.7183121512144</v>
      </c>
      <c r="AC18" s="729">
        <f t="shared" ca="1" si="10"/>
        <v>61062.568833810648</v>
      </c>
    </row>
    <row r="19" spans="1:29" x14ac:dyDescent="0.35">
      <c r="A19" s="727" t="s">
        <v>156</v>
      </c>
      <c r="B19" s="736" t="s">
        <v>155</v>
      </c>
      <c r="C19" s="728">
        <f t="shared" ca="1" si="11"/>
        <v>3335.7616640093811</v>
      </c>
      <c r="D19" s="729">
        <f t="shared" ca="1" si="12"/>
        <v>1665.3681588213972</v>
      </c>
      <c r="E19" s="729">
        <f t="shared" ca="1" si="13"/>
        <v>6314.8834458406718</v>
      </c>
      <c r="F19" s="728">
        <f ca="1">INDEX(SSW_WTP_NHH,MATCH($A19,SSC_WTP_OPTIONS,0))</f>
        <v>11467.256928538485</v>
      </c>
      <c r="G19" s="729">
        <f t="shared" ca="1" si="15"/>
        <v>5003.5664857309812</v>
      </c>
      <c r="H19" s="729">
        <f t="shared" ca="1" si="0"/>
        <v>21392.909312021107</v>
      </c>
      <c r="I19" s="728">
        <f t="shared" ca="1" si="16"/>
        <v>14803.018592547865</v>
      </c>
      <c r="J19" s="729">
        <f t="shared" ca="1" si="17"/>
        <v>6668.9346445523788</v>
      </c>
      <c r="K19" s="729">
        <f t="shared" ca="1" si="1"/>
        <v>27707.792757861778</v>
      </c>
      <c r="L19" s="728">
        <f t="shared" ca="1" si="18"/>
        <v>1563.4560238067857</v>
      </c>
      <c r="M19" s="729">
        <f t="shared" ca="1" si="19"/>
        <v>770.47536680078679</v>
      </c>
      <c r="N19" s="729">
        <f t="shared" ca="1" si="2"/>
        <v>3107.0907273701132</v>
      </c>
      <c r="O19" s="728">
        <f ca="1">INDEX(CAM_WTP_NHH,MATCH($A19,SSC_WTP_OPTIONS,0))</f>
        <v>20655.080048212443</v>
      </c>
      <c r="P19" s="729">
        <f t="shared" ca="1" si="21"/>
        <v>9487.4198218181191</v>
      </c>
      <c r="Q19" s="729">
        <f t="shared" ca="1" si="3"/>
        <v>29612.749590808893</v>
      </c>
      <c r="R19" s="728">
        <f t="shared" ca="1" si="22"/>
        <v>22218.536072019229</v>
      </c>
      <c r="S19" s="729">
        <f t="shared" ca="1" si="23"/>
        <v>10257.895188618906</v>
      </c>
      <c r="T19" s="729">
        <f t="shared" ca="1" si="4"/>
        <v>32719.840318179005</v>
      </c>
      <c r="U19" s="728">
        <f t="shared" ca="1" si="24"/>
        <v>2979.1532537588046</v>
      </c>
      <c r="V19" s="729">
        <f t="shared" ca="1" si="5"/>
        <v>1485.3053701758172</v>
      </c>
      <c r="W19" s="729">
        <f t="shared" ca="1" si="6"/>
        <v>5669.4384188664317</v>
      </c>
      <c r="X19" s="728">
        <f ca="1">INDEX(SSC_WTP_NHH,MATCH($A19,SSC_WTP_OPTIONS,0))</f>
        <v>13513.440864366339</v>
      </c>
      <c r="Y19" s="729">
        <f t="shared" ca="1" si="7"/>
        <v>6002.1478196776034</v>
      </c>
      <c r="Z19" s="729">
        <f t="shared" ca="1" si="8"/>
        <v>23223.517598059072</v>
      </c>
      <c r="AA19" s="728">
        <f t="shared" ca="1" si="26"/>
        <v>16303.720333731346</v>
      </c>
      <c r="AB19" s="729">
        <f t="shared" ca="1" si="9"/>
        <v>7395.243948310288</v>
      </c>
      <c r="AC19" s="729">
        <f t="shared" ca="1" si="10"/>
        <v>28722.096684928871</v>
      </c>
    </row>
    <row r="20" spans="1:29" x14ac:dyDescent="0.35">
      <c r="A20" s="727" t="s">
        <v>158</v>
      </c>
      <c r="B20" s="491" t="s">
        <v>160</v>
      </c>
      <c r="C20" s="728">
        <f ca="1">INDEX(SSW_WTP_HH,MATCH($A20,SSC_WTP_OPTIONS,0))</f>
        <v>672.10315628825492</v>
      </c>
      <c r="D20" s="729">
        <f t="shared" ca="1" si="12"/>
        <v>406.50008741003899</v>
      </c>
      <c r="E20" s="729">
        <f t="shared" ca="1" si="13"/>
        <v>749.2310202987469</v>
      </c>
      <c r="F20" s="728">
        <f ca="1">INDEX(SSW_WTP_NHH,MATCH($A20,SSC_WTP_OPTIONS,0))</f>
        <v>790.8630239888322</v>
      </c>
      <c r="G20" s="729">
        <f t="shared" ca="1" si="15"/>
        <v>415.355202673468</v>
      </c>
      <c r="H20" s="729">
        <f t="shared" ca="1" si="0"/>
        <v>1370.9181746711997</v>
      </c>
      <c r="I20" s="728">
        <f t="shared" ca="1" si="16"/>
        <v>1462.966180277087</v>
      </c>
      <c r="J20" s="729">
        <f t="shared" ca="1" si="17"/>
        <v>821.85529008350704</v>
      </c>
      <c r="K20" s="729">
        <f t="shared" ca="1" si="1"/>
        <v>2120.1491949699466</v>
      </c>
      <c r="L20" s="728">
        <f t="shared" ca="1" si="18"/>
        <v>412.03996746513093</v>
      </c>
      <c r="M20" s="729">
        <f t="shared" ca="1" si="19"/>
        <v>301.18704225704005</v>
      </c>
      <c r="N20" s="729">
        <f t="shared" ca="1" si="2"/>
        <v>554.82300226027087</v>
      </c>
      <c r="O20" s="728">
        <f ca="1">INDEX(CAM_WTP_NHH,MATCH($A20,SSC_WTP_OPTIONS,0))</f>
        <v>1577.4663968903794</v>
      </c>
      <c r="P20" s="729">
        <f t="shared" ca="1" si="21"/>
        <v>1472.5178930767063</v>
      </c>
      <c r="Q20" s="729">
        <f t="shared" ca="1" si="3"/>
        <v>1972.0794496131571</v>
      </c>
      <c r="R20" s="728">
        <f t="shared" ca="1" si="22"/>
        <v>1989.5063643555104</v>
      </c>
      <c r="S20" s="729">
        <f t="shared" ca="1" si="23"/>
        <v>1773.7049353337463</v>
      </c>
      <c r="T20" s="729">
        <f t="shared" ca="1" si="4"/>
        <v>2526.9024518734282</v>
      </c>
      <c r="U20" s="728">
        <f t="shared" ca="1" si="24"/>
        <v>619.77543231830339</v>
      </c>
      <c r="V20" s="729">
        <f t="shared" ca="1" si="5"/>
        <v>385.30988366709704</v>
      </c>
      <c r="W20" s="729">
        <f t="shared" ca="1" si="6"/>
        <v>710.11387668646262</v>
      </c>
      <c r="X20" s="728">
        <f ca="1">INDEX(SSC_WTP_NHH,MATCH($A20,SSC_WTP_OPTIONS,0))</f>
        <v>966.04436613424684</v>
      </c>
      <c r="Y20" s="729">
        <f t="shared" ca="1" si="7"/>
        <v>650.79174585502915</v>
      </c>
      <c r="Z20" s="729">
        <f t="shared" ca="1" si="8"/>
        <v>1504.8004368355673</v>
      </c>
      <c r="AA20" s="728">
        <f t="shared" ca="1" si="26"/>
        <v>1569.5237837399663</v>
      </c>
      <c r="AB20" s="729">
        <f t="shared" ca="1" si="9"/>
        <v>1014.4841152364811</v>
      </c>
      <c r="AC20" s="729">
        <f t="shared" ca="1" si="10"/>
        <v>2202.4651388749994</v>
      </c>
    </row>
    <row r="22" spans="1:29" ht="28.5" x14ac:dyDescent="0.65">
      <c r="A22" s="76" t="s">
        <v>208</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row>
    <row r="23" spans="1:29" ht="23.5" x14ac:dyDescent="0.55000000000000004">
      <c r="A23" s="51"/>
      <c r="B23" s="51"/>
      <c r="C23" s="126" t="s">
        <v>24</v>
      </c>
      <c r="D23" s="126"/>
      <c r="E23" s="126"/>
      <c r="F23" s="126"/>
      <c r="G23" s="126"/>
      <c r="H23" s="126"/>
      <c r="I23" s="126"/>
      <c r="J23" s="126"/>
      <c r="K23" s="126"/>
      <c r="L23" s="712" t="s">
        <v>26</v>
      </c>
      <c r="M23" s="691"/>
      <c r="N23" s="691"/>
      <c r="O23" s="691"/>
      <c r="P23" s="691"/>
      <c r="Q23" s="691"/>
      <c r="R23" s="691"/>
      <c r="S23" s="691"/>
      <c r="T23" s="691"/>
      <c r="U23" s="713" t="s">
        <v>202</v>
      </c>
      <c r="V23" s="713"/>
      <c r="W23" s="713"/>
      <c r="X23" s="713"/>
      <c r="Y23" s="713"/>
      <c r="Z23" s="713"/>
      <c r="AA23" s="713"/>
      <c r="AB23" s="713"/>
      <c r="AC23" s="713"/>
    </row>
    <row r="24" spans="1:29" x14ac:dyDescent="0.35">
      <c r="A24" s="735" t="s">
        <v>209</v>
      </c>
      <c r="B24" s="51"/>
      <c r="C24" s="192" t="s">
        <v>21</v>
      </c>
      <c r="D24" s="192"/>
      <c r="E24" s="192"/>
      <c r="F24" s="192" t="s">
        <v>22</v>
      </c>
      <c r="G24" s="192"/>
      <c r="H24" s="192"/>
      <c r="I24" s="192" t="s">
        <v>174</v>
      </c>
      <c r="J24" s="192"/>
      <c r="K24" s="192"/>
      <c r="L24" s="192" t="s">
        <v>21</v>
      </c>
      <c r="M24" s="192"/>
      <c r="N24" s="192"/>
      <c r="O24" s="192" t="s">
        <v>22</v>
      </c>
      <c r="P24" s="192"/>
      <c r="Q24" s="192"/>
      <c r="R24" s="192" t="s">
        <v>174</v>
      </c>
      <c r="S24" s="192"/>
      <c r="T24" s="192"/>
      <c r="U24" s="192" t="s">
        <v>21</v>
      </c>
      <c r="V24" s="192"/>
      <c r="W24" s="192"/>
      <c r="X24" s="192" t="s">
        <v>22</v>
      </c>
      <c r="Y24" s="192"/>
      <c r="Z24" s="192"/>
      <c r="AA24" s="192" t="s">
        <v>174</v>
      </c>
      <c r="AB24" s="192"/>
      <c r="AC24" s="192"/>
    </row>
    <row r="25" spans="1:29" x14ac:dyDescent="0.35">
      <c r="A25" s="51"/>
      <c r="B25" s="54" t="s">
        <v>124</v>
      </c>
      <c r="C25" s="97" t="s">
        <v>204</v>
      </c>
      <c r="D25" s="97" t="s">
        <v>205</v>
      </c>
      <c r="E25" s="97" t="s">
        <v>206</v>
      </c>
      <c r="F25" s="97" t="s">
        <v>204</v>
      </c>
      <c r="G25" s="97" t="s">
        <v>205</v>
      </c>
      <c r="H25" s="97" t="s">
        <v>206</v>
      </c>
      <c r="I25" s="97" t="s">
        <v>204</v>
      </c>
      <c r="J25" s="97" t="s">
        <v>205</v>
      </c>
      <c r="K25" s="97" t="s">
        <v>206</v>
      </c>
      <c r="L25" s="97" t="s">
        <v>204</v>
      </c>
      <c r="M25" s="97" t="s">
        <v>205</v>
      </c>
      <c r="N25" s="97" t="s">
        <v>206</v>
      </c>
      <c r="O25" s="97" t="s">
        <v>204</v>
      </c>
      <c r="P25" s="97" t="s">
        <v>205</v>
      </c>
      <c r="Q25" s="97" t="s">
        <v>206</v>
      </c>
      <c r="R25" s="97" t="s">
        <v>204</v>
      </c>
      <c r="S25" s="97" t="s">
        <v>205</v>
      </c>
      <c r="T25" s="97" t="s">
        <v>206</v>
      </c>
      <c r="U25" s="97" t="s">
        <v>204</v>
      </c>
      <c r="V25" s="97" t="s">
        <v>205</v>
      </c>
      <c r="W25" s="97" t="s">
        <v>206</v>
      </c>
      <c r="X25" s="97" t="s">
        <v>204</v>
      </c>
      <c r="Y25" s="97" t="s">
        <v>205</v>
      </c>
      <c r="Z25" s="97" t="s">
        <v>206</v>
      </c>
      <c r="AA25" s="97" t="s">
        <v>204</v>
      </c>
      <c r="AB25" s="97" t="s">
        <v>205</v>
      </c>
      <c r="AC25" s="97" t="s">
        <v>206</v>
      </c>
    </row>
    <row r="26" spans="1:29" x14ac:dyDescent="0.35">
      <c r="A26" s="200" t="s">
        <v>125</v>
      </c>
      <c r="B26" s="7" t="s">
        <v>127</v>
      </c>
      <c r="C26" s="243">
        <v>1004.0372248742228</v>
      </c>
      <c r="D26" s="714">
        <v>218.53743558095812</v>
      </c>
      <c r="E26" s="714">
        <v>2910.7085276181542</v>
      </c>
      <c r="F26" s="243">
        <v>448.87274713174776</v>
      </c>
      <c r="G26" s="714">
        <v>128.52017808446166</v>
      </c>
      <c r="H26" s="714">
        <v>1317.017686947572</v>
      </c>
      <c r="I26" s="243">
        <v>1452.9099720059705</v>
      </c>
      <c r="J26" s="714">
        <v>347.05761366541975</v>
      </c>
      <c r="K26" s="714">
        <v>4227.726214565726</v>
      </c>
      <c r="L26" s="243">
        <v>1028.501528527346</v>
      </c>
      <c r="M26" s="714">
        <v>218.3919940911544</v>
      </c>
      <c r="N26" s="714">
        <v>2969.5246505798914</v>
      </c>
      <c r="O26" s="243">
        <v>1516.218263479479</v>
      </c>
      <c r="P26" s="714">
        <v>303.24365269589583</v>
      </c>
      <c r="Q26" s="714">
        <v>7902.6308867384469</v>
      </c>
      <c r="R26" s="243">
        <v>2544.7197920068247</v>
      </c>
      <c r="S26" s="714">
        <v>521.63564678705018</v>
      </c>
      <c r="T26" s="714">
        <v>10872.15553731834</v>
      </c>
      <c r="U26" s="243">
        <v>1008.7294998062275</v>
      </c>
      <c r="V26" s="714">
        <v>218.50953977544674</v>
      </c>
      <c r="W26" s="714">
        <v>2921.9895116708449</v>
      </c>
      <c r="X26" s="243">
        <v>675.96753784403097</v>
      </c>
      <c r="Y26" s="714">
        <v>165.6953854485966</v>
      </c>
      <c r="Z26" s="714">
        <v>2718.2119847754179</v>
      </c>
      <c r="AA26" s="243">
        <v>1663.7937865540807</v>
      </c>
      <c r="AB26" s="714">
        <v>380.77748033685799</v>
      </c>
      <c r="AC26" s="714">
        <v>5511.1022892343808</v>
      </c>
    </row>
    <row r="27" spans="1:29" x14ac:dyDescent="0.35">
      <c r="A27" s="200" t="s">
        <v>141</v>
      </c>
      <c r="B27" s="7" t="s">
        <v>127</v>
      </c>
      <c r="C27" s="243">
        <v>435.08659630715613</v>
      </c>
      <c r="D27" s="714">
        <v>356.3554858198633</v>
      </c>
      <c r="E27" s="714">
        <v>608.84006968587937</v>
      </c>
      <c r="F27" s="243">
        <v>382.78338383243909</v>
      </c>
      <c r="G27" s="714">
        <v>262.81847828324862</v>
      </c>
      <c r="H27" s="714">
        <v>3224.7021164948405</v>
      </c>
      <c r="I27" s="243">
        <v>817.86998013959521</v>
      </c>
      <c r="J27" s="714">
        <v>619.17396410311198</v>
      </c>
      <c r="K27" s="714">
        <v>3833.5421861807199</v>
      </c>
      <c r="L27" s="243">
        <v>491.29924729309357</v>
      </c>
      <c r="M27" s="714">
        <v>387.28114502299616</v>
      </c>
      <c r="N27" s="714">
        <v>760.06070052244843</v>
      </c>
      <c r="O27" s="243">
        <v>2106.9933646480299</v>
      </c>
      <c r="P27" s="714">
        <v>446.39555032285807</v>
      </c>
      <c r="Q27" s="714">
        <v>2861.5688856955635</v>
      </c>
      <c r="R27" s="243">
        <v>2598.2926119411236</v>
      </c>
      <c r="S27" s="714">
        <v>833.67669534585423</v>
      </c>
      <c r="T27" s="714">
        <v>3621.6295862180123</v>
      </c>
      <c r="U27" s="243">
        <v>445.86823214779713</v>
      </c>
      <c r="V27" s="714">
        <v>362.28705442251396</v>
      </c>
      <c r="W27" s="714">
        <v>637.84431952422563</v>
      </c>
      <c r="X27" s="243">
        <v>749.63657124001168</v>
      </c>
      <c r="Y27" s="714">
        <v>301.8774297810379</v>
      </c>
      <c r="Z27" s="714">
        <v>3147.4397269630799</v>
      </c>
      <c r="AA27" s="243">
        <v>1161.7598309396167</v>
      </c>
      <c r="AB27" s="714">
        <v>660.60531356232661</v>
      </c>
      <c r="AC27" s="714">
        <v>3792.6111223523062</v>
      </c>
    </row>
    <row r="28" spans="1:29" x14ac:dyDescent="0.35">
      <c r="A28" s="200" t="s">
        <v>131</v>
      </c>
      <c r="B28" s="7" t="s">
        <v>127</v>
      </c>
      <c r="C28" s="243">
        <v>183.49859370647627</v>
      </c>
      <c r="D28" s="714">
        <v>79.523164216789468</v>
      </c>
      <c r="E28" s="714">
        <v>377.62765884732698</v>
      </c>
      <c r="F28" s="243">
        <v>190.15878670162689</v>
      </c>
      <c r="G28" s="714">
        <v>80.580479312106888</v>
      </c>
      <c r="H28" s="714">
        <v>368.42324013276675</v>
      </c>
      <c r="I28" s="243">
        <v>373.65738040810317</v>
      </c>
      <c r="J28" s="714">
        <v>160.10364352889636</v>
      </c>
      <c r="K28" s="714">
        <v>746.05089898009362</v>
      </c>
      <c r="L28" s="243">
        <v>246.83756003802645</v>
      </c>
      <c r="M28" s="714">
        <v>74.803685973799972</v>
      </c>
      <c r="N28" s="714">
        <v>673.41340664806364</v>
      </c>
      <c r="O28" s="243">
        <v>1182.393022889587</v>
      </c>
      <c r="P28" s="714">
        <v>352.67718613820108</v>
      </c>
      <c r="Q28" s="714">
        <v>99898.828735720323</v>
      </c>
      <c r="R28" s="243">
        <v>1429.2305829276133</v>
      </c>
      <c r="S28" s="714">
        <v>427.48087211200107</v>
      </c>
      <c r="T28" s="714">
        <v>100572.24214236838</v>
      </c>
      <c r="U28" s="243">
        <v>195.64706309071209</v>
      </c>
      <c r="V28" s="714">
        <v>78.617964143829539</v>
      </c>
      <c r="W28" s="714">
        <v>434.3596251165751</v>
      </c>
      <c r="X28" s="243">
        <v>401.27245397566094</v>
      </c>
      <c r="Y28" s="714">
        <v>138.47339565808437</v>
      </c>
      <c r="Z28" s="714">
        <v>21545.10526047054</v>
      </c>
      <c r="AA28" s="243">
        <v>577.54206747009073</v>
      </c>
      <c r="AB28" s="714">
        <v>211.74773836481108</v>
      </c>
      <c r="AC28" s="714">
        <v>20027.548111744134</v>
      </c>
    </row>
    <row r="29" spans="1:29" x14ac:dyDescent="0.35">
      <c r="A29" s="200" t="s">
        <v>137</v>
      </c>
      <c r="B29" s="7" t="s">
        <v>127</v>
      </c>
      <c r="C29" s="243">
        <v>303.42114020493887</v>
      </c>
      <c r="D29" s="714">
        <v>60.684228040987776</v>
      </c>
      <c r="E29" s="714">
        <v>649.8752668871573</v>
      </c>
      <c r="F29" s="243">
        <v>242.45200630780022</v>
      </c>
      <c r="G29" s="714">
        <v>78.095915387460309</v>
      </c>
      <c r="H29" s="714">
        <v>608.75357273863995</v>
      </c>
      <c r="I29" s="243">
        <v>545.87314651273914</v>
      </c>
      <c r="J29" s="714">
        <v>138.78014342844807</v>
      </c>
      <c r="K29" s="714">
        <v>1258.6288396257974</v>
      </c>
      <c r="L29" s="243">
        <v>182.79645073083407</v>
      </c>
      <c r="M29" s="714">
        <v>56.032765323471779</v>
      </c>
      <c r="N29" s="714">
        <v>534.62289860466774</v>
      </c>
      <c r="O29" s="243">
        <v>443.56568292257293</v>
      </c>
      <c r="P29" s="714">
        <v>94.223187117752119</v>
      </c>
      <c r="Q29" s="714">
        <v>874.27516681166946</v>
      </c>
      <c r="R29" s="243">
        <v>626.362133653407</v>
      </c>
      <c r="S29" s="714">
        <v>150.25595244122391</v>
      </c>
      <c r="T29" s="714">
        <v>1408.8980654163372</v>
      </c>
      <c r="U29" s="243">
        <v>280.28521879775332</v>
      </c>
      <c r="V29" s="714">
        <v>59.792073405563769</v>
      </c>
      <c r="W29" s="714">
        <v>627.76976140398563</v>
      </c>
      <c r="X29" s="243">
        <v>285.24215026839016</v>
      </c>
      <c r="Y29" s="714">
        <v>81.527249798160682</v>
      </c>
      <c r="Z29" s="714">
        <v>665.24752892439096</v>
      </c>
      <c r="AA29" s="243">
        <v>561.41964950840236</v>
      </c>
      <c r="AB29" s="714">
        <v>140.99670379940889</v>
      </c>
      <c r="AC29" s="714">
        <v>1287.6534435113674</v>
      </c>
    </row>
    <row r="30" spans="1:29" x14ac:dyDescent="0.35">
      <c r="A30" s="200" t="s">
        <v>135</v>
      </c>
      <c r="B30" s="7" t="s">
        <v>127</v>
      </c>
      <c r="C30" s="243">
        <v>288.01505799402719</v>
      </c>
      <c r="D30" s="714">
        <v>58.257184844815029</v>
      </c>
      <c r="E30" s="714">
        <v>775.67286149712106</v>
      </c>
      <c r="F30" s="243">
        <v>113.21133076149198</v>
      </c>
      <c r="G30" s="714">
        <v>29.534392468087873</v>
      </c>
      <c r="H30" s="714">
        <v>198.18565990232742</v>
      </c>
      <c r="I30" s="243">
        <v>401.22638875551917</v>
      </c>
      <c r="J30" s="714">
        <v>87.791577312902902</v>
      </c>
      <c r="K30" s="714">
        <v>973.85852139944836</v>
      </c>
      <c r="L30" s="243">
        <v>140.52879437007624</v>
      </c>
      <c r="M30" s="714">
        <v>31.881531923660642</v>
      </c>
      <c r="N30" s="714">
        <v>315.23045452210403</v>
      </c>
      <c r="O30" s="243">
        <v>290.14397652794304</v>
      </c>
      <c r="P30" s="714">
        <v>58.029855209875912</v>
      </c>
      <c r="Q30" s="714">
        <v>1895.9540406234094</v>
      </c>
      <c r="R30" s="243">
        <v>430.67277089801928</v>
      </c>
      <c r="S30" s="714">
        <v>89.911387133536564</v>
      </c>
      <c r="T30" s="714">
        <v>2211.1844951455137</v>
      </c>
      <c r="U30" s="243">
        <v>259.72706306761785</v>
      </c>
      <c r="V30" s="714">
        <v>53.198311444125096</v>
      </c>
      <c r="W30" s="714">
        <v>687.35960335110735</v>
      </c>
      <c r="X30" s="243">
        <v>150.85657454158795</v>
      </c>
      <c r="Y30" s="714">
        <v>35.597256881234259</v>
      </c>
      <c r="Z30" s="714">
        <v>559.41297494936612</v>
      </c>
      <c r="AA30" s="243">
        <v>406.91397763509798</v>
      </c>
      <c r="AB30" s="714">
        <v>88.20102003168283</v>
      </c>
      <c r="AC30" s="714">
        <v>1212.8488807120445</v>
      </c>
    </row>
    <row r="31" spans="1:29" x14ac:dyDescent="0.35">
      <c r="A31" s="200" t="s">
        <v>129</v>
      </c>
      <c r="B31" s="7" t="s">
        <v>127</v>
      </c>
      <c r="C31" s="243">
        <v>79.485021362144408</v>
      </c>
      <c r="D31" s="714">
        <v>35.274237360743555</v>
      </c>
      <c r="E31" s="714">
        <v>149.73530468246426</v>
      </c>
      <c r="F31" s="243">
        <v>113.8850479474503</v>
      </c>
      <c r="G31" s="714">
        <v>58.23427789930799</v>
      </c>
      <c r="H31" s="714">
        <v>212.82944549116516</v>
      </c>
      <c r="I31" s="243">
        <v>193.37006930959473</v>
      </c>
      <c r="J31" s="714">
        <v>93.508515260051553</v>
      </c>
      <c r="K31" s="714">
        <v>362.56475017362948</v>
      </c>
      <c r="L31" s="243">
        <v>338.97556120742803</v>
      </c>
      <c r="M31" s="714">
        <v>143.07916433029828</v>
      </c>
      <c r="N31" s="714">
        <v>616.21109321483243</v>
      </c>
      <c r="O31" s="243">
        <v>698.5845456679084</v>
      </c>
      <c r="P31" s="714">
        <v>314.01478147400724</v>
      </c>
      <c r="Q31" s="714">
        <v>2576.7191993337124</v>
      </c>
      <c r="R31" s="243">
        <v>1037.5601068753365</v>
      </c>
      <c r="S31" s="714">
        <v>457.09394580430552</v>
      </c>
      <c r="T31" s="714">
        <v>3192.9302925485449</v>
      </c>
      <c r="U31" s="243">
        <v>129.25553486102015</v>
      </c>
      <c r="V31" s="714">
        <v>55.951317057685962</v>
      </c>
      <c r="W31" s="714">
        <v>239.20577071136651</v>
      </c>
      <c r="X31" s="243">
        <v>238.28919639861164</v>
      </c>
      <c r="Y31" s="714">
        <v>112.65566163860569</v>
      </c>
      <c r="Z31" s="714">
        <v>715.78471226617512</v>
      </c>
      <c r="AA31" s="243">
        <v>356.42595327777224</v>
      </c>
      <c r="AB31" s="714">
        <v>163.73529020079098</v>
      </c>
      <c r="AC31" s="714">
        <v>909.25179328988008</v>
      </c>
    </row>
    <row r="32" spans="1:29" x14ac:dyDescent="0.35">
      <c r="A32" s="200" t="s">
        <v>139</v>
      </c>
      <c r="B32" s="7" t="s">
        <v>127</v>
      </c>
      <c r="C32" s="243">
        <v>36.54579248098554</v>
      </c>
      <c r="D32" s="714">
        <v>14.326979762580519</v>
      </c>
      <c r="E32" s="714">
        <v>83.822291226060116</v>
      </c>
      <c r="F32" s="243">
        <v>26.928108679021509</v>
      </c>
      <c r="G32" s="714">
        <v>8.2317302159324299</v>
      </c>
      <c r="H32" s="714">
        <v>112.10241630286713</v>
      </c>
      <c r="I32" s="243">
        <v>63.473901160007046</v>
      </c>
      <c r="J32" s="714">
        <v>22.558709978512947</v>
      </c>
      <c r="K32" s="714">
        <v>195.92470752892726</v>
      </c>
      <c r="L32" s="243">
        <v>60.073164819827873</v>
      </c>
      <c r="M32" s="714">
        <v>19.527671240633971</v>
      </c>
      <c r="N32" s="714">
        <v>114.00248312955645</v>
      </c>
      <c r="O32" s="243">
        <v>84.595832364306503</v>
      </c>
      <c r="P32" s="714">
        <v>35.461493317587426</v>
      </c>
      <c r="Q32" s="714">
        <v>163.3105210857259</v>
      </c>
      <c r="R32" s="243">
        <v>144.66899718413438</v>
      </c>
      <c r="S32" s="714">
        <v>54.98916455822139</v>
      </c>
      <c r="T32" s="714">
        <v>277.31300421528232</v>
      </c>
      <c r="U32" s="243">
        <v>41.058363163838166</v>
      </c>
      <c r="V32" s="714">
        <v>15.324476956760609</v>
      </c>
      <c r="W32" s="714">
        <v>89.610878545764393</v>
      </c>
      <c r="X32" s="243">
        <v>39.19783712269917</v>
      </c>
      <c r="Y32" s="714">
        <v>14.025296833305832</v>
      </c>
      <c r="Z32" s="714">
        <v>122.99775774602854</v>
      </c>
      <c r="AA32" s="243">
        <v>79.156789570146714</v>
      </c>
      <c r="AB32" s="714">
        <v>28.822674493223758</v>
      </c>
      <c r="AC32" s="714">
        <v>211.64491277930543</v>
      </c>
    </row>
    <row r="33" spans="1:29" x14ac:dyDescent="0.35">
      <c r="A33" s="200" t="s">
        <v>133</v>
      </c>
      <c r="B33" s="7" t="s">
        <v>127</v>
      </c>
      <c r="C33" s="243">
        <v>22.504130758641768</v>
      </c>
      <c r="D33" s="714">
        <v>8.6905526118895047</v>
      </c>
      <c r="E33" s="714">
        <v>34.41566486140578</v>
      </c>
      <c r="F33" s="243">
        <v>21.397383522173659</v>
      </c>
      <c r="G33" s="714">
        <v>14.834599338595515</v>
      </c>
      <c r="H33" s="714">
        <v>32.959615244332866</v>
      </c>
      <c r="I33" s="243">
        <v>43.901514280815427</v>
      </c>
      <c r="J33" s="714">
        <v>23.525151950485022</v>
      </c>
      <c r="K33" s="714">
        <v>67.375280105738639</v>
      </c>
      <c r="L33" s="243">
        <v>16.431923473485394</v>
      </c>
      <c r="M33" s="714">
        <v>6.3943330187535796</v>
      </c>
      <c r="N33" s="714">
        <v>36.532512354271546</v>
      </c>
      <c r="O33" s="243">
        <v>35.806842520838742</v>
      </c>
      <c r="P33" s="714">
        <v>22.848177014806048</v>
      </c>
      <c r="Q33" s="714">
        <v>158.80051744033796</v>
      </c>
      <c r="R33" s="243">
        <v>52.23876599432414</v>
      </c>
      <c r="S33" s="714">
        <v>29.242510033559633</v>
      </c>
      <c r="T33" s="714">
        <v>195.33302979460953</v>
      </c>
      <c r="U33" s="243">
        <v>21.339476067052477</v>
      </c>
      <c r="V33" s="714">
        <v>8.2501356767492329</v>
      </c>
      <c r="W33" s="714">
        <v>34.821678070139917</v>
      </c>
      <c r="X33" s="243">
        <v>24.463225862315163</v>
      </c>
      <c r="Y33" s="714">
        <v>16.53961586544882</v>
      </c>
      <c r="Z33" s="714">
        <v>59.734275286036073</v>
      </c>
      <c r="AA33" s="243">
        <v>45.511860159726012</v>
      </c>
      <c r="AB33" s="714">
        <v>24.629463580229569</v>
      </c>
      <c r="AC33" s="714">
        <v>92.09040710043837</v>
      </c>
    </row>
    <row r="34" spans="1:29" x14ac:dyDescent="0.35">
      <c r="A34" s="200" t="s">
        <v>146</v>
      </c>
      <c r="B34" s="7" t="s">
        <v>145</v>
      </c>
      <c r="C34" s="243">
        <v>377167.14064197743</v>
      </c>
      <c r="D34" s="714">
        <v>139023.82812839549</v>
      </c>
      <c r="E34" s="714">
        <v>872457.08222759643</v>
      </c>
      <c r="F34" s="243">
        <v>683113.36200907058</v>
      </c>
      <c r="G34" s="714">
        <v>136622.67240181411</v>
      </c>
      <c r="H34" s="714">
        <v>1198099.6994282028</v>
      </c>
      <c r="I34" s="243">
        <v>1060280.5026510479</v>
      </c>
      <c r="J34" s="714">
        <v>275646.50053020963</v>
      </c>
      <c r="K34" s="714">
        <v>2070556.7816557996</v>
      </c>
      <c r="L34" s="243">
        <v>357267.86651337566</v>
      </c>
      <c r="M34" s="714">
        <v>176108.62015002035</v>
      </c>
      <c r="N34" s="714">
        <v>508255.1267010122</v>
      </c>
      <c r="O34" s="243">
        <v>1154334.997884613</v>
      </c>
      <c r="P34" s="714">
        <v>750344.22293810034</v>
      </c>
      <c r="Q34" s="714">
        <v>1411025.9459765633</v>
      </c>
      <c r="R34" s="243">
        <v>1511602.8643979887</v>
      </c>
      <c r="S34" s="714">
        <v>926452.84308812069</v>
      </c>
      <c r="T34" s="714">
        <v>1919281.0726775753</v>
      </c>
      <c r="U34" s="243">
        <v>373350.44238305092</v>
      </c>
      <c r="V34" s="714">
        <v>146136.72381629131</v>
      </c>
      <c r="W34" s="714">
        <v>802602.82721444475</v>
      </c>
      <c r="X34" s="243">
        <v>783373.28453578183</v>
      </c>
      <c r="Y34" s="714">
        <v>267201.72570740693</v>
      </c>
      <c r="Z34" s="714">
        <v>1243403.1561406199</v>
      </c>
      <c r="AA34" s="243">
        <v>1147453.7259473747</v>
      </c>
      <c r="AB34" s="714">
        <v>401350.19135303894</v>
      </c>
      <c r="AC34" s="714">
        <v>2041337.7748531562</v>
      </c>
    </row>
    <row r="35" spans="1:29" x14ac:dyDescent="0.35">
      <c r="A35" s="200" t="s">
        <v>143</v>
      </c>
      <c r="B35" s="7" t="s">
        <v>145</v>
      </c>
      <c r="C35" s="243">
        <v>295830.84049178869</v>
      </c>
      <c r="D35" s="714">
        <v>120277.44014623045</v>
      </c>
      <c r="E35" s="714">
        <v>402265.87123027572</v>
      </c>
      <c r="F35" s="243">
        <v>343001.96468984301</v>
      </c>
      <c r="G35" s="714">
        <v>77768.217381040129</v>
      </c>
      <c r="H35" s="714">
        <v>1482864.7129379683</v>
      </c>
      <c r="I35" s="243">
        <v>638832.8051816317</v>
      </c>
      <c r="J35" s="714">
        <v>198045.65752727058</v>
      </c>
      <c r="K35" s="714">
        <v>1885130.5841682442</v>
      </c>
      <c r="L35" s="243">
        <v>183863.98687385119</v>
      </c>
      <c r="M35" s="714">
        <v>48233.419811573811</v>
      </c>
      <c r="N35" s="714">
        <v>441719.99737477017</v>
      </c>
      <c r="O35" s="243">
        <v>899514.24915536679</v>
      </c>
      <c r="P35" s="714">
        <v>266091.71956766921</v>
      </c>
      <c r="Q35" s="714">
        <v>1162942.8498310733</v>
      </c>
      <c r="R35" s="243">
        <v>1083378.236029218</v>
      </c>
      <c r="S35" s="714">
        <v>314325.13937924302</v>
      </c>
      <c r="T35" s="714">
        <v>1604662.8472058433</v>
      </c>
      <c r="U35" s="243">
        <v>274355.49960752833</v>
      </c>
      <c r="V35" s="714">
        <v>106459.3337570064</v>
      </c>
      <c r="W35" s="714">
        <v>409833.20728434419</v>
      </c>
      <c r="X35" s="243">
        <v>461408.8337250608</v>
      </c>
      <c r="Y35" s="714">
        <v>117837.04763351439</v>
      </c>
      <c r="Z35" s="714">
        <v>1414796.2314258632</v>
      </c>
      <c r="AA35" s="243">
        <v>724697.05963301484</v>
      </c>
      <c r="AB35" s="714">
        <v>220505.11909045978</v>
      </c>
      <c r="AC35" s="714">
        <v>1830958.0486727667</v>
      </c>
    </row>
    <row r="36" spans="1:29" x14ac:dyDescent="0.35">
      <c r="A36" s="200" t="s">
        <v>40</v>
      </c>
      <c r="B36" s="7" t="s">
        <v>148</v>
      </c>
      <c r="C36" s="243">
        <v>31918.781568528757</v>
      </c>
      <c r="D36" s="714">
        <v>14844.256189035614</v>
      </c>
      <c r="E36" s="714">
        <v>72093.715518799581</v>
      </c>
      <c r="F36" s="243">
        <v>59302.928237256368</v>
      </c>
      <c r="G36" s="714">
        <v>11860.585647451275</v>
      </c>
      <c r="H36" s="714">
        <v>160456.78422901157</v>
      </c>
      <c r="I36" s="243">
        <v>91221.709805785125</v>
      </c>
      <c r="J36" s="714">
        <v>26704.841836486885</v>
      </c>
      <c r="K36" s="714">
        <v>232550.49974781115</v>
      </c>
      <c r="L36" s="243">
        <v>91861.563109842726</v>
      </c>
      <c r="M36" s="714">
        <v>51080.314498092383</v>
      </c>
      <c r="N36" s="714">
        <v>162354.70375296235</v>
      </c>
      <c r="O36" s="243">
        <v>125115.34004924072</v>
      </c>
      <c r="P36" s="714">
        <v>25023.068009848146</v>
      </c>
      <c r="Q36" s="714">
        <v>735132.67794578383</v>
      </c>
      <c r="R36" s="243">
        <v>216976.90315908345</v>
      </c>
      <c r="S36" s="714">
        <v>76103.382507940521</v>
      </c>
      <c r="T36" s="714">
        <v>897487.38169874623</v>
      </c>
      <c r="U36" s="243">
        <v>43415.859726526018</v>
      </c>
      <c r="V36" s="714">
        <v>21794.364005267587</v>
      </c>
      <c r="W36" s="714">
        <v>89405.852354341783</v>
      </c>
      <c r="X36" s="243">
        <v>73305.569048316873</v>
      </c>
      <c r="Y36" s="714">
        <v>14661.113809663375</v>
      </c>
      <c r="Z36" s="714">
        <v>282728.25097726099</v>
      </c>
      <c r="AA36" s="243">
        <v>115511.41153566878</v>
      </c>
      <c r="AB36" s="714">
        <v>36246.203801795062</v>
      </c>
      <c r="AC36" s="714">
        <v>360983.51393285487</v>
      </c>
    </row>
    <row r="37" spans="1:29" x14ac:dyDescent="0.35">
      <c r="A37" s="200" t="s">
        <v>41</v>
      </c>
      <c r="B37" s="7" t="s">
        <v>150</v>
      </c>
      <c r="C37" s="243">
        <v>10.690109023584879</v>
      </c>
      <c r="D37" s="714">
        <v>3.3871446117345196</v>
      </c>
      <c r="E37" s="714">
        <v>25.346341715908459</v>
      </c>
      <c r="F37" s="715"/>
      <c r="G37" s="714">
        <v>0</v>
      </c>
      <c r="H37" s="714">
        <v>0</v>
      </c>
      <c r="I37" s="243">
        <v>10.690109023584879</v>
      </c>
      <c r="J37" s="714">
        <v>3.3871446117345196</v>
      </c>
      <c r="K37" s="714">
        <v>25.346341715908459</v>
      </c>
      <c r="L37" s="243">
        <v>7.1076022792989635</v>
      </c>
      <c r="M37" s="714">
        <v>2.7470025385585775</v>
      </c>
      <c r="N37" s="714">
        <v>9.7410304347856211</v>
      </c>
      <c r="O37" s="715"/>
      <c r="P37" s="714">
        <v>0</v>
      </c>
      <c r="Q37" s="714">
        <v>0</v>
      </c>
      <c r="R37" s="243">
        <v>7.1076022792989635</v>
      </c>
      <c r="S37" s="714">
        <v>2.7470025385585775</v>
      </c>
      <c r="T37" s="714">
        <v>9.7410304347856211</v>
      </c>
      <c r="U37" s="243">
        <v>10.002981082879966</v>
      </c>
      <c r="V37" s="714">
        <v>3.2643647997490897</v>
      </c>
      <c r="W37" s="714">
        <v>22.353229303277281</v>
      </c>
      <c r="X37" s="715"/>
      <c r="Y37" s="714">
        <v>0</v>
      </c>
      <c r="Z37" s="714">
        <v>0</v>
      </c>
      <c r="AA37" s="243">
        <v>9.9981453921543135</v>
      </c>
      <c r="AB37" s="714">
        <v>3.2635007318471119</v>
      </c>
      <c r="AC37" s="714">
        <v>22.332165153390214</v>
      </c>
    </row>
    <row r="38" spans="1:29" x14ac:dyDescent="0.35">
      <c r="A38" s="200" t="s">
        <v>151</v>
      </c>
      <c r="B38" s="7" t="s">
        <v>150</v>
      </c>
      <c r="C38" s="716">
        <v>0.44495840011230475</v>
      </c>
      <c r="D38" s="714">
        <v>0.28252570958479029</v>
      </c>
      <c r="E38" s="714">
        <v>0.79694690906029053</v>
      </c>
      <c r="F38" s="717"/>
      <c r="G38" s="714">
        <v>0</v>
      </c>
      <c r="H38" s="714">
        <v>0</v>
      </c>
      <c r="I38" s="716">
        <v>0.44495840011230475</v>
      </c>
      <c r="J38" s="714">
        <v>0.28252570958479029</v>
      </c>
      <c r="K38" s="714">
        <v>0.79694690906029053</v>
      </c>
      <c r="L38" s="716">
        <v>1.6539842281407462</v>
      </c>
      <c r="M38" s="714">
        <v>0.59383416912544562</v>
      </c>
      <c r="N38" s="714">
        <v>3.4411968456281494</v>
      </c>
      <c r="O38" s="717"/>
      <c r="P38" s="714">
        <v>0</v>
      </c>
      <c r="Q38" s="714">
        <v>0</v>
      </c>
      <c r="R38" s="716">
        <v>1.6539842281407462</v>
      </c>
      <c r="S38" s="714">
        <v>0.59383416912544562</v>
      </c>
      <c r="T38" s="714">
        <v>3.4411968456281494</v>
      </c>
      <c r="U38" s="716">
        <v>0.67685061602991214</v>
      </c>
      <c r="V38" s="714">
        <v>0.34223494560210488</v>
      </c>
      <c r="W38" s="714">
        <v>1.3041163698075666</v>
      </c>
      <c r="X38" s="717"/>
      <c r="Y38" s="714">
        <v>0</v>
      </c>
      <c r="Z38" s="714">
        <v>0</v>
      </c>
      <c r="AA38" s="716">
        <v>0.67848256689588038</v>
      </c>
      <c r="AB38" s="714">
        <v>0.34265515177004013</v>
      </c>
      <c r="AC38" s="714">
        <v>1.3076855954384659</v>
      </c>
    </row>
    <row r="39" spans="1:29" x14ac:dyDescent="0.35">
      <c r="A39" s="200" t="s">
        <v>153</v>
      </c>
      <c r="B39" s="7" t="s">
        <v>155</v>
      </c>
      <c r="C39" s="243">
        <v>9584.5287297691484</v>
      </c>
      <c r="D39" s="714">
        <v>3033.23446148415</v>
      </c>
      <c r="E39" s="714">
        <v>20968.256924949503</v>
      </c>
      <c r="F39" s="243">
        <v>8464.2810107769692</v>
      </c>
      <c r="G39" s="714">
        <v>1692.8562021553939</v>
      </c>
      <c r="H39" s="714">
        <v>14787.896202155394</v>
      </c>
      <c r="I39" s="243">
        <v>18048.809740546116</v>
      </c>
      <c r="J39" s="714">
        <v>4726.090663639543</v>
      </c>
      <c r="K39" s="714">
        <v>35756.153127104903</v>
      </c>
      <c r="L39" s="243">
        <v>11869.706961417576</v>
      </c>
      <c r="M39" s="714">
        <v>3453.7852068989587</v>
      </c>
      <c r="N39" s="714">
        <v>30559.380289914992</v>
      </c>
      <c r="O39" s="243">
        <v>30363.678576413047</v>
      </c>
      <c r="P39" s="714">
        <v>6072.7357152826098</v>
      </c>
      <c r="Q39" s="714">
        <v>701352.78641161928</v>
      </c>
      <c r="R39" s="243">
        <v>42233.385537830625</v>
      </c>
      <c r="S39" s="714">
        <v>9526.5209221815694</v>
      </c>
      <c r="T39" s="714">
        <v>731912.16670153441</v>
      </c>
      <c r="U39" s="243">
        <v>10022.827922076534</v>
      </c>
      <c r="V39" s="714">
        <v>3113.8964638989964</v>
      </c>
      <c r="W39" s="714">
        <v>22807.842811934097</v>
      </c>
      <c r="X39" s="243">
        <v>13123.727301337836</v>
      </c>
      <c r="Y39" s="714">
        <v>2624.7454602675675</v>
      </c>
      <c r="Z39" s="714">
        <v>160865.53241693496</v>
      </c>
      <c r="AA39" s="243">
        <v>22720.07712056956</v>
      </c>
      <c r="AB39" s="714">
        <v>5653.2970560428657</v>
      </c>
      <c r="AC39" s="714">
        <v>170219.16396819332</v>
      </c>
    </row>
    <row r="40" spans="1:29" x14ac:dyDescent="0.35">
      <c r="A40" s="200" t="s">
        <v>156</v>
      </c>
      <c r="B40" s="7" t="s">
        <v>155</v>
      </c>
      <c r="C40" s="243">
        <v>4674.8272845630163</v>
      </c>
      <c r="D40" s="714">
        <v>1928.5654569126032</v>
      </c>
      <c r="E40" s="714">
        <v>7262.4897431482623</v>
      </c>
      <c r="F40" s="243">
        <v>5974.4455187908998</v>
      </c>
      <c r="G40" s="714">
        <v>2504.3931037581801</v>
      </c>
      <c r="H40" s="714">
        <v>9706.6651037581796</v>
      </c>
      <c r="I40" s="243">
        <v>10649.272803353917</v>
      </c>
      <c r="J40" s="714">
        <v>4432.9585606707842</v>
      </c>
      <c r="K40" s="714">
        <v>16969.154846906444</v>
      </c>
      <c r="L40" s="243">
        <v>2131.2810014187971</v>
      </c>
      <c r="M40" s="714">
        <v>960.73620028375944</v>
      </c>
      <c r="N40" s="714">
        <v>3092.6094905245054</v>
      </c>
      <c r="O40" s="243">
        <v>11472.256638066072</v>
      </c>
      <c r="P40" s="714">
        <v>2294.4513276132143</v>
      </c>
      <c r="Q40" s="714">
        <v>32735.614652404944</v>
      </c>
      <c r="R40" s="243">
        <v>13603.537639484868</v>
      </c>
      <c r="S40" s="714">
        <v>3255.1875278969737</v>
      </c>
      <c r="T40" s="714">
        <v>35828.224142929444</v>
      </c>
      <c r="U40" s="243">
        <v>4186.9728730082688</v>
      </c>
      <c r="V40" s="714">
        <v>1742.9349552751532</v>
      </c>
      <c r="W40" s="714">
        <v>6462.7030475498559</v>
      </c>
      <c r="X40" s="243">
        <v>7144.1925654451925</v>
      </c>
      <c r="Y40" s="714">
        <v>2459.7246407486132</v>
      </c>
      <c r="Z40" s="714">
        <v>14606.441603470257</v>
      </c>
      <c r="AA40" s="243">
        <v>11219.891079921676</v>
      </c>
      <c r="AB40" s="714">
        <v>4205.471278998034</v>
      </c>
      <c r="AC40" s="714">
        <v>20611.796998604037</v>
      </c>
    </row>
    <row r="41" spans="1:29" x14ac:dyDescent="0.35">
      <c r="A41" s="200" t="s">
        <v>158</v>
      </c>
      <c r="B41" s="7" t="s">
        <v>160</v>
      </c>
      <c r="C41" s="243">
        <v>643.58805311383639</v>
      </c>
      <c r="D41" s="714">
        <v>400.47196827881271</v>
      </c>
      <c r="E41" s="714">
        <v>830.43815856797301</v>
      </c>
      <c r="F41" s="243">
        <v>1102.149036332768</v>
      </c>
      <c r="G41" s="714">
        <v>529.82588796250775</v>
      </c>
      <c r="H41" s="714">
        <v>1716.6761919379981</v>
      </c>
      <c r="I41" s="243">
        <v>1745.7370894466044</v>
      </c>
      <c r="J41" s="714">
        <v>930.29785624132046</v>
      </c>
      <c r="K41" s="714">
        <v>2547.1143505059708</v>
      </c>
      <c r="L41" s="243">
        <v>336.46796551960944</v>
      </c>
      <c r="M41" s="714">
        <v>99.587602945353055</v>
      </c>
      <c r="N41" s="714">
        <v>530.51384636055548</v>
      </c>
      <c r="O41" s="243">
        <v>1922.6824470208885</v>
      </c>
      <c r="P41" s="714">
        <v>1394.5090921439037</v>
      </c>
      <c r="Q41" s="714">
        <v>2312.6054431810321</v>
      </c>
      <c r="R41" s="243">
        <v>2259.1504125404981</v>
      </c>
      <c r="S41" s="714">
        <v>1494.0966950892569</v>
      </c>
      <c r="T41" s="714">
        <v>2843.1192895415875</v>
      </c>
      <c r="U41" s="243">
        <v>584.68215051523646</v>
      </c>
      <c r="V41" s="714">
        <v>342.76208268776844</v>
      </c>
      <c r="W41" s="714">
        <v>772.9124120098885</v>
      </c>
      <c r="X41" s="243">
        <v>1276.7306130749212</v>
      </c>
      <c r="Y41" s="714">
        <v>713.80103778833677</v>
      </c>
      <c r="Z41" s="714">
        <v>1843.4696496492818</v>
      </c>
      <c r="AA41" s="243">
        <v>1844.9032244551508</v>
      </c>
      <c r="AB41" s="714">
        <v>1039.1959881283876</v>
      </c>
      <c r="AC41" s="714">
        <v>2604.2879072238093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D3444-5668-4EA2-AB20-7D99065501BC}">
  <dimension ref="B1:D24"/>
  <sheetViews>
    <sheetView workbookViewId="0">
      <selection activeCell="D20" sqref="D20"/>
    </sheetView>
  </sheetViews>
  <sheetFormatPr defaultRowHeight="14.5" x14ac:dyDescent="0.35"/>
  <cols>
    <col min="2" max="2" width="26" style="170" customWidth="1"/>
    <col min="3" max="3" width="60.7265625" style="170" customWidth="1"/>
    <col min="4" max="4" width="116.26953125" style="170" customWidth="1"/>
  </cols>
  <sheetData>
    <row r="1" spans="2:4" ht="15" thickBot="1" x14ac:dyDescent="0.4"/>
    <row r="2" spans="2:4" ht="15" thickBot="1" x14ac:dyDescent="0.4">
      <c r="B2" s="975" t="s">
        <v>1282</v>
      </c>
      <c r="C2" s="976"/>
      <c r="D2" s="960" t="s">
        <v>1254</v>
      </c>
    </row>
    <row r="3" spans="2:4" ht="15" thickBot="1" x14ac:dyDescent="0.4">
      <c r="B3" s="955" t="s">
        <v>63</v>
      </c>
      <c r="C3" s="956" t="s">
        <v>1255</v>
      </c>
      <c r="D3" s="956" t="s">
        <v>1256</v>
      </c>
    </row>
    <row r="4" spans="2:4" ht="15" thickBot="1" x14ac:dyDescent="0.4">
      <c r="B4" s="961" t="s">
        <v>65</v>
      </c>
      <c r="C4" s="957" t="s">
        <v>1257</v>
      </c>
      <c r="D4" s="957" t="s">
        <v>1258</v>
      </c>
    </row>
    <row r="5" spans="2:4" ht="39.5" thickBot="1" x14ac:dyDescent="0.4">
      <c r="B5" s="955" t="s">
        <v>66</v>
      </c>
      <c r="C5" s="956" t="s">
        <v>1259</v>
      </c>
      <c r="D5" s="956" t="s">
        <v>1260</v>
      </c>
    </row>
    <row r="6" spans="2:4" ht="15" thickBot="1" x14ac:dyDescent="0.4">
      <c r="B6" s="961" t="s">
        <v>1261</v>
      </c>
      <c r="C6" s="957" t="s">
        <v>1262</v>
      </c>
      <c r="D6" s="957" t="s">
        <v>1263</v>
      </c>
    </row>
    <row r="7" spans="2:4" ht="29.5" thickBot="1" x14ac:dyDescent="0.4">
      <c r="B7" s="955" t="s">
        <v>1264</v>
      </c>
      <c r="C7" s="956" t="s">
        <v>1265</v>
      </c>
      <c r="D7" s="956" t="s">
        <v>1266</v>
      </c>
    </row>
    <row r="8" spans="2:4" x14ac:dyDescent="0.35">
      <c r="B8" s="977" t="s">
        <v>1267</v>
      </c>
      <c r="C8" s="979" t="s">
        <v>1268</v>
      </c>
      <c r="D8" s="959" t="s">
        <v>1269</v>
      </c>
    </row>
    <row r="9" spans="2:4" ht="15" thickBot="1" x14ac:dyDescent="0.4">
      <c r="B9" s="978"/>
      <c r="C9" s="980"/>
      <c r="D9" s="957" t="s">
        <v>1270</v>
      </c>
    </row>
    <row r="10" spans="2:4" ht="15" thickBot="1" x14ac:dyDescent="0.4">
      <c r="B10" s="981" t="s">
        <v>1271</v>
      </c>
      <c r="C10" s="956" t="s">
        <v>1272</v>
      </c>
      <c r="D10" s="956" t="s">
        <v>1273</v>
      </c>
    </row>
    <row r="11" spans="2:4" x14ac:dyDescent="0.35">
      <c r="B11" s="982"/>
      <c r="C11" s="979" t="s">
        <v>1274</v>
      </c>
      <c r="D11" s="958" t="s">
        <v>1275</v>
      </c>
    </row>
    <row r="12" spans="2:4" ht="15" thickBot="1" x14ac:dyDescent="0.4">
      <c r="B12" s="983"/>
      <c r="C12" s="980"/>
      <c r="D12" s="957" t="s">
        <v>1276</v>
      </c>
    </row>
    <row r="13" spans="2:4" ht="15" thickBot="1" x14ac:dyDescent="0.4"/>
    <row r="14" spans="2:4" ht="15" thickBot="1" x14ac:dyDescent="0.4">
      <c r="B14" s="975" t="s">
        <v>1281</v>
      </c>
      <c r="C14" s="976"/>
    </row>
    <row r="15" spans="2:4" ht="21" customHeight="1" thickBot="1" x14ac:dyDescent="0.4">
      <c r="B15" s="962" t="s">
        <v>52</v>
      </c>
      <c r="C15" s="984" t="s">
        <v>1277</v>
      </c>
    </row>
    <row r="16" spans="2:4" ht="21" customHeight="1" thickBot="1" x14ac:dyDescent="0.4">
      <c r="B16" s="963" t="s">
        <v>56</v>
      </c>
      <c r="C16" s="985"/>
    </row>
    <row r="17" spans="2:3" ht="21" customHeight="1" thickBot="1" x14ac:dyDescent="0.4">
      <c r="B17" s="964" t="s">
        <v>54</v>
      </c>
      <c r="C17" s="985"/>
    </row>
    <row r="18" spans="2:3" ht="21" customHeight="1" thickBot="1" x14ac:dyDescent="0.4">
      <c r="B18" s="963" t="s">
        <v>73</v>
      </c>
      <c r="C18" s="969" t="s">
        <v>1278</v>
      </c>
    </row>
    <row r="19" spans="2:3" ht="21" customHeight="1" thickBot="1" x14ac:dyDescent="0.4">
      <c r="B19" s="965" t="s">
        <v>68</v>
      </c>
      <c r="C19" s="966" t="s">
        <v>1279</v>
      </c>
    </row>
    <row r="20" spans="2:3" ht="33" customHeight="1" thickBot="1" x14ac:dyDescent="0.4">
      <c r="B20" s="967" t="s">
        <v>70</v>
      </c>
      <c r="C20" s="970" t="s">
        <v>211</v>
      </c>
    </row>
    <row r="21" spans="2:3" ht="33" customHeight="1" thickBot="1" x14ac:dyDescent="0.4">
      <c r="B21" s="965" t="s">
        <v>72</v>
      </c>
      <c r="C21" s="971" t="s">
        <v>215</v>
      </c>
    </row>
    <row r="22" spans="2:3" ht="21" customHeight="1" thickBot="1" x14ac:dyDescent="0.4">
      <c r="B22" s="963" t="s">
        <v>58</v>
      </c>
      <c r="C22" s="972" t="s">
        <v>1280</v>
      </c>
    </row>
    <row r="23" spans="2:3" ht="21" customHeight="1" thickBot="1" x14ac:dyDescent="0.4">
      <c r="B23" s="965" t="s">
        <v>60</v>
      </c>
      <c r="C23" s="973"/>
    </row>
    <row r="24" spans="2:3" ht="21" customHeight="1" x14ac:dyDescent="0.35">
      <c r="B24" s="968" t="s">
        <v>62</v>
      </c>
      <c r="C24" s="974"/>
    </row>
  </sheetData>
  <mergeCells count="8">
    <mergeCell ref="C22:C24"/>
    <mergeCell ref="B2:C2"/>
    <mergeCell ref="B8:B9"/>
    <mergeCell ref="C8:C9"/>
    <mergeCell ref="B10:B12"/>
    <mergeCell ref="C11:C12"/>
    <mergeCell ref="C15:C17"/>
    <mergeCell ref="B14:C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79859-6DB4-42D5-98D5-E7DE27A44E88}">
  <sheetPr>
    <tabColor rgb="FFC00000"/>
  </sheetPr>
  <dimension ref="A1:BQ43"/>
  <sheetViews>
    <sheetView workbookViewId="0">
      <selection activeCell="R4" sqref="R4:S17"/>
    </sheetView>
  </sheetViews>
  <sheetFormatPr defaultRowHeight="14.5" x14ac:dyDescent="0.35"/>
  <cols>
    <col min="1" max="1" width="56.1796875" customWidth="1"/>
    <col min="2" max="2" width="15.453125" bestFit="1" customWidth="1"/>
    <col min="3" max="3" width="40.81640625" bestFit="1" customWidth="1"/>
    <col min="4" max="4" width="2.54296875" customWidth="1"/>
    <col min="5" max="7" width="11.1796875" bestFit="1" customWidth="1"/>
    <col min="8" max="8" width="2.54296875" customWidth="1"/>
    <col min="9" max="11" width="11.1796875" bestFit="1" customWidth="1"/>
    <col min="12" max="12" width="2.54296875" customWidth="1"/>
    <col min="13" max="13" width="19.54296875" bestFit="1" customWidth="1"/>
    <col min="14" max="14" width="2.26953125" customWidth="1"/>
    <col min="15" max="16" width="12.26953125" customWidth="1"/>
    <col min="17" max="17" width="2.7265625" customWidth="1"/>
    <col min="18" max="19" width="14.54296875" customWidth="1"/>
    <col min="21" max="21" width="18.26953125" bestFit="1" customWidth="1"/>
  </cols>
  <sheetData>
    <row r="1" spans="1:69" x14ac:dyDescent="0.35">
      <c r="A1" t="s">
        <v>1183</v>
      </c>
      <c r="B1">
        <v>1</v>
      </c>
      <c r="E1" t="str">
        <f ca="1">OFFSET(A35,B1-1,0) &amp;" Customers"</f>
        <v>All Customers</v>
      </c>
      <c r="O1" s="988" t="s">
        <v>217</v>
      </c>
      <c r="P1" s="989"/>
      <c r="Q1" s="989"/>
      <c r="R1" s="989"/>
      <c r="S1" s="989"/>
    </row>
    <row r="2" spans="1:69" ht="15" customHeight="1" x14ac:dyDescent="0.35">
      <c r="E2" s="987" t="s">
        <v>21</v>
      </c>
      <c r="F2" s="987"/>
      <c r="G2" s="987"/>
      <c r="I2" s="987" t="s">
        <v>22</v>
      </c>
      <c r="J2" s="987"/>
      <c r="K2" s="987"/>
      <c r="O2" s="846" t="s">
        <v>21</v>
      </c>
      <c r="P2" s="846"/>
      <c r="Q2" s="846"/>
      <c r="R2" t="s">
        <v>22</v>
      </c>
    </row>
    <row r="3" spans="1:69" x14ac:dyDescent="0.35">
      <c r="E3" s="848" t="s">
        <v>218</v>
      </c>
      <c r="F3" s="986" t="s">
        <v>219</v>
      </c>
      <c r="G3" s="986"/>
      <c r="I3" s="848" t="s">
        <v>218</v>
      </c>
      <c r="J3" s="986" t="s">
        <v>219</v>
      </c>
      <c r="K3" s="986"/>
      <c r="O3" s="847" t="s">
        <v>220</v>
      </c>
      <c r="P3" s="847" t="s">
        <v>26</v>
      </c>
      <c r="Q3" s="847"/>
      <c r="R3" s="847" t="s">
        <v>220</v>
      </c>
      <c r="S3" s="847" t="s">
        <v>26</v>
      </c>
      <c r="U3" s="481" t="s">
        <v>1184</v>
      </c>
      <c r="X3" s="51"/>
      <c r="Y3" s="51" t="s">
        <v>23</v>
      </c>
      <c r="Z3" s="51"/>
      <c r="AA3" s="51"/>
      <c r="AB3" s="51" t="s">
        <v>1185</v>
      </c>
      <c r="AC3" s="51"/>
      <c r="AD3" s="51"/>
      <c r="AE3" s="51" t="s">
        <v>1186</v>
      </c>
      <c r="AF3" s="51"/>
      <c r="AG3" s="51"/>
      <c r="AH3" s="51" t="s">
        <v>1187</v>
      </c>
      <c r="AI3" s="51"/>
      <c r="AJ3" s="51"/>
      <c r="AK3" s="51" t="s">
        <v>1188</v>
      </c>
      <c r="AL3" s="51"/>
      <c r="AM3" s="51"/>
      <c r="AN3" s="51" t="s">
        <v>1189</v>
      </c>
      <c r="AO3" s="51"/>
      <c r="AP3" s="51"/>
      <c r="AQ3" s="51" t="s">
        <v>1190</v>
      </c>
      <c r="AR3" s="51"/>
      <c r="AS3" s="51"/>
      <c r="AT3" s="51" t="s">
        <v>1191</v>
      </c>
      <c r="AU3" s="51"/>
      <c r="AV3" s="51"/>
      <c r="AW3" s="51" t="s">
        <v>1192</v>
      </c>
      <c r="AX3" s="51"/>
      <c r="AY3" s="51"/>
      <c r="AZ3" s="51" t="s">
        <v>1193</v>
      </c>
      <c r="BA3" s="51"/>
      <c r="BB3" s="51"/>
      <c r="BC3" s="51" t="s">
        <v>1194</v>
      </c>
      <c r="BD3" s="51"/>
      <c r="BE3" s="51"/>
      <c r="BF3" s="51" t="s">
        <v>1195</v>
      </c>
      <c r="BG3" s="51"/>
      <c r="BH3" s="51"/>
      <c r="BI3" s="51" t="s">
        <v>1196</v>
      </c>
      <c r="BJ3" s="51"/>
      <c r="BK3" s="51"/>
      <c r="BL3" s="51" t="s">
        <v>1197</v>
      </c>
      <c r="BM3" s="51"/>
      <c r="BN3" s="51"/>
      <c r="BO3" s="51" t="s">
        <v>1198</v>
      </c>
      <c r="BP3" s="51"/>
      <c r="BQ3" s="51"/>
    </row>
    <row r="4" spans="1:69" x14ac:dyDescent="0.35">
      <c r="A4" s="850" t="s">
        <v>146</v>
      </c>
      <c r="B4" t="s">
        <v>221</v>
      </c>
      <c r="C4" t="s">
        <v>222</v>
      </c>
      <c r="E4" s="849">
        <f ca="1">OFFSET(Y$5,MATCH($B4,$X$5:$X$22,0)-1,MIN($B$1-1,1)*30+($B$1-1)*3)</f>
        <v>291.93377685546881</v>
      </c>
      <c r="F4" s="807">
        <f t="shared" ref="F4:F17" ca="1" si="0">OFFSET(Z$5,MATCH($B4,$X$5:$X$22,0)-1,MIN($B$1-1,1)*30+($B$1-1)*3)</f>
        <v>173.52500915527341</v>
      </c>
      <c r="G4" s="807">
        <f t="shared" ref="G4:G17" ca="1" si="1">OFFSET(AA$5,MATCH($B4,$X$5:$X$22,0)-1,MIN($B$1-1,1)*30+($B$1-1)*3)</f>
        <v>640.677978515625</v>
      </c>
      <c r="I4" s="946">
        <v>22071.01171875</v>
      </c>
      <c r="J4" s="947">
        <v>7811.99072265625</v>
      </c>
      <c r="K4" s="947">
        <v>134581.296875</v>
      </c>
      <c r="M4" t="s">
        <v>223</v>
      </c>
      <c r="O4" s="400">
        <f ca="1">('WTP core_DCE'!$E56-'WTP core_DCE'!$G56)*E4*HHProps_SSW</f>
        <v>1968498.5098197942</v>
      </c>
      <c r="P4" s="400">
        <f ca="1">('WTP core_DCE'!$U56-'WTP core_DCE'!$W56)*E4*HHProps_CAM</f>
        <v>495856.81833343516</v>
      </c>
      <c r="Q4" s="400"/>
      <c r="R4" s="400">
        <f>('WTP core_DCE'!$E58-'WTP core_DCE'!$G58)*I4*NHHProps_SSW</f>
        <v>8273318.7427734379</v>
      </c>
      <c r="S4" s="400">
        <f>('WTP core_DCE'!$U58-'WTP core_DCE'!$W58)*I4*NHHProps_CAM</f>
        <v>2370426.6585937501</v>
      </c>
      <c r="T4" t="s">
        <v>224</v>
      </c>
      <c r="U4" s="400">
        <f t="shared" ref="U4:U17" ca="1" si="2">((O4*HHProps_SSW+P4*HHProps_CAM)/HHProps_All)+((R4*NHHProps_SSW+S4*NHHProps_CAM)/NHHProps_All)</f>
        <v>8630894.8275350761</v>
      </c>
      <c r="X4" s="51" t="s">
        <v>1199</v>
      </c>
      <c r="Y4" s="51" t="s">
        <v>1200</v>
      </c>
      <c r="Z4" s="192" t="s">
        <v>1201</v>
      </c>
      <c r="AA4" s="192"/>
      <c r="AB4" s="51" t="s">
        <v>1200</v>
      </c>
      <c r="AC4" s="192" t="s">
        <v>1201</v>
      </c>
      <c r="AD4" s="192"/>
      <c r="AE4" s="51" t="s">
        <v>1200</v>
      </c>
      <c r="AF4" s="192" t="s">
        <v>1201</v>
      </c>
      <c r="AG4" s="192"/>
      <c r="AH4" s="51" t="s">
        <v>1200</v>
      </c>
      <c r="AI4" s="192" t="s">
        <v>1201</v>
      </c>
      <c r="AJ4" s="192"/>
      <c r="AK4" s="51" t="s">
        <v>1200</v>
      </c>
      <c r="AL4" s="192" t="s">
        <v>1201</v>
      </c>
      <c r="AM4" s="192"/>
      <c r="AN4" s="51" t="s">
        <v>1200</v>
      </c>
      <c r="AO4" s="192" t="s">
        <v>1201</v>
      </c>
      <c r="AP4" s="192"/>
      <c r="AQ4" s="51" t="s">
        <v>1200</v>
      </c>
      <c r="AR4" s="192" t="s">
        <v>1201</v>
      </c>
      <c r="AS4" s="192"/>
      <c r="AT4" s="51" t="s">
        <v>1200</v>
      </c>
      <c r="AU4" s="192" t="s">
        <v>1201</v>
      </c>
      <c r="AV4" s="192"/>
      <c r="AW4" s="51" t="s">
        <v>1200</v>
      </c>
      <c r="AX4" s="192" t="s">
        <v>1201</v>
      </c>
      <c r="AY4" s="192"/>
      <c r="AZ4" s="51" t="s">
        <v>1200</v>
      </c>
      <c r="BA4" s="192" t="s">
        <v>1201</v>
      </c>
      <c r="BB4" s="192"/>
      <c r="BC4" s="51" t="s">
        <v>1200</v>
      </c>
      <c r="BD4" s="192" t="s">
        <v>1201</v>
      </c>
      <c r="BE4" s="192"/>
      <c r="BF4" s="51" t="s">
        <v>1200</v>
      </c>
      <c r="BG4" s="192" t="s">
        <v>1201</v>
      </c>
      <c r="BH4" s="192"/>
      <c r="BI4" s="51" t="s">
        <v>1200</v>
      </c>
      <c r="BJ4" s="192" t="s">
        <v>1201</v>
      </c>
      <c r="BK4" s="192"/>
      <c r="BL4" s="51" t="s">
        <v>1200</v>
      </c>
      <c r="BM4" s="192" t="s">
        <v>1201</v>
      </c>
      <c r="BN4" s="192"/>
      <c r="BO4" s="51" t="s">
        <v>1200</v>
      </c>
      <c r="BP4" s="192" t="s">
        <v>1201</v>
      </c>
      <c r="BQ4" s="192"/>
    </row>
    <row r="5" spans="1:69" x14ac:dyDescent="0.35">
      <c r="B5" t="s">
        <v>225</v>
      </c>
      <c r="C5" t="s">
        <v>226</v>
      </c>
      <c r="E5" s="849">
        <f t="shared" ref="E5:E17" ca="1" si="3">OFFSET(Y$5,MATCH($B5,$X$5:$X$22,0)-1,MIN($B$1-1,1)*30+($B$1-1)*3)</f>
        <v>307.35687255859381</v>
      </c>
      <c r="F5" s="807">
        <f t="shared" ca="1" si="0"/>
        <v>179.758544921875</v>
      </c>
      <c r="G5" s="807">
        <f t="shared" ca="1" si="1"/>
        <v>643.00628662109375</v>
      </c>
      <c r="I5" s="946">
        <v>29140.267578125</v>
      </c>
      <c r="J5" s="947">
        <v>10535.244140625</v>
      </c>
      <c r="K5" s="947">
        <v>186032.15625</v>
      </c>
      <c r="M5" t="s">
        <v>223</v>
      </c>
      <c r="O5" s="400">
        <f t="shared" ref="O5:O13" ca="1" si="4">E5</f>
        <v>307.35687255859381</v>
      </c>
      <c r="P5" s="400">
        <f t="shared" ref="P5:P13" ca="1" si="5">E5</f>
        <v>307.35687255859381</v>
      </c>
      <c r="Q5" s="400"/>
      <c r="R5" s="400">
        <f>I5</f>
        <v>29140.267578125</v>
      </c>
      <c r="S5" s="400">
        <f>I5</f>
        <v>29140.267578125</v>
      </c>
      <c r="U5" s="871">
        <f t="shared" ca="1" si="2"/>
        <v>29447.624450683594</v>
      </c>
      <c r="X5" s="51" t="s">
        <v>225</v>
      </c>
      <c r="Y5" s="716">
        <v>307.35687255859381</v>
      </c>
      <c r="Z5" s="716">
        <v>179.758544921875</v>
      </c>
      <c r="AA5" s="716">
        <v>643.00628662109375</v>
      </c>
      <c r="AB5" s="716">
        <v>302.28335571289063</v>
      </c>
      <c r="AC5" s="716">
        <v>173.0950622558594</v>
      </c>
      <c r="AD5" s="716">
        <v>590.88409423828125</v>
      </c>
      <c r="AE5" s="716">
        <v>308.49203491210938</v>
      </c>
      <c r="AF5" s="716">
        <v>118.0631484985352</v>
      </c>
      <c r="AG5" s="716">
        <v>1589.44384765625</v>
      </c>
      <c r="AH5" s="716">
        <v>164.91361999511719</v>
      </c>
      <c r="AI5" s="716">
        <v>60.894783020019531</v>
      </c>
      <c r="AJ5" s="716">
        <v>467.50936889648438</v>
      </c>
      <c r="AK5" s="716">
        <v>269.6617431640625</v>
      </c>
      <c r="AL5" s="716">
        <v>140.36860656738281</v>
      </c>
      <c r="AM5" s="716">
        <v>696.6556396484375</v>
      </c>
      <c r="AN5" s="716">
        <v>697.22625732421875</v>
      </c>
      <c r="AO5" s="716">
        <v>281.93307495117188</v>
      </c>
      <c r="AP5" s="716">
        <v>1989.964965820313</v>
      </c>
      <c r="AQ5" s="716">
        <v>281.3330078125</v>
      </c>
      <c r="AR5" s="716">
        <v>139.96980285644531</v>
      </c>
      <c r="AS5" s="716">
        <v>742.38037109375</v>
      </c>
      <c r="AT5" s="716">
        <v>333.35928344726563</v>
      </c>
      <c r="AU5" s="716">
        <v>170.56193542480469</v>
      </c>
      <c r="AV5" s="716">
        <v>743.448486328125</v>
      </c>
      <c r="AW5" s="716">
        <v>298.50723266601563</v>
      </c>
      <c r="AX5" s="716">
        <v>106.29843902587891</v>
      </c>
      <c r="AY5" s="716">
        <v>1084.064208984375</v>
      </c>
      <c r="AZ5" s="716">
        <v>204.97633361816409</v>
      </c>
      <c r="BA5" s="716">
        <v>102.23415374755859</v>
      </c>
      <c r="BB5" s="716">
        <v>540.470947265625</v>
      </c>
      <c r="BC5" s="716">
        <v>272.9815673828125</v>
      </c>
      <c r="BD5" s="716">
        <v>119.7752685546875</v>
      </c>
      <c r="BE5" s="716">
        <v>629.53021240234375</v>
      </c>
      <c r="BF5" s="716">
        <v>435.77859497070313</v>
      </c>
      <c r="BG5" s="716">
        <v>183.09910583496091</v>
      </c>
      <c r="BH5" s="716">
        <v>1104.277954101563</v>
      </c>
      <c r="BI5" s="716">
        <v>490.32656860351563</v>
      </c>
      <c r="BJ5" s="716">
        <v>157.76666259765631</v>
      </c>
      <c r="BK5" s="716">
        <v>2119.856689453125</v>
      </c>
      <c r="BL5" s="716">
        <v>371.01431274414063</v>
      </c>
      <c r="BM5" s="716">
        <v>123.1189880371094</v>
      </c>
      <c r="BN5" s="716">
        <v>1313.31689453125</v>
      </c>
      <c r="BO5" s="716">
        <v>73.791099548339844</v>
      </c>
      <c r="BP5" s="716">
        <v>14.06423377990723</v>
      </c>
      <c r="BQ5" s="716">
        <v>491.1961669921875</v>
      </c>
    </row>
    <row r="6" spans="1:69" x14ac:dyDescent="0.35">
      <c r="A6" s="123" t="s">
        <v>125</v>
      </c>
      <c r="B6" t="s">
        <v>227</v>
      </c>
      <c r="C6" t="s">
        <v>228</v>
      </c>
      <c r="E6" s="849">
        <f t="shared" ca="1" si="3"/>
        <v>210.8970947265625</v>
      </c>
      <c r="F6" s="807">
        <f t="shared" ca="1" si="0"/>
        <v>124.9308776855469</v>
      </c>
      <c r="G6" s="807">
        <f t="shared" ca="1" si="1"/>
        <v>448.49832153320313</v>
      </c>
      <c r="I6" s="946">
        <v>14669.2265625</v>
      </c>
      <c r="J6" s="947">
        <v>5092.60791015625</v>
      </c>
      <c r="K6" s="947">
        <v>103392.4765625</v>
      </c>
      <c r="M6" t="s">
        <v>223</v>
      </c>
      <c r="O6" s="400">
        <f t="shared" ca="1" si="4"/>
        <v>210.8970947265625</v>
      </c>
      <c r="P6" s="400">
        <f t="shared" ca="1" si="5"/>
        <v>210.8970947265625</v>
      </c>
      <c r="Q6" s="400"/>
      <c r="R6" s="400">
        <f t="shared" ref="R6:R16" si="6">I6</f>
        <v>14669.2265625</v>
      </c>
      <c r="S6" s="400">
        <f t="shared" ref="S6:S16" si="7">I6</f>
        <v>14669.2265625</v>
      </c>
      <c r="U6" s="400">
        <f t="shared" ca="1" si="2"/>
        <v>14880.123657226563</v>
      </c>
      <c r="X6" s="51" t="s">
        <v>221</v>
      </c>
      <c r="Y6" s="716">
        <v>291.93377685546881</v>
      </c>
      <c r="Z6" s="716">
        <v>173.52500915527341</v>
      </c>
      <c r="AA6" s="716">
        <v>640.677978515625</v>
      </c>
      <c r="AB6" s="716">
        <v>291.12362670898438</v>
      </c>
      <c r="AC6" s="716">
        <v>168.8983459472656</v>
      </c>
      <c r="AD6" s="716">
        <v>587.64898681640625</v>
      </c>
      <c r="AE6" s="716">
        <v>287.59548950195313</v>
      </c>
      <c r="AF6" s="716">
        <v>111.3675003051758</v>
      </c>
      <c r="AG6" s="716">
        <v>1520.731079101563</v>
      </c>
      <c r="AH6" s="716">
        <v>155.4979248046875</v>
      </c>
      <c r="AI6" s="716">
        <v>58.425815582275391</v>
      </c>
      <c r="AJ6" s="716">
        <v>465.41336059570313</v>
      </c>
      <c r="AK6" s="716">
        <v>259.49990844726563</v>
      </c>
      <c r="AL6" s="716">
        <v>137.6993103027344</v>
      </c>
      <c r="AM6" s="716">
        <v>694.2235107421875</v>
      </c>
      <c r="AN6" s="716">
        <v>665.51397705078125</v>
      </c>
      <c r="AO6" s="716">
        <v>267.629638671875</v>
      </c>
      <c r="AP6" s="716">
        <v>1886.833374023438</v>
      </c>
      <c r="AQ6" s="716">
        <v>274.45965576171881</v>
      </c>
      <c r="AR6" s="716">
        <v>136.47242736816409</v>
      </c>
      <c r="AS6" s="716">
        <v>741.16815185546875</v>
      </c>
      <c r="AT6" s="716">
        <v>312.7486572265625</v>
      </c>
      <c r="AU6" s="716">
        <v>164.36390686035159</v>
      </c>
      <c r="AV6" s="716">
        <v>726.604248046875</v>
      </c>
      <c r="AW6" s="716">
        <v>281.90402221679688</v>
      </c>
      <c r="AX6" s="716">
        <v>100.4199981689453</v>
      </c>
      <c r="AY6" s="716">
        <v>1042.936401367188</v>
      </c>
      <c r="AZ6" s="716">
        <v>199.68109130859381</v>
      </c>
      <c r="BA6" s="716">
        <v>100.2769317626953</v>
      </c>
      <c r="BB6" s="716">
        <v>548.67974853515625</v>
      </c>
      <c r="BC6" s="716">
        <v>260.8673095703125</v>
      </c>
      <c r="BD6" s="716">
        <v>113.4403610229492</v>
      </c>
      <c r="BE6" s="716">
        <v>622.45196533203125</v>
      </c>
      <c r="BF6" s="716">
        <v>409.98153686523438</v>
      </c>
      <c r="BG6" s="716">
        <v>167.53681945800781</v>
      </c>
      <c r="BH6" s="716">
        <v>1026.954223632813</v>
      </c>
      <c r="BI6" s="716">
        <v>493.38803100585938</v>
      </c>
      <c r="BJ6" s="716">
        <v>163.8298034667969</v>
      </c>
      <c r="BK6" s="716">
        <v>2154.120361328125</v>
      </c>
      <c r="BL6" s="716">
        <v>379.572021484375</v>
      </c>
      <c r="BM6" s="716">
        <v>122.2625427246094</v>
      </c>
      <c r="BN6" s="716">
        <v>1366.055786132813</v>
      </c>
      <c r="BO6" s="716">
        <v>68.947685241699219</v>
      </c>
      <c r="BP6" s="716">
        <v>13.21143627166748</v>
      </c>
      <c r="BQ6" s="716">
        <v>475.48257446289063</v>
      </c>
    </row>
    <row r="7" spans="1:69" x14ac:dyDescent="0.35">
      <c r="A7" s="123"/>
      <c r="B7" t="s">
        <v>229</v>
      </c>
      <c r="C7" t="s">
        <v>230</v>
      </c>
      <c r="E7" s="849">
        <f t="shared" ca="1" si="3"/>
        <v>201.0043029785156</v>
      </c>
      <c r="F7" s="807">
        <f t="shared" ca="1" si="0"/>
        <v>114.1414337158203</v>
      </c>
      <c r="G7" s="807">
        <f t="shared" ca="1" si="1"/>
        <v>405.39157104492188</v>
      </c>
      <c r="I7" s="946">
        <v>9093.123046875</v>
      </c>
      <c r="J7" s="947">
        <v>3206.287841796875</v>
      </c>
      <c r="K7" s="947">
        <v>51169.5859375</v>
      </c>
      <c r="M7" t="s">
        <v>223</v>
      </c>
      <c r="O7" s="400">
        <f t="shared" ca="1" si="4"/>
        <v>201.0043029785156</v>
      </c>
      <c r="P7" s="400">
        <f t="shared" ca="1" si="5"/>
        <v>201.0043029785156</v>
      </c>
      <c r="Q7" s="400"/>
      <c r="R7" s="400">
        <f t="shared" si="6"/>
        <v>9093.123046875</v>
      </c>
      <c r="S7" s="400">
        <f t="shared" si="7"/>
        <v>9093.123046875</v>
      </c>
      <c r="U7" s="400">
        <f t="shared" ca="1" si="2"/>
        <v>9294.1273498535156</v>
      </c>
      <c r="X7" s="51" t="s">
        <v>227</v>
      </c>
      <c r="Y7" s="716">
        <v>210.8970947265625</v>
      </c>
      <c r="Z7" s="716">
        <v>124.9308776855469</v>
      </c>
      <c r="AA7" s="716">
        <v>448.49832153320313</v>
      </c>
      <c r="AB7" s="716">
        <v>207.70829772949219</v>
      </c>
      <c r="AC7" s="716">
        <v>119.9931259155273</v>
      </c>
      <c r="AD7" s="716">
        <v>406.08969116210938</v>
      </c>
      <c r="AE7" s="716">
        <v>215.41291809082031</v>
      </c>
      <c r="AF7" s="716">
        <v>83.352005004882813</v>
      </c>
      <c r="AG7" s="716">
        <v>1135.69140625</v>
      </c>
      <c r="AH7" s="716">
        <v>116.26539611816411</v>
      </c>
      <c r="AI7" s="716">
        <v>44.633647918701172</v>
      </c>
      <c r="AJ7" s="716">
        <v>334.55642700195313</v>
      </c>
      <c r="AK7" s="716">
        <v>182.51780700683591</v>
      </c>
      <c r="AL7" s="716">
        <v>94.32989501953125</v>
      </c>
      <c r="AM7" s="716">
        <v>482.7850341796875</v>
      </c>
      <c r="AN7" s="716">
        <v>493.38101196289063</v>
      </c>
      <c r="AO7" s="716">
        <v>200.00675964355469</v>
      </c>
      <c r="AP7" s="716">
        <v>1386.261474609375</v>
      </c>
      <c r="AQ7" s="716">
        <v>203.302734375</v>
      </c>
      <c r="AR7" s="716">
        <v>100.48951721191411</v>
      </c>
      <c r="AS7" s="716">
        <v>537.185546875</v>
      </c>
      <c r="AT7" s="716">
        <v>219.19755554199219</v>
      </c>
      <c r="AU7" s="716">
        <v>115.10109710693359</v>
      </c>
      <c r="AV7" s="716">
        <v>497.82345581054688</v>
      </c>
      <c r="AW7" s="716">
        <v>201.0075378417969</v>
      </c>
      <c r="AX7" s="716">
        <v>71.628486633300781</v>
      </c>
      <c r="AY7" s="716">
        <v>728.13397216796875</v>
      </c>
      <c r="AZ7" s="716">
        <v>139.6479187011719</v>
      </c>
      <c r="BA7" s="716">
        <v>69.147354125976563</v>
      </c>
      <c r="BB7" s="716">
        <v>372.38345336914063</v>
      </c>
      <c r="BC7" s="716">
        <v>191.3329772949219</v>
      </c>
      <c r="BD7" s="716">
        <v>85.220237731933594</v>
      </c>
      <c r="BE7" s="716">
        <v>453.83377075195313</v>
      </c>
      <c r="BF7" s="716">
        <v>313.505859375</v>
      </c>
      <c r="BG7" s="716">
        <v>129.81585693359381</v>
      </c>
      <c r="BH7" s="716">
        <v>791.0968017578125</v>
      </c>
      <c r="BI7" s="716">
        <v>329.09384155273438</v>
      </c>
      <c r="BJ7" s="716">
        <v>108.9093017578125</v>
      </c>
      <c r="BK7" s="716">
        <v>1420.133544921875</v>
      </c>
      <c r="BL7" s="716">
        <v>272.67684936523438</v>
      </c>
      <c r="BM7" s="716">
        <v>90.169029235839844</v>
      </c>
      <c r="BN7" s="716">
        <v>956.6348876953125</v>
      </c>
      <c r="BO7" s="716">
        <v>46.451309204101563</v>
      </c>
      <c r="BP7" s="716">
        <v>8.6134424209594727</v>
      </c>
      <c r="BQ7" s="716">
        <v>322.31436157226563</v>
      </c>
    </row>
    <row r="8" spans="1:69" x14ac:dyDescent="0.35">
      <c r="A8" s="123" t="s">
        <v>137</v>
      </c>
      <c r="B8" t="s">
        <v>231</v>
      </c>
      <c r="C8" t="s">
        <v>232</v>
      </c>
      <c r="E8" s="849">
        <f t="shared" ca="1" si="3"/>
        <v>171.9460754394531</v>
      </c>
      <c r="F8" s="807">
        <f t="shared" ca="1" si="0"/>
        <v>103.1880645751953</v>
      </c>
      <c r="G8" s="807">
        <f t="shared" ca="1" si="1"/>
        <v>375.68820190429688</v>
      </c>
      <c r="I8" s="946">
        <v>10708.5107421875</v>
      </c>
      <c r="J8" s="947">
        <v>4047.543701171875</v>
      </c>
      <c r="K8" s="947">
        <v>68016.671875</v>
      </c>
      <c r="M8" t="s">
        <v>223</v>
      </c>
      <c r="O8" s="400">
        <f t="shared" ca="1" si="4"/>
        <v>171.9460754394531</v>
      </c>
      <c r="P8" s="400">
        <f t="shared" ca="1" si="5"/>
        <v>171.9460754394531</v>
      </c>
      <c r="Q8" s="400"/>
      <c r="R8" s="400">
        <f t="shared" si="6"/>
        <v>10708.5107421875</v>
      </c>
      <c r="S8" s="400">
        <f t="shared" si="7"/>
        <v>10708.5107421875</v>
      </c>
      <c r="U8" s="871">
        <f t="shared" ca="1" si="2"/>
        <v>10880.456817626953</v>
      </c>
      <c r="X8" s="51" t="s">
        <v>229</v>
      </c>
      <c r="Y8" s="716">
        <v>201.0043029785156</v>
      </c>
      <c r="Z8" s="716">
        <v>114.1414337158203</v>
      </c>
      <c r="AA8" s="716">
        <v>405.39157104492188</v>
      </c>
      <c r="AB8" s="716">
        <v>195.1654357910156</v>
      </c>
      <c r="AC8" s="716">
        <v>108.9683837890625</v>
      </c>
      <c r="AD8" s="716">
        <v>366.8837890625</v>
      </c>
      <c r="AE8" s="716">
        <v>206.2502746582031</v>
      </c>
      <c r="AF8" s="716">
        <v>79.007003784179688</v>
      </c>
      <c r="AG8" s="716">
        <v>1043.617309570313</v>
      </c>
      <c r="AH8" s="716">
        <v>107.140266418457</v>
      </c>
      <c r="AI8" s="716">
        <v>40.305553436279297</v>
      </c>
      <c r="AJ8" s="716">
        <v>287.23641967773438</v>
      </c>
      <c r="AK8" s="716">
        <v>178.1352233886719</v>
      </c>
      <c r="AL8" s="716">
        <v>90.178337097167969</v>
      </c>
      <c r="AM8" s="716">
        <v>447.6378173828125</v>
      </c>
      <c r="AN8" s="716">
        <v>434.0128173828125</v>
      </c>
      <c r="AO8" s="716">
        <v>173.52349853515631</v>
      </c>
      <c r="AP8" s="716">
        <v>1186.438354492188</v>
      </c>
      <c r="AQ8" s="716">
        <v>184.9916076660156</v>
      </c>
      <c r="AR8" s="716">
        <v>90.310745239257813</v>
      </c>
      <c r="AS8" s="716">
        <v>474.94345092773438</v>
      </c>
      <c r="AT8" s="716">
        <v>213.67131042480469</v>
      </c>
      <c r="AU8" s="716">
        <v>107.6340789794922</v>
      </c>
      <c r="AV8" s="716">
        <v>462.77676391601563</v>
      </c>
      <c r="AW8" s="716">
        <v>189.96177673339841</v>
      </c>
      <c r="AX8" s="716">
        <v>66.148933410644531</v>
      </c>
      <c r="AY8" s="716">
        <v>667.48870849609375</v>
      </c>
      <c r="AZ8" s="716">
        <v>139.1668395996094</v>
      </c>
      <c r="BA8" s="716">
        <v>67.100212097167969</v>
      </c>
      <c r="BB8" s="716">
        <v>350.70233154296881</v>
      </c>
      <c r="BC8" s="716">
        <v>174.68702697753909</v>
      </c>
      <c r="BD8" s="716">
        <v>75.412635803222656</v>
      </c>
      <c r="BE8" s="716">
        <v>393.49493408203131</v>
      </c>
      <c r="BF8" s="716">
        <v>272.803466796875</v>
      </c>
      <c r="BG8" s="716">
        <v>116.72169494628911</v>
      </c>
      <c r="BH8" s="716">
        <v>686.1187744140625</v>
      </c>
      <c r="BI8" s="716">
        <v>315.9019775390625</v>
      </c>
      <c r="BJ8" s="716">
        <v>100.8546142578125</v>
      </c>
      <c r="BK8" s="716">
        <v>1298.73583984375</v>
      </c>
      <c r="BL8" s="716">
        <v>261.80764770507813</v>
      </c>
      <c r="BM8" s="716">
        <v>89.683563232421875</v>
      </c>
      <c r="BN8" s="716">
        <v>922.40338134765625</v>
      </c>
      <c r="BO8" s="716">
        <v>45.179031372070313</v>
      </c>
      <c r="BP8" s="716">
        <v>8.4768972396850586</v>
      </c>
      <c r="BQ8" s="716">
        <v>287.63528442382813</v>
      </c>
    </row>
    <row r="9" spans="1:69" x14ac:dyDescent="0.35">
      <c r="A9" s="123" t="s">
        <v>131</v>
      </c>
      <c r="B9" t="s">
        <v>233</v>
      </c>
      <c r="C9" t="s">
        <v>234</v>
      </c>
      <c r="E9" s="849">
        <f t="shared" ca="1" si="3"/>
        <v>118.4474258422852</v>
      </c>
      <c r="F9" s="807">
        <f t="shared" ca="1" si="0"/>
        <v>71.18505859375</v>
      </c>
      <c r="G9" s="807">
        <f t="shared" ca="1" si="1"/>
        <v>255.88572692871091</v>
      </c>
      <c r="I9" s="946">
        <v>7756.318359375</v>
      </c>
      <c r="J9" s="947">
        <v>2661.54150390625</v>
      </c>
      <c r="K9" s="947">
        <v>46142.13671875</v>
      </c>
      <c r="M9" t="s">
        <v>223</v>
      </c>
      <c r="O9" s="400">
        <f t="shared" ca="1" si="4"/>
        <v>118.4474258422852</v>
      </c>
      <c r="P9" s="400">
        <f t="shared" ca="1" si="5"/>
        <v>118.4474258422852</v>
      </c>
      <c r="Q9" s="400"/>
      <c r="R9" s="400">
        <f t="shared" si="6"/>
        <v>7756.318359375</v>
      </c>
      <c r="S9" s="400">
        <f t="shared" si="7"/>
        <v>7756.318359375</v>
      </c>
      <c r="U9" s="400">
        <f t="shared" ca="1" si="2"/>
        <v>7874.7657852172852</v>
      </c>
      <c r="X9" s="51" t="s">
        <v>231</v>
      </c>
      <c r="Y9" s="716">
        <v>171.9460754394531</v>
      </c>
      <c r="Z9" s="716">
        <v>103.1880645751953</v>
      </c>
      <c r="AA9" s="716">
        <v>375.68820190429688</v>
      </c>
      <c r="AB9" s="716">
        <v>170.22564697265631</v>
      </c>
      <c r="AC9" s="716">
        <v>99.657028198242188</v>
      </c>
      <c r="AD9" s="716">
        <v>343.8177490234375</v>
      </c>
      <c r="AE9" s="716">
        <v>174.93006896972659</v>
      </c>
      <c r="AF9" s="716">
        <v>66.735710144042969</v>
      </c>
      <c r="AG9" s="716">
        <v>915.22979736328125</v>
      </c>
      <c r="AH9" s="716">
        <v>93.817710876464844</v>
      </c>
      <c r="AI9" s="716">
        <v>35.764003753662109</v>
      </c>
      <c r="AJ9" s="716">
        <v>266.76434326171881</v>
      </c>
      <c r="AK9" s="716">
        <v>154.40440368652341</v>
      </c>
      <c r="AL9" s="716">
        <v>81.599014282226563</v>
      </c>
      <c r="AM9" s="716">
        <v>415.03057861328131</v>
      </c>
      <c r="AN9" s="716">
        <v>378.3763427734375</v>
      </c>
      <c r="AO9" s="716">
        <v>153.41845703125</v>
      </c>
      <c r="AP9" s="716">
        <v>1070.386596679688</v>
      </c>
      <c r="AQ9" s="716">
        <v>156.68324279785159</v>
      </c>
      <c r="AR9" s="716">
        <v>78.925392150878906</v>
      </c>
      <c r="AS9" s="716">
        <v>429.25216674804688</v>
      </c>
      <c r="AT9" s="716">
        <v>190.52009582519531</v>
      </c>
      <c r="AU9" s="716">
        <v>98.947425842285156</v>
      </c>
      <c r="AV9" s="716">
        <v>433.16668701171881</v>
      </c>
      <c r="AW9" s="716">
        <v>172.11613464355469</v>
      </c>
      <c r="AX9" s="716">
        <v>61.721065521240227</v>
      </c>
      <c r="AY9" s="716">
        <v>638.729248046875</v>
      </c>
      <c r="AZ9" s="716">
        <v>117.7243728637695</v>
      </c>
      <c r="BA9" s="716">
        <v>59.277229309082031</v>
      </c>
      <c r="BB9" s="716">
        <v>318.55215454101563</v>
      </c>
      <c r="BC9" s="716">
        <v>157.5559387207031</v>
      </c>
      <c r="BD9" s="716">
        <v>69.04156494140625</v>
      </c>
      <c r="BE9" s="716">
        <v>370.572998046875</v>
      </c>
      <c r="BF9" s="716">
        <v>237.67828369140631</v>
      </c>
      <c r="BG9" s="716">
        <v>98.187530517578125</v>
      </c>
      <c r="BH9" s="716">
        <v>588.64276123046875</v>
      </c>
      <c r="BI9" s="716">
        <v>287.28201293945313</v>
      </c>
      <c r="BJ9" s="716">
        <v>92.94830322265625</v>
      </c>
      <c r="BK9" s="716">
        <v>1269.001342773438</v>
      </c>
      <c r="BL9" s="716">
        <v>224.515625</v>
      </c>
      <c r="BM9" s="716">
        <v>73.701560974121094</v>
      </c>
      <c r="BN9" s="716">
        <v>783.191162109375</v>
      </c>
      <c r="BO9" s="716">
        <v>39.742702484130859</v>
      </c>
      <c r="BP9" s="716">
        <v>7.7100710868835449</v>
      </c>
      <c r="BQ9" s="716">
        <v>266.11273193359381</v>
      </c>
    </row>
    <row r="10" spans="1:69" x14ac:dyDescent="0.35">
      <c r="A10" s="123" t="s">
        <v>129</v>
      </c>
      <c r="B10" t="s">
        <v>235</v>
      </c>
      <c r="C10" t="s">
        <v>236</v>
      </c>
      <c r="E10" s="849">
        <f t="shared" ca="1" si="3"/>
        <v>134.23005676269531</v>
      </c>
      <c r="F10" s="807">
        <f t="shared" ca="1" si="0"/>
        <v>77.805740356445313</v>
      </c>
      <c r="G10" s="807">
        <f t="shared" ca="1" si="1"/>
        <v>281.35348510742188</v>
      </c>
      <c r="I10" s="946">
        <v>5540.083984375</v>
      </c>
      <c r="J10" s="947">
        <v>1871.292358398438</v>
      </c>
      <c r="K10" s="947">
        <v>33221.578125</v>
      </c>
      <c r="M10" t="s">
        <v>223</v>
      </c>
      <c r="O10" s="400">
        <f t="shared" ca="1" si="4"/>
        <v>134.23005676269531</v>
      </c>
      <c r="P10" s="400">
        <f t="shared" ca="1" si="5"/>
        <v>134.23005676269531</v>
      </c>
      <c r="Q10" s="400"/>
      <c r="R10" s="400">
        <f t="shared" si="6"/>
        <v>5540.083984375</v>
      </c>
      <c r="S10" s="400">
        <f t="shared" si="7"/>
        <v>5540.083984375</v>
      </c>
      <c r="U10" s="400">
        <f t="shared" ca="1" si="2"/>
        <v>5674.3140411376953</v>
      </c>
      <c r="X10" s="51" t="s">
        <v>235</v>
      </c>
      <c r="Y10" s="716">
        <v>134.23005676269531</v>
      </c>
      <c r="Z10" s="716">
        <v>77.805740356445313</v>
      </c>
      <c r="AA10" s="716">
        <v>281.35348510742188</v>
      </c>
      <c r="AB10" s="716">
        <v>132.796142578125</v>
      </c>
      <c r="AC10" s="716">
        <v>75.624656677246094</v>
      </c>
      <c r="AD10" s="716">
        <v>259.1923828125</v>
      </c>
      <c r="AE10" s="716">
        <v>130.9083557128906</v>
      </c>
      <c r="AF10" s="716">
        <v>50.3419189453125</v>
      </c>
      <c r="AG10" s="716">
        <v>680.4979248046875</v>
      </c>
      <c r="AH10" s="716">
        <v>72.951736450195313</v>
      </c>
      <c r="AI10" s="716">
        <v>27.114250183105469</v>
      </c>
      <c r="AJ10" s="716">
        <v>204.0652160644531</v>
      </c>
      <c r="AK10" s="716">
        <v>117.64056396484381</v>
      </c>
      <c r="AL10" s="716">
        <v>60.325355529785163</v>
      </c>
      <c r="AM10" s="716">
        <v>305.74685668945313</v>
      </c>
      <c r="AN10" s="716">
        <v>301.79788208007813</v>
      </c>
      <c r="AO10" s="716">
        <v>122.48952484130859</v>
      </c>
      <c r="AP10" s="716">
        <v>846.51226806640625</v>
      </c>
      <c r="AQ10" s="716">
        <v>123.9115905761719</v>
      </c>
      <c r="AR10" s="716">
        <v>60.345924377441413</v>
      </c>
      <c r="AS10" s="716">
        <v>325.87469482421881</v>
      </c>
      <c r="AT10" s="716">
        <v>144.24853515625</v>
      </c>
      <c r="AU10" s="716">
        <v>74.481285095214844</v>
      </c>
      <c r="AV10" s="716">
        <v>323.38775634765631</v>
      </c>
      <c r="AW10" s="716">
        <v>128.86125183105469</v>
      </c>
      <c r="AX10" s="716">
        <v>45.345054626464837</v>
      </c>
      <c r="AY10" s="716">
        <v>462.50454711914063</v>
      </c>
      <c r="AZ10" s="716">
        <v>89.770523071289063</v>
      </c>
      <c r="BA10" s="716">
        <v>44.164131164550781</v>
      </c>
      <c r="BB10" s="716">
        <v>240.9144287109375</v>
      </c>
      <c r="BC10" s="716">
        <v>120.0420455932617</v>
      </c>
      <c r="BD10" s="716">
        <v>51.884792327880859</v>
      </c>
      <c r="BE10" s="716">
        <v>275.85003662109381</v>
      </c>
      <c r="BF10" s="716">
        <v>180.91319274902341</v>
      </c>
      <c r="BG10" s="716">
        <v>75.297645568847656</v>
      </c>
      <c r="BH10" s="716">
        <v>461.97048950195313</v>
      </c>
      <c r="BI10" s="716">
        <v>218.62635803222659</v>
      </c>
      <c r="BJ10" s="716">
        <v>70.462478637695313</v>
      </c>
      <c r="BK10" s="716">
        <v>932.56195068359375</v>
      </c>
      <c r="BL10" s="716">
        <v>174.46783447265631</v>
      </c>
      <c r="BM10" s="716">
        <v>58.617057800292969</v>
      </c>
      <c r="BN10" s="716">
        <v>620.24932861328125</v>
      </c>
      <c r="BO10" s="716">
        <v>34.130832672119141</v>
      </c>
      <c r="BP10" s="716">
        <v>6.5427594184875488</v>
      </c>
      <c r="BQ10" s="716">
        <v>226.1706848144531</v>
      </c>
    </row>
    <row r="11" spans="1:69" x14ac:dyDescent="0.35">
      <c r="A11" s="123"/>
      <c r="B11" t="s">
        <v>237</v>
      </c>
      <c r="C11" t="s">
        <v>238</v>
      </c>
      <c r="E11" s="849">
        <f t="shared" ca="1" si="3"/>
        <v>98.961204528808594</v>
      </c>
      <c r="F11" s="807">
        <f t="shared" ca="1" si="0"/>
        <v>58.823062896728523</v>
      </c>
      <c r="G11" s="807">
        <f t="shared" ca="1" si="1"/>
        <v>211.42877197265631</v>
      </c>
      <c r="I11" s="946">
        <v>5222.22021484375</v>
      </c>
      <c r="J11" s="947">
        <v>1733.430419921875</v>
      </c>
      <c r="K11" s="947">
        <v>31154.22265625</v>
      </c>
      <c r="M11" t="s">
        <v>223</v>
      </c>
      <c r="O11" s="400">
        <f t="shared" ca="1" si="4"/>
        <v>98.961204528808594</v>
      </c>
      <c r="P11" s="400">
        <f t="shared" ca="1" si="5"/>
        <v>98.961204528808594</v>
      </c>
      <c r="Q11" s="400"/>
      <c r="R11" s="400">
        <f t="shared" si="6"/>
        <v>5222.22021484375</v>
      </c>
      <c r="S11" s="400">
        <f t="shared" si="7"/>
        <v>5222.22021484375</v>
      </c>
      <c r="U11" s="400">
        <f t="shared" ca="1" si="2"/>
        <v>5321.1814193725586</v>
      </c>
      <c r="X11" s="51" t="s">
        <v>1202</v>
      </c>
      <c r="Y11" s="716">
        <v>120.4465026855469</v>
      </c>
      <c r="Z11" s="716">
        <v>71.32379150390625</v>
      </c>
      <c r="AA11" s="716">
        <v>254.36219787597659</v>
      </c>
      <c r="AB11" s="716">
        <v>118.1040954589844</v>
      </c>
      <c r="AC11" s="716">
        <v>67.563346862792969</v>
      </c>
      <c r="AD11" s="716">
        <v>230.7789001464844</v>
      </c>
      <c r="AE11" s="716">
        <v>125.1634979248047</v>
      </c>
      <c r="AF11" s="716">
        <v>48.843475341796882</v>
      </c>
      <c r="AG11" s="716">
        <v>652.2928466796875</v>
      </c>
      <c r="AH11" s="716">
        <v>64.126785278320313</v>
      </c>
      <c r="AI11" s="716">
        <v>24.064041137695309</v>
      </c>
      <c r="AJ11" s="716">
        <v>183.5926513671875</v>
      </c>
      <c r="AK11" s="716">
        <v>106.6000595092773</v>
      </c>
      <c r="AL11" s="716">
        <v>55.855274200439453</v>
      </c>
      <c r="AM11" s="716">
        <v>277.42886352539063</v>
      </c>
      <c r="AN11" s="716">
        <v>273.26596069335938</v>
      </c>
      <c r="AO11" s="716">
        <v>110.7399139404297</v>
      </c>
      <c r="AP11" s="716">
        <v>773.21197509765625</v>
      </c>
      <c r="AQ11" s="716">
        <v>115.3017044067383</v>
      </c>
      <c r="AR11" s="716">
        <v>57.609340667724609</v>
      </c>
      <c r="AS11" s="716">
        <v>303.906494140625</v>
      </c>
      <c r="AT11" s="716">
        <v>125.6558456420898</v>
      </c>
      <c r="AU11" s="716">
        <v>65.405532836914063</v>
      </c>
      <c r="AV11" s="716">
        <v>284.212890625</v>
      </c>
      <c r="AW11" s="716">
        <v>118.4228591918945</v>
      </c>
      <c r="AX11" s="716">
        <v>42.290576934814453</v>
      </c>
      <c r="AY11" s="716">
        <v>430.59268188476563</v>
      </c>
      <c r="AZ11" s="716">
        <v>82.08306884765625</v>
      </c>
      <c r="BA11" s="716">
        <v>40.986679077148438</v>
      </c>
      <c r="BB11" s="716">
        <v>217.8338928222656</v>
      </c>
      <c r="BC11" s="716">
        <v>104.516227722168</v>
      </c>
      <c r="BD11" s="716">
        <v>46.385890960693359</v>
      </c>
      <c r="BE11" s="716">
        <v>243.42262268066409</v>
      </c>
      <c r="BF11" s="716">
        <v>166.6176452636719</v>
      </c>
      <c r="BG11" s="716">
        <v>70.080406188964844</v>
      </c>
      <c r="BH11" s="716">
        <v>422.22763061523438</v>
      </c>
      <c r="BI11" s="716">
        <v>199.46211242675781</v>
      </c>
      <c r="BJ11" s="716">
        <v>65.947471618652344</v>
      </c>
      <c r="BK11" s="716">
        <v>857.900390625</v>
      </c>
      <c r="BL11" s="716">
        <v>160.81251525878909</v>
      </c>
      <c r="BM11" s="716">
        <v>52.69549560546875</v>
      </c>
      <c r="BN11" s="716">
        <v>556.6650390625</v>
      </c>
      <c r="BO11" s="716">
        <v>28.02549934387207</v>
      </c>
      <c r="BP11" s="716">
        <v>5.4271578788757324</v>
      </c>
      <c r="BQ11" s="716">
        <v>188.9486083984375</v>
      </c>
    </row>
    <row r="12" spans="1:69" x14ac:dyDescent="0.35">
      <c r="A12" s="123"/>
      <c r="B12" t="s">
        <v>239</v>
      </c>
      <c r="C12" t="s">
        <v>240</v>
      </c>
      <c r="E12" s="849">
        <f t="shared" ca="1" si="3"/>
        <v>107.7614288330078</v>
      </c>
      <c r="F12" s="807">
        <f t="shared" ca="1" si="0"/>
        <v>62.285007476806641</v>
      </c>
      <c r="G12" s="807">
        <f t="shared" ca="1" si="1"/>
        <v>222.91084289550781</v>
      </c>
      <c r="I12" s="946">
        <v>5914.52685546875</v>
      </c>
      <c r="J12" s="947">
        <v>2061.6162109375</v>
      </c>
      <c r="K12" s="947">
        <v>35417.9375</v>
      </c>
      <c r="M12" t="s">
        <v>223</v>
      </c>
      <c r="O12" s="400">
        <f t="shared" ca="1" si="4"/>
        <v>107.7614288330078</v>
      </c>
      <c r="P12" s="400">
        <f t="shared" ca="1" si="5"/>
        <v>107.7614288330078</v>
      </c>
      <c r="Q12" s="400"/>
      <c r="R12" s="400">
        <f t="shared" si="6"/>
        <v>5914.52685546875</v>
      </c>
      <c r="S12" s="400">
        <f t="shared" si="7"/>
        <v>5914.52685546875</v>
      </c>
      <c r="U12" s="400">
        <f t="shared" ca="1" si="2"/>
        <v>6022.2882843017578</v>
      </c>
      <c r="X12" s="51" t="s">
        <v>233</v>
      </c>
      <c r="Y12" s="716">
        <v>118.4474258422852</v>
      </c>
      <c r="Z12" s="716">
        <v>71.18505859375</v>
      </c>
      <c r="AA12" s="716">
        <v>255.88572692871091</v>
      </c>
      <c r="AB12" s="716">
        <v>117.2224044799805</v>
      </c>
      <c r="AC12" s="716">
        <v>68.604988098144531</v>
      </c>
      <c r="AD12" s="716">
        <v>233.65814208984381</v>
      </c>
      <c r="AE12" s="716">
        <v>119.89760589599609</v>
      </c>
      <c r="AF12" s="716">
        <v>46.857666015625</v>
      </c>
      <c r="AG12" s="716">
        <v>629.02001953125</v>
      </c>
      <c r="AH12" s="716">
        <v>65.909454345703125</v>
      </c>
      <c r="AI12" s="716">
        <v>25.456100463867191</v>
      </c>
      <c r="AJ12" s="716">
        <v>184.9983215332031</v>
      </c>
      <c r="AK12" s="716">
        <v>104.3717422485352</v>
      </c>
      <c r="AL12" s="716">
        <v>55.416034698486328</v>
      </c>
      <c r="AM12" s="716">
        <v>279.49472045898438</v>
      </c>
      <c r="AN12" s="716">
        <v>265.76571655273438</v>
      </c>
      <c r="AO12" s="716">
        <v>108.26263427734381</v>
      </c>
      <c r="AP12" s="716">
        <v>755.11785888671875</v>
      </c>
      <c r="AQ12" s="716">
        <v>110.1833953857422</v>
      </c>
      <c r="AR12" s="716">
        <v>55.696315765380859</v>
      </c>
      <c r="AS12" s="716">
        <v>297.6639404296875</v>
      </c>
      <c r="AT12" s="716">
        <v>128.53520202636719</v>
      </c>
      <c r="AU12" s="716">
        <v>66.632080078125</v>
      </c>
      <c r="AV12" s="716">
        <v>290.81680297851563</v>
      </c>
      <c r="AW12" s="716">
        <v>114.3411560058594</v>
      </c>
      <c r="AX12" s="716">
        <v>40.994243621826172</v>
      </c>
      <c r="AY12" s="716">
        <v>414.29953002929688</v>
      </c>
      <c r="AZ12" s="716">
        <v>79.790313720703125</v>
      </c>
      <c r="BA12" s="716">
        <v>40.673080444335938</v>
      </c>
      <c r="BB12" s="716">
        <v>216.2089538574219</v>
      </c>
      <c r="BC12" s="716">
        <v>109.71974945068359</v>
      </c>
      <c r="BD12" s="716">
        <v>48.742027282714837</v>
      </c>
      <c r="BE12" s="716">
        <v>259.83477783203131</v>
      </c>
      <c r="BF12" s="716">
        <v>165.0994567871094</v>
      </c>
      <c r="BG12" s="716">
        <v>68.706504821777344</v>
      </c>
      <c r="BH12" s="716">
        <v>414.9674072265625</v>
      </c>
      <c r="BI12" s="716">
        <v>193.6253662109375</v>
      </c>
      <c r="BJ12" s="716">
        <v>63.90283203125</v>
      </c>
      <c r="BK12" s="716">
        <v>844.608154296875</v>
      </c>
      <c r="BL12" s="716">
        <v>156.7007141113281</v>
      </c>
      <c r="BM12" s="716">
        <v>51.77874755859375</v>
      </c>
      <c r="BN12" s="716">
        <v>554.2275390625</v>
      </c>
      <c r="BO12" s="716">
        <v>29.214815139770511</v>
      </c>
      <c r="BP12" s="716">
        <v>5.4926881790161133</v>
      </c>
      <c r="BQ12" s="716">
        <v>194.36317443847659</v>
      </c>
    </row>
    <row r="13" spans="1:69" x14ac:dyDescent="0.35">
      <c r="A13" s="123"/>
      <c r="B13" t="s">
        <v>241</v>
      </c>
      <c r="C13" t="s">
        <v>242</v>
      </c>
      <c r="E13" s="849">
        <f t="shared" ca="1" si="3"/>
        <v>75.656929016113281</v>
      </c>
      <c r="F13" s="807">
        <f t="shared" ca="1" si="0"/>
        <v>46.176307678222663</v>
      </c>
      <c r="G13" s="807">
        <f t="shared" ca="1" si="1"/>
        <v>163.9007568359375</v>
      </c>
      <c r="I13" s="946">
        <v>9218.953125</v>
      </c>
      <c r="J13" s="947">
        <v>3698.357421875</v>
      </c>
      <c r="K13" s="947">
        <v>58892.515625</v>
      </c>
      <c r="M13" t="s">
        <v>223</v>
      </c>
      <c r="O13" s="400">
        <f t="shared" ca="1" si="4"/>
        <v>75.656929016113281</v>
      </c>
      <c r="P13" s="400">
        <f t="shared" ca="1" si="5"/>
        <v>75.656929016113281</v>
      </c>
      <c r="Q13" s="400"/>
      <c r="R13" s="400">
        <f t="shared" si="6"/>
        <v>9218.953125</v>
      </c>
      <c r="S13" s="400">
        <f t="shared" si="7"/>
        <v>9218.953125</v>
      </c>
      <c r="U13" s="400">
        <f t="shared" ca="1" si="2"/>
        <v>9294.6100540161133</v>
      </c>
      <c r="X13" s="51" t="s">
        <v>239</v>
      </c>
      <c r="Y13" s="716">
        <v>107.7614288330078</v>
      </c>
      <c r="Z13" s="716">
        <v>62.285007476806641</v>
      </c>
      <c r="AA13" s="716">
        <v>222.91084289550781</v>
      </c>
      <c r="AB13" s="716">
        <v>106.239387512207</v>
      </c>
      <c r="AC13" s="716">
        <v>60.536598205566413</v>
      </c>
      <c r="AD13" s="716">
        <v>204.9463806152344</v>
      </c>
      <c r="AE13" s="716">
        <v>105.931510925293</v>
      </c>
      <c r="AF13" s="716">
        <v>39.979225158691413</v>
      </c>
      <c r="AG13" s="716">
        <v>545.72760009765625</v>
      </c>
      <c r="AH13" s="716">
        <v>57.867733001708977</v>
      </c>
      <c r="AI13" s="716">
        <v>21.30694580078125</v>
      </c>
      <c r="AJ13" s="716">
        <v>163.14945983886719</v>
      </c>
      <c r="AK13" s="716">
        <v>94.553352355957031</v>
      </c>
      <c r="AL13" s="716">
        <v>48.411720275878913</v>
      </c>
      <c r="AM13" s="716">
        <v>241.78935241699219</v>
      </c>
      <c r="AN13" s="716">
        <v>241.5608215332031</v>
      </c>
      <c r="AO13" s="716">
        <v>98.110382080078125</v>
      </c>
      <c r="AP13" s="716">
        <v>691.02093505859375</v>
      </c>
      <c r="AQ13" s="716">
        <v>100.9208984375</v>
      </c>
      <c r="AR13" s="716">
        <v>50.130279541015632</v>
      </c>
      <c r="AS13" s="716">
        <v>265.29696655273438</v>
      </c>
      <c r="AT13" s="716">
        <v>113.42369079589839</v>
      </c>
      <c r="AU13" s="716">
        <v>57.771339416503913</v>
      </c>
      <c r="AV13" s="716">
        <v>250.63494873046881</v>
      </c>
      <c r="AW13" s="716">
        <v>99.708580017089844</v>
      </c>
      <c r="AX13" s="716">
        <v>35.260486602783203</v>
      </c>
      <c r="AY13" s="716">
        <v>356.42477416992188</v>
      </c>
      <c r="AZ13" s="716">
        <v>73.2452392578125</v>
      </c>
      <c r="BA13" s="716">
        <v>35.385921478271477</v>
      </c>
      <c r="BB13" s="716">
        <v>192.61085510253909</v>
      </c>
      <c r="BC13" s="716">
        <v>95.553329467773438</v>
      </c>
      <c r="BD13" s="716">
        <v>41.825508117675781</v>
      </c>
      <c r="BE13" s="716">
        <v>222.12260437011719</v>
      </c>
      <c r="BF13" s="716">
        <v>149.1146240234375</v>
      </c>
      <c r="BG13" s="716">
        <v>62.808307647705078</v>
      </c>
      <c r="BH13" s="716">
        <v>373.04916381835938</v>
      </c>
      <c r="BI13" s="716">
        <v>181.153564453125</v>
      </c>
      <c r="BJ13" s="716">
        <v>58.226638793945313</v>
      </c>
      <c r="BK13" s="716">
        <v>775.66644287109375</v>
      </c>
      <c r="BL13" s="716">
        <v>139.04277038574219</v>
      </c>
      <c r="BM13" s="716">
        <v>45.976898193359382</v>
      </c>
      <c r="BN13" s="716">
        <v>493.7877197265625</v>
      </c>
      <c r="BO13" s="716">
        <v>26.765937805175781</v>
      </c>
      <c r="BP13" s="716">
        <v>5.0647573471069336</v>
      </c>
      <c r="BQ13" s="716">
        <v>178.99128723144531</v>
      </c>
    </row>
    <row r="14" spans="1:69" x14ac:dyDescent="0.35">
      <c r="A14" s="123" t="s">
        <v>139</v>
      </c>
      <c r="B14" t="s">
        <v>140</v>
      </c>
      <c r="C14" t="s">
        <v>243</v>
      </c>
      <c r="E14" s="849">
        <f t="shared" ca="1" si="3"/>
        <v>70.089530944824219</v>
      </c>
      <c r="F14" s="807">
        <f t="shared" ca="1" si="0"/>
        <v>40.172103881835938</v>
      </c>
      <c r="G14" s="807">
        <f t="shared" ca="1" si="1"/>
        <v>148.3581848144531</v>
      </c>
      <c r="I14" s="946">
        <v>4237.861328125</v>
      </c>
      <c r="J14" s="947">
        <v>1440.157104492188</v>
      </c>
      <c r="K14" s="947">
        <v>25505.427734375</v>
      </c>
      <c r="M14" t="s">
        <v>223</v>
      </c>
      <c r="O14" s="400">
        <f t="shared" ref="O14" ca="1" si="8">E14</f>
        <v>70.089530944824219</v>
      </c>
      <c r="P14" s="400">
        <f t="shared" ref="P14" ca="1" si="9">E14</f>
        <v>70.089530944824219</v>
      </c>
      <c r="Q14" s="400"/>
      <c r="R14" s="400">
        <f t="shared" si="6"/>
        <v>4237.861328125</v>
      </c>
      <c r="S14" s="400">
        <f t="shared" si="7"/>
        <v>4237.861328125</v>
      </c>
      <c r="U14" s="400">
        <f t="shared" ca="1" si="2"/>
        <v>4307.9508590698242</v>
      </c>
      <c r="X14" s="51" t="s">
        <v>1203</v>
      </c>
      <c r="Y14" s="716">
        <v>105.4156951904297</v>
      </c>
      <c r="Z14" s="716">
        <v>62.586765289306641</v>
      </c>
      <c r="AA14" s="716">
        <v>223.76759338378909</v>
      </c>
      <c r="AB14" s="716">
        <v>102.5017013549805</v>
      </c>
      <c r="AC14" s="716">
        <v>59.555740356445313</v>
      </c>
      <c r="AD14" s="716">
        <v>201.6171875</v>
      </c>
      <c r="AE14" s="716">
        <v>112.8414306640625</v>
      </c>
      <c r="AF14" s="716">
        <v>42.859539031982422</v>
      </c>
      <c r="AG14" s="716">
        <v>585.4757080078125</v>
      </c>
      <c r="AH14" s="716">
        <v>59.298625946044922</v>
      </c>
      <c r="AI14" s="716">
        <v>22.186147689819339</v>
      </c>
      <c r="AJ14" s="716">
        <v>165.7708435058594</v>
      </c>
      <c r="AK14" s="716">
        <v>92.142875671386719</v>
      </c>
      <c r="AL14" s="716">
        <v>48.196029663085938</v>
      </c>
      <c r="AM14" s="716">
        <v>242.77154541015631</v>
      </c>
      <c r="AN14" s="716">
        <v>236.86248779296881</v>
      </c>
      <c r="AO14" s="716">
        <v>96.148445129394531</v>
      </c>
      <c r="AP14" s="716">
        <v>668.29351806640625</v>
      </c>
      <c r="AQ14" s="716">
        <v>98.200920104980469</v>
      </c>
      <c r="AR14" s="716">
        <v>49.350486755371087</v>
      </c>
      <c r="AS14" s="716">
        <v>262.76724243164063</v>
      </c>
      <c r="AT14" s="716">
        <v>112.91896057128911</v>
      </c>
      <c r="AU14" s="716">
        <v>58.667598724365227</v>
      </c>
      <c r="AV14" s="716">
        <v>254.61317443847659</v>
      </c>
      <c r="AW14" s="716">
        <v>102.1648254394531</v>
      </c>
      <c r="AX14" s="716">
        <v>36.518672943115227</v>
      </c>
      <c r="AY14" s="716">
        <v>373.06549072265631</v>
      </c>
      <c r="AZ14" s="716">
        <v>71.045005798339844</v>
      </c>
      <c r="BA14" s="716">
        <v>35.776966094970703</v>
      </c>
      <c r="BB14" s="716">
        <v>188.5635070800781</v>
      </c>
      <c r="BC14" s="716">
        <v>95.382705688476563</v>
      </c>
      <c r="BD14" s="716">
        <v>41.317070007324219</v>
      </c>
      <c r="BE14" s="716">
        <v>225.69645690917969</v>
      </c>
      <c r="BF14" s="716">
        <v>151.19422912597659</v>
      </c>
      <c r="BG14" s="716">
        <v>62.665184020996087</v>
      </c>
      <c r="BH14" s="716">
        <v>375.80703735351563</v>
      </c>
      <c r="BI14" s="716">
        <v>173.8405456542969</v>
      </c>
      <c r="BJ14" s="716">
        <v>57.149036407470703</v>
      </c>
      <c r="BK14" s="716">
        <v>762.122314453125</v>
      </c>
      <c r="BL14" s="716">
        <v>135.7517395019531</v>
      </c>
      <c r="BM14" s="716">
        <v>45.437118530273438</v>
      </c>
      <c r="BN14" s="716">
        <v>476.16793823242188</v>
      </c>
      <c r="BO14" s="716">
        <v>26.915464401245121</v>
      </c>
      <c r="BP14" s="716">
        <v>5.250068187713623</v>
      </c>
      <c r="BQ14" s="716">
        <v>183.5539855957031</v>
      </c>
    </row>
    <row r="15" spans="1:69" x14ac:dyDescent="0.35">
      <c r="A15" s="123"/>
      <c r="B15" t="s">
        <v>244</v>
      </c>
      <c r="C15" t="s">
        <v>245</v>
      </c>
      <c r="E15" s="849">
        <f t="shared" ca="1" si="3"/>
        <v>58.467868804931641</v>
      </c>
      <c r="F15" s="807">
        <f t="shared" ca="1" si="0"/>
        <v>33.937431335449219</v>
      </c>
      <c r="G15" s="807">
        <f t="shared" ca="1" si="1"/>
        <v>121.6817245483398</v>
      </c>
      <c r="I15" s="946">
        <v>1667.323364257813</v>
      </c>
      <c r="J15" s="947">
        <v>597.9398193359375</v>
      </c>
      <c r="K15" s="947">
        <v>10205.625</v>
      </c>
      <c r="M15" t="s">
        <v>223</v>
      </c>
      <c r="O15" s="400">
        <f ca="1">E15</f>
        <v>58.467868804931641</v>
      </c>
      <c r="P15" s="400">
        <f ca="1">E15</f>
        <v>58.467868804931641</v>
      </c>
      <c r="Q15" s="400"/>
      <c r="R15" s="400">
        <f t="shared" si="6"/>
        <v>1667.323364257813</v>
      </c>
      <c r="S15" s="400">
        <f t="shared" si="7"/>
        <v>1667.323364257813</v>
      </c>
      <c r="U15" s="400">
        <f t="shared" ca="1" si="2"/>
        <v>1725.7912330627446</v>
      </c>
      <c r="X15" s="51" t="s">
        <v>237</v>
      </c>
      <c r="Y15" s="716">
        <v>98.961204528808594</v>
      </c>
      <c r="Z15" s="716">
        <v>58.823062896728523</v>
      </c>
      <c r="AA15" s="716">
        <v>211.42877197265631</v>
      </c>
      <c r="AB15" s="716">
        <v>97.501274108886719</v>
      </c>
      <c r="AC15" s="716">
        <v>56.768661499023438</v>
      </c>
      <c r="AD15" s="716">
        <v>193.16517639160159</v>
      </c>
      <c r="AE15" s="716">
        <v>100.6802215576172</v>
      </c>
      <c r="AF15" s="716">
        <v>38.381763458251953</v>
      </c>
      <c r="AG15" s="716">
        <v>525.1702880859375</v>
      </c>
      <c r="AH15" s="716">
        <v>51.907413482666023</v>
      </c>
      <c r="AI15" s="716">
        <v>19.717634201049801</v>
      </c>
      <c r="AJ15" s="716">
        <v>145.27668762207031</v>
      </c>
      <c r="AK15" s="716">
        <v>88.331748962402344</v>
      </c>
      <c r="AL15" s="716">
        <v>45.843223571777337</v>
      </c>
      <c r="AM15" s="716">
        <v>235.2967529296875</v>
      </c>
      <c r="AN15" s="716">
        <v>223.96427917480469</v>
      </c>
      <c r="AO15" s="716">
        <v>91.2957763671875</v>
      </c>
      <c r="AP15" s="716">
        <v>635.9346923828125</v>
      </c>
      <c r="AQ15" s="716">
        <v>92.393600463867188</v>
      </c>
      <c r="AR15" s="716">
        <v>46.224239349365227</v>
      </c>
      <c r="AS15" s="716">
        <v>247.72712707519531</v>
      </c>
      <c r="AT15" s="716">
        <v>106.2131881713867</v>
      </c>
      <c r="AU15" s="716">
        <v>55.205669403076172</v>
      </c>
      <c r="AV15" s="716">
        <v>239.8507385253906</v>
      </c>
      <c r="AW15" s="716">
        <v>99.307815551757813</v>
      </c>
      <c r="AX15" s="716">
        <v>35.051006317138672</v>
      </c>
      <c r="AY15" s="716">
        <v>361.38873291015631</v>
      </c>
      <c r="AZ15" s="716">
        <v>65.762672424316406</v>
      </c>
      <c r="BA15" s="716">
        <v>33.029186248779297</v>
      </c>
      <c r="BB15" s="716">
        <v>174.95086669921881</v>
      </c>
      <c r="BC15" s="716">
        <v>89.656829833984375</v>
      </c>
      <c r="BD15" s="716">
        <v>39.968318939208977</v>
      </c>
      <c r="BE15" s="716">
        <v>212.5185852050781</v>
      </c>
      <c r="BF15" s="716">
        <v>143.30619812011719</v>
      </c>
      <c r="BG15" s="716">
        <v>59.553672790527337</v>
      </c>
      <c r="BH15" s="716">
        <v>355.5623779296875</v>
      </c>
      <c r="BI15" s="716">
        <v>154.2929382324219</v>
      </c>
      <c r="BJ15" s="716">
        <v>50.922416687011719</v>
      </c>
      <c r="BK15" s="716">
        <v>666.1212158203125</v>
      </c>
      <c r="BL15" s="716">
        <v>128.92466735839841</v>
      </c>
      <c r="BM15" s="716">
        <v>42.708267211914063</v>
      </c>
      <c r="BN15" s="716">
        <v>461.79696655273438</v>
      </c>
      <c r="BO15" s="716">
        <v>24.517486572265629</v>
      </c>
      <c r="BP15" s="716">
        <v>4.7238526344299316</v>
      </c>
      <c r="BQ15" s="716">
        <v>165.45219421386719</v>
      </c>
    </row>
    <row r="16" spans="1:69" x14ac:dyDescent="0.35">
      <c r="A16" s="123"/>
      <c r="B16" t="s">
        <v>246</v>
      </c>
      <c r="C16" t="s">
        <v>247</v>
      </c>
      <c r="E16" s="849">
        <f t="shared" ca="1" si="3"/>
        <v>67.052032470703125</v>
      </c>
      <c r="F16" s="807">
        <f t="shared" ca="1" si="0"/>
        <v>39.589141845703132</v>
      </c>
      <c r="G16" s="807">
        <f t="shared" ca="1" si="1"/>
        <v>141.4281005859375</v>
      </c>
      <c r="I16" s="946">
        <v>1731.118408203125</v>
      </c>
      <c r="J16" s="947">
        <v>615.51373291015625</v>
      </c>
      <c r="K16" s="947">
        <v>10719.919921875</v>
      </c>
      <c r="M16" t="s">
        <v>223</v>
      </c>
      <c r="O16" s="400">
        <f ca="1">E16</f>
        <v>67.052032470703125</v>
      </c>
      <c r="P16" s="400">
        <f ca="1">E16</f>
        <v>67.052032470703125</v>
      </c>
      <c r="Q16" s="400"/>
      <c r="R16" s="400">
        <f t="shared" si="6"/>
        <v>1731.118408203125</v>
      </c>
      <c r="S16" s="400">
        <f t="shared" si="7"/>
        <v>1731.118408203125</v>
      </c>
      <c r="U16" s="400">
        <f t="shared" ca="1" si="2"/>
        <v>1798.1704406738281</v>
      </c>
      <c r="X16" s="51" t="s">
        <v>241</v>
      </c>
      <c r="Y16" s="716">
        <v>75.656929016113281</v>
      </c>
      <c r="Z16" s="716">
        <v>46.176307678222663</v>
      </c>
      <c r="AA16" s="716">
        <v>163.9007568359375</v>
      </c>
      <c r="AB16" s="716">
        <v>75.704849243164063</v>
      </c>
      <c r="AC16" s="716">
        <v>45.010688781738281</v>
      </c>
      <c r="AD16" s="716">
        <v>151.5118713378906</v>
      </c>
      <c r="AE16" s="716">
        <v>73.603233337402344</v>
      </c>
      <c r="AF16" s="716">
        <v>29.272525787353519</v>
      </c>
      <c r="AG16" s="716">
        <v>386.36209106445313</v>
      </c>
      <c r="AH16" s="716">
        <v>39.677032470703132</v>
      </c>
      <c r="AI16" s="716">
        <v>15.969560623168951</v>
      </c>
      <c r="AJ16" s="716">
        <v>113.8113327026367</v>
      </c>
      <c r="AK16" s="716">
        <v>67.817184448242188</v>
      </c>
      <c r="AL16" s="716">
        <v>36.443424224853523</v>
      </c>
      <c r="AM16" s="716">
        <v>180.80918884277341</v>
      </c>
      <c r="AN16" s="716">
        <v>171.93609619140631</v>
      </c>
      <c r="AO16" s="716">
        <v>71.039657592773438</v>
      </c>
      <c r="AP16" s="716">
        <v>485.63162231445313</v>
      </c>
      <c r="AQ16" s="716">
        <v>70.779823303222656</v>
      </c>
      <c r="AR16" s="716">
        <v>36.295848846435547</v>
      </c>
      <c r="AS16" s="716">
        <v>190.82301330566409</v>
      </c>
      <c r="AT16" s="716">
        <v>81.302490234375</v>
      </c>
      <c r="AU16" s="716">
        <v>43.590339660644531</v>
      </c>
      <c r="AV16" s="716">
        <v>187.3321533203125</v>
      </c>
      <c r="AW16" s="716">
        <v>73.142753601074219</v>
      </c>
      <c r="AX16" s="716">
        <v>26.67868614196777</v>
      </c>
      <c r="AY16" s="716">
        <v>269.23077392578131</v>
      </c>
      <c r="AZ16" s="716">
        <v>49.641483306884773</v>
      </c>
      <c r="BA16" s="716">
        <v>25.9561767578125</v>
      </c>
      <c r="BB16" s="716">
        <v>135.5814208984375</v>
      </c>
      <c r="BC16" s="716">
        <v>72.394485473632813</v>
      </c>
      <c r="BD16" s="716">
        <v>33.22869873046875</v>
      </c>
      <c r="BE16" s="716">
        <v>173.40589904785159</v>
      </c>
      <c r="BF16" s="716">
        <v>107.7387161254883</v>
      </c>
      <c r="BG16" s="716">
        <v>44.130084991455078</v>
      </c>
      <c r="BH16" s="716">
        <v>259.63140869140631</v>
      </c>
      <c r="BI16" s="716">
        <v>122.1378707885742</v>
      </c>
      <c r="BJ16" s="716">
        <v>41.743473052978523</v>
      </c>
      <c r="BK16" s="716">
        <v>536.8861083984375</v>
      </c>
      <c r="BL16" s="716">
        <v>100.2644348144531</v>
      </c>
      <c r="BM16" s="716">
        <v>33.230728149414063</v>
      </c>
      <c r="BN16" s="716">
        <v>341.8404541015625</v>
      </c>
      <c r="BO16" s="716">
        <v>17.5471305847168</v>
      </c>
      <c r="BP16" s="716">
        <v>3.6036391258239751</v>
      </c>
      <c r="BQ16" s="716">
        <v>122.2756042480469</v>
      </c>
    </row>
    <row r="17" spans="1:69" x14ac:dyDescent="0.35">
      <c r="A17" s="850" t="s">
        <v>143</v>
      </c>
      <c r="B17" t="s">
        <v>248</v>
      </c>
      <c r="C17" t="s">
        <v>249</v>
      </c>
      <c r="E17" s="849">
        <f t="shared" ca="1" si="3"/>
        <v>48.273784637451172</v>
      </c>
      <c r="F17" s="807">
        <f t="shared" ca="1" si="0"/>
        <v>29.193937301635739</v>
      </c>
      <c r="G17" s="807">
        <f t="shared" ca="1" si="1"/>
        <v>104.6097412109375</v>
      </c>
      <c r="I17" s="946">
        <v>1353.022094726563</v>
      </c>
      <c r="J17" s="947">
        <v>495.68795776367188</v>
      </c>
      <c r="K17" s="947">
        <v>8262.16796875</v>
      </c>
      <c r="M17" t="s">
        <v>223</v>
      </c>
      <c r="O17" s="400">
        <f ca="1">('WTP core_DCE'!$E49-'WTP core_DCE'!$G49)*E17*HHProps_SSW</f>
        <v>651016.63908681867</v>
      </c>
      <c r="P17" s="400">
        <f ca="1">('WTP core_DCE'!$U49-'WTP core_DCE'!$W49)*E17*HHProps_CAM</f>
        <v>81994.230051326755</v>
      </c>
      <c r="Q17" s="400"/>
      <c r="R17" s="400">
        <f>('WTP core_DCE'!$E51-'WTP core_DCE'!$G51)*I17*NHHProps_SSW</f>
        <v>1014360.6644165043</v>
      </c>
      <c r="S17" s="400">
        <f>('WTP core_DCE'!$U51-'WTP core_DCE'!$W51)*I17*NHHProps_CAM</f>
        <v>145314.57297363286</v>
      </c>
      <c r="T17" t="s">
        <v>224</v>
      </c>
      <c r="U17" s="400">
        <f t="shared" ca="1" si="2"/>
        <v>1357341.5724427011</v>
      </c>
      <c r="X17" s="51" t="s">
        <v>140</v>
      </c>
      <c r="Y17" s="716">
        <v>70.089530944824219</v>
      </c>
      <c r="Z17" s="716">
        <v>40.172103881835938</v>
      </c>
      <c r="AA17" s="716">
        <v>148.3581848144531</v>
      </c>
      <c r="AB17" s="716">
        <v>69.844528198242188</v>
      </c>
      <c r="AC17" s="716">
        <v>39.393810272216797</v>
      </c>
      <c r="AD17" s="716">
        <v>137.85247802734381</v>
      </c>
      <c r="AE17" s="716">
        <v>66.473876953125</v>
      </c>
      <c r="AF17" s="716">
        <v>25.32980918884277</v>
      </c>
      <c r="AG17" s="716">
        <v>343.53094482421881</v>
      </c>
      <c r="AH17" s="716">
        <v>38.275112152099609</v>
      </c>
      <c r="AI17" s="716">
        <v>14.349239349365231</v>
      </c>
      <c r="AJ17" s="716">
        <v>110.1358337402344</v>
      </c>
      <c r="AK17" s="716">
        <v>60.318698883056641</v>
      </c>
      <c r="AL17" s="716">
        <v>30.943145751953129</v>
      </c>
      <c r="AM17" s="716">
        <v>158.40339660644531</v>
      </c>
      <c r="AN17" s="716">
        <v>162.769287109375</v>
      </c>
      <c r="AO17" s="716">
        <v>65.042236328125</v>
      </c>
      <c r="AP17" s="716">
        <v>452.69866943359381</v>
      </c>
      <c r="AQ17" s="716">
        <v>64.681228637695313</v>
      </c>
      <c r="AR17" s="716">
        <v>31.686330795288089</v>
      </c>
      <c r="AS17" s="716">
        <v>173.41461181640631</v>
      </c>
      <c r="AT17" s="716">
        <v>75.023826599121094</v>
      </c>
      <c r="AU17" s="716">
        <v>38.134140014648438</v>
      </c>
      <c r="AV17" s="716">
        <v>169.01856994628909</v>
      </c>
      <c r="AW17" s="716">
        <v>63.537120819091797</v>
      </c>
      <c r="AX17" s="716">
        <v>22.514253616333011</v>
      </c>
      <c r="AY17" s="716">
        <v>230.2247314453125</v>
      </c>
      <c r="AZ17" s="716">
        <v>46.844680786132813</v>
      </c>
      <c r="BA17" s="716">
        <v>22.818801879882809</v>
      </c>
      <c r="BB17" s="716">
        <v>125.497444152832</v>
      </c>
      <c r="BC17" s="716">
        <v>62.953403472900391</v>
      </c>
      <c r="BD17" s="716">
        <v>27.44764518737793</v>
      </c>
      <c r="BE17" s="716">
        <v>148.82035827636719</v>
      </c>
      <c r="BF17" s="716">
        <v>94.927421569824219</v>
      </c>
      <c r="BG17" s="716">
        <v>39.339260101318359</v>
      </c>
      <c r="BH17" s="716">
        <v>236.62359619140631</v>
      </c>
      <c r="BI17" s="716">
        <v>111.8114318847656</v>
      </c>
      <c r="BJ17" s="716">
        <v>36.368907928466797</v>
      </c>
      <c r="BK17" s="716">
        <v>484.72940063476563</v>
      </c>
      <c r="BL17" s="716">
        <v>87.775192260742188</v>
      </c>
      <c r="BM17" s="716">
        <v>29.300516128540039</v>
      </c>
      <c r="BN17" s="716">
        <v>310.2275390625</v>
      </c>
      <c r="BO17" s="716">
        <v>17.646364212036129</v>
      </c>
      <c r="BP17" s="716">
        <v>3.309203147888184</v>
      </c>
      <c r="BQ17" s="716">
        <v>118.98561859130859</v>
      </c>
    </row>
    <row r="18" spans="1:69" x14ac:dyDescent="0.35">
      <c r="X18" s="51" t="s">
        <v>246</v>
      </c>
      <c r="Y18" s="716">
        <v>67.052032470703125</v>
      </c>
      <c r="Z18" s="716">
        <v>39.589141845703132</v>
      </c>
      <c r="AA18" s="716">
        <v>141.4281005859375</v>
      </c>
      <c r="AB18" s="716">
        <v>66.086158752441406</v>
      </c>
      <c r="AC18" s="716">
        <v>38.133552551269531</v>
      </c>
      <c r="AD18" s="716">
        <v>129.05894470214841</v>
      </c>
      <c r="AE18" s="716">
        <v>67.623191833496094</v>
      </c>
      <c r="AF18" s="716">
        <v>26.172365188598629</v>
      </c>
      <c r="AG18" s="716">
        <v>351.40438842773438</v>
      </c>
      <c r="AH18" s="716">
        <v>35.964817047119141</v>
      </c>
      <c r="AI18" s="716">
        <v>13.738279342651371</v>
      </c>
      <c r="AJ18" s="716">
        <v>101.87790679931641</v>
      </c>
      <c r="AK18" s="716">
        <v>59.536067962646477</v>
      </c>
      <c r="AL18" s="716">
        <v>31.202777862548832</v>
      </c>
      <c r="AM18" s="716">
        <v>156.52580261230469</v>
      </c>
      <c r="AN18" s="716">
        <v>148.3688659667969</v>
      </c>
      <c r="AO18" s="716">
        <v>59.793174743652337</v>
      </c>
      <c r="AP18" s="716">
        <v>417.95404052734381</v>
      </c>
      <c r="AQ18" s="716">
        <v>62.788394927978523</v>
      </c>
      <c r="AR18" s="716">
        <v>31.293376922607418</v>
      </c>
      <c r="AS18" s="716">
        <v>166.13816833496091</v>
      </c>
      <c r="AT18" s="716">
        <v>71.517356872558594</v>
      </c>
      <c r="AU18" s="716">
        <v>36.911056518554688</v>
      </c>
      <c r="AV18" s="716">
        <v>160.4866027832031</v>
      </c>
      <c r="AW18" s="716">
        <v>66.068069458007813</v>
      </c>
      <c r="AX18" s="716">
        <v>23.43879508972168</v>
      </c>
      <c r="AY18" s="716">
        <v>240.6944580078125</v>
      </c>
      <c r="AZ18" s="716">
        <v>45.8609619140625</v>
      </c>
      <c r="BA18" s="716">
        <v>23.008560180664059</v>
      </c>
      <c r="BB18" s="716">
        <v>121.95660400390631</v>
      </c>
      <c r="BC18" s="716">
        <v>58.832984924316413</v>
      </c>
      <c r="BD18" s="716">
        <v>26.18239593505859</v>
      </c>
      <c r="BE18" s="716">
        <v>138.3080749511719</v>
      </c>
      <c r="BF18" s="716">
        <v>91.688949584960938</v>
      </c>
      <c r="BG18" s="716">
        <v>38.507152557373047</v>
      </c>
      <c r="BH18" s="716">
        <v>231.0298767089844</v>
      </c>
      <c r="BI18" s="716">
        <v>109.0361633300781</v>
      </c>
      <c r="BJ18" s="716">
        <v>36.12017822265625</v>
      </c>
      <c r="BK18" s="716">
        <v>473.40753173828131</v>
      </c>
      <c r="BL18" s="716">
        <v>84.397857666015625</v>
      </c>
      <c r="BM18" s="716">
        <v>28.0592155456543</v>
      </c>
      <c r="BN18" s="716">
        <v>295.97286987304688</v>
      </c>
      <c r="BO18" s="716">
        <v>16.296358108520511</v>
      </c>
      <c r="BP18" s="716">
        <v>3.0920712947845459</v>
      </c>
      <c r="BQ18" s="716">
        <v>111.67352294921881</v>
      </c>
    </row>
    <row r="19" spans="1:69" x14ac:dyDescent="0.35">
      <c r="X19" s="51" t="s">
        <v>1204</v>
      </c>
      <c r="Y19" s="716">
        <v>64.010276794433594</v>
      </c>
      <c r="Z19" s="716">
        <v>37.040470123291023</v>
      </c>
      <c r="AA19" s="716">
        <v>133.82868957519531</v>
      </c>
      <c r="AB19" s="716">
        <v>62.045562744140632</v>
      </c>
      <c r="AC19" s="716">
        <v>35.202968597412109</v>
      </c>
      <c r="AD19" s="716">
        <v>120.770133972168</v>
      </c>
      <c r="AE19" s="716">
        <v>67.581413269042969</v>
      </c>
      <c r="AF19" s="716">
        <v>26.148921966552731</v>
      </c>
      <c r="AG19" s="716">
        <v>348.04742431640631</v>
      </c>
      <c r="AH19" s="716">
        <v>33.701793670654297</v>
      </c>
      <c r="AI19" s="716">
        <v>12.7692403793335</v>
      </c>
      <c r="AJ19" s="716">
        <v>94.265548706054688</v>
      </c>
      <c r="AK19" s="716">
        <v>57.391937255859382</v>
      </c>
      <c r="AL19" s="716">
        <v>29.58941650390625</v>
      </c>
      <c r="AM19" s="716">
        <v>151.28297424316409</v>
      </c>
      <c r="AN19" s="716">
        <v>137.435546875</v>
      </c>
      <c r="AO19" s="716">
        <v>55.338211059570313</v>
      </c>
      <c r="AP19" s="716">
        <v>383.95785522460938</v>
      </c>
      <c r="AQ19" s="716">
        <v>59.586418151855469</v>
      </c>
      <c r="AR19" s="716">
        <v>29.402980804443359</v>
      </c>
      <c r="AS19" s="716">
        <v>157.76161193847659</v>
      </c>
      <c r="AT19" s="716">
        <v>68.078811645507813</v>
      </c>
      <c r="AU19" s="716">
        <v>34.740795135498047</v>
      </c>
      <c r="AV19" s="716">
        <v>151.24237060546881</v>
      </c>
      <c r="AW19" s="716">
        <v>61.248661041259773</v>
      </c>
      <c r="AX19" s="716">
        <v>21.291522979736332</v>
      </c>
      <c r="AY19" s="716">
        <v>224.5771484375</v>
      </c>
      <c r="AZ19" s="716">
        <v>43.932533264160163</v>
      </c>
      <c r="BA19" s="716">
        <v>21.669528961181641</v>
      </c>
      <c r="BB19" s="716">
        <v>114.4805603027344</v>
      </c>
      <c r="BC19" s="716">
        <v>57.499168395996087</v>
      </c>
      <c r="BD19" s="716">
        <v>25.475690841674801</v>
      </c>
      <c r="BE19" s="716">
        <v>138.10874938964841</v>
      </c>
      <c r="BF19" s="716">
        <v>88.107032775878906</v>
      </c>
      <c r="BG19" s="716">
        <v>36.971492767333977</v>
      </c>
      <c r="BH19" s="716">
        <v>220.50811767578131</v>
      </c>
      <c r="BI19" s="716">
        <v>101.00633239746089</v>
      </c>
      <c r="BJ19" s="716">
        <v>33.402084350585938</v>
      </c>
      <c r="BK19" s="716">
        <v>432.08447265625</v>
      </c>
      <c r="BL19" s="716">
        <v>75.810859680175781</v>
      </c>
      <c r="BM19" s="716">
        <v>25.543710708618161</v>
      </c>
      <c r="BN19" s="716">
        <v>266.496337890625</v>
      </c>
      <c r="BO19" s="716">
        <v>17.200376510620121</v>
      </c>
      <c r="BP19" s="716">
        <v>3.283578634262085</v>
      </c>
      <c r="BQ19" s="716">
        <v>114.40655517578131</v>
      </c>
    </row>
    <row r="20" spans="1:69" x14ac:dyDescent="0.35">
      <c r="C20" t="s">
        <v>1180</v>
      </c>
      <c r="E20" s="869">
        <v>3</v>
      </c>
      <c r="F20" s="869">
        <v>12</v>
      </c>
      <c r="G20" s="869">
        <v>21</v>
      </c>
      <c r="I20" s="869">
        <f>E20+3</f>
        <v>6</v>
      </c>
      <c r="J20" s="869">
        <f t="shared" ref="J20:K20" si="10">F20+3</f>
        <v>15</v>
      </c>
      <c r="K20" s="869">
        <f t="shared" si="10"/>
        <v>24</v>
      </c>
      <c r="X20" s="51" t="s">
        <v>1205</v>
      </c>
      <c r="Y20" s="716">
        <v>62.227558135986328</v>
      </c>
      <c r="Z20" s="716">
        <v>35.564205169677727</v>
      </c>
      <c r="AA20" s="716">
        <v>128.36650085449219</v>
      </c>
      <c r="AB20" s="716">
        <v>60.966564178466797</v>
      </c>
      <c r="AC20" s="716">
        <v>34.2947998046875</v>
      </c>
      <c r="AD20" s="716">
        <v>116.885612487793</v>
      </c>
      <c r="AE20" s="716">
        <v>62.514881134033203</v>
      </c>
      <c r="AF20" s="716">
        <v>23.582094192504879</v>
      </c>
      <c r="AG20" s="716">
        <v>323.24746704101563</v>
      </c>
      <c r="AH20" s="716">
        <v>32.776653289794922</v>
      </c>
      <c r="AI20" s="716">
        <v>12.25058078765869</v>
      </c>
      <c r="AJ20" s="716">
        <v>90.090354919433594</v>
      </c>
      <c r="AK20" s="716">
        <v>55.535503387451172</v>
      </c>
      <c r="AL20" s="716">
        <v>27.996479034423832</v>
      </c>
      <c r="AM20" s="716">
        <v>144.0533752441406</v>
      </c>
      <c r="AN20" s="716">
        <v>134.72320556640631</v>
      </c>
      <c r="AO20" s="716">
        <v>54.412067413330078</v>
      </c>
      <c r="AP20" s="716">
        <v>375.70687866210938</v>
      </c>
      <c r="AQ20" s="716">
        <v>57.877613067626953</v>
      </c>
      <c r="AR20" s="716">
        <v>27.973508834838871</v>
      </c>
      <c r="AS20" s="716">
        <v>150.5583190917969</v>
      </c>
      <c r="AT20" s="716">
        <v>65.873924255371094</v>
      </c>
      <c r="AU20" s="716">
        <v>33.728778839111328</v>
      </c>
      <c r="AV20" s="716">
        <v>146.30766296386719</v>
      </c>
      <c r="AW20" s="716">
        <v>57.934059143066413</v>
      </c>
      <c r="AX20" s="716">
        <v>20.44355392456055</v>
      </c>
      <c r="AY20" s="716">
        <v>209.27995300292969</v>
      </c>
      <c r="AZ20" s="716">
        <v>42.814376831054688</v>
      </c>
      <c r="BA20" s="716">
        <v>20.961027145385739</v>
      </c>
      <c r="BB20" s="716">
        <v>110.57444763183589</v>
      </c>
      <c r="BC20" s="716">
        <v>55.217231750488281</v>
      </c>
      <c r="BD20" s="716">
        <v>23.9311408996582</v>
      </c>
      <c r="BE20" s="716">
        <v>130.3571472167969</v>
      </c>
      <c r="BF20" s="716">
        <v>85.325065612792969</v>
      </c>
      <c r="BG20" s="716">
        <v>35.717247009277337</v>
      </c>
      <c r="BH20" s="716">
        <v>218.20921325683591</v>
      </c>
      <c r="BI20" s="716">
        <v>97.977638244628906</v>
      </c>
      <c r="BJ20" s="716">
        <v>32.378227233886719</v>
      </c>
      <c r="BK20" s="716">
        <v>422.547119140625</v>
      </c>
      <c r="BL20" s="716">
        <v>78.40557861328125</v>
      </c>
      <c r="BM20" s="716">
        <v>26.404745101928711</v>
      </c>
      <c r="BN20" s="716">
        <v>279.03927612304688</v>
      </c>
      <c r="BO20" s="716">
        <v>16.729768753051761</v>
      </c>
      <c r="BP20" s="716">
        <v>3.2000188827514648</v>
      </c>
      <c r="BQ20" s="716">
        <v>112.0381317138672</v>
      </c>
    </row>
    <row r="21" spans="1:69" x14ac:dyDescent="0.35">
      <c r="X21" s="51" t="s">
        <v>244</v>
      </c>
      <c r="Y21" s="716">
        <v>58.467868804931641</v>
      </c>
      <c r="Z21" s="716">
        <v>33.937431335449219</v>
      </c>
      <c r="AA21" s="716">
        <v>121.6817245483398</v>
      </c>
      <c r="AB21" s="716">
        <v>57.236442565917969</v>
      </c>
      <c r="AC21" s="716">
        <v>32.646514892578132</v>
      </c>
      <c r="AD21" s="716">
        <v>110.85488128662109</v>
      </c>
      <c r="AE21" s="716">
        <v>59.408466339111328</v>
      </c>
      <c r="AF21" s="716">
        <v>22.785465240478519</v>
      </c>
      <c r="AG21" s="716">
        <v>305.87225341796881</v>
      </c>
      <c r="AH21" s="716">
        <v>31.490240097045898</v>
      </c>
      <c r="AI21" s="716">
        <v>11.84162521362305</v>
      </c>
      <c r="AJ21" s="716">
        <v>88.008697509765625</v>
      </c>
      <c r="AK21" s="716">
        <v>51.412025451660163</v>
      </c>
      <c r="AL21" s="716">
        <v>26.336738586425781</v>
      </c>
      <c r="AM21" s="716">
        <v>132.16925048828131</v>
      </c>
      <c r="AN21" s="716">
        <v>131.31085205078131</v>
      </c>
      <c r="AO21" s="716">
        <v>53.587760925292969</v>
      </c>
      <c r="AP21" s="716">
        <v>367.01150512695313</v>
      </c>
      <c r="AQ21" s="716">
        <v>54.737255096435547</v>
      </c>
      <c r="AR21" s="716">
        <v>27.051357269287109</v>
      </c>
      <c r="AS21" s="716">
        <v>144.41871643066409</v>
      </c>
      <c r="AT21" s="716">
        <v>61.817966461181641</v>
      </c>
      <c r="AU21" s="716">
        <v>31.6898078918457</v>
      </c>
      <c r="AV21" s="716">
        <v>136.77972412109381</v>
      </c>
      <c r="AW21" s="716">
        <v>57.847545623779297</v>
      </c>
      <c r="AX21" s="716">
        <v>20.353059768676761</v>
      </c>
      <c r="AY21" s="716">
        <v>208.61528015136719</v>
      </c>
      <c r="AZ21" s="716">
        <v>39.670696258544922</v>
      </c>
      <c r="BA21" s="716">
        <v>19.41621208190918</v>
      </c>
      <c r="BB21" s="716">
        <v>103.8936004638672</v>
      </c>
      <c r="BC21" s="716">
        <v>50.120361328125</v>
      </c>
      <c r="BD21" s="716">
        <v>22.08304405212402</v>
      </c>
      <c r="BE21" s="716">
        <v>116.5527267456055</v>
      </c>
      <c r="BF21" s="716">
        <v>78.934181213378906</v>
      </c>
      <c r="BG21" s="716">
        <v>32.759891510009773</v>
      </c>
      <c r="BH21" s="716">
        <v>196.20941162109381</v>
      </c>
      <c r="BI21" s="716">
        <v>95.979629516601563</v>
      </c>
      <c r="BJ21" s="716">
        <v>31.720808029174801</v>
      </c>
      <c r="BK21" s="716">
        <v>415.17611694335938</v>
      </c>
      <c r="BL21" s="716">
        <v>77.864952087402344</v>
      </c>
      <c r="BM21" s="716">
        <v>26.0320930480957</v>
      </c>
      <c r="BN21" s="716">
        <v>283.9561767578125</v>
      </c>
      <c r="BO21" s="716">
        <v>14.52933406829834</v>
      </c>
      <c r="BP21" s="716">
        <v>2.7699460983276372</v>
      </c>
      <c r="BQ21" s="716">
        <v>99.577522277832031</v>
      </c>
    </row>
    <row r="22" spans="1:69" x14ac:dyDescent="0.35">
      <c r="E22" s="847" t="s">
        <v>24</v>
      </c>
      <c r="F22" s="847" t="s">
        <v>26</v>
      </c>
      <c r="G22" t="s">
        <v>250</v>
      </c>
      <c r="I22" s="847" t="s">
        <v>24</v>
      </c>
      <c r="J22" s="847" t="s">
        <v>26</v>
      </c>
      <c r="K22" t="s">
        <v>250</v>
      </c>
      <c r="X22" s="51" t="s">
        <v>248</v>
      </c>
      <c r="Y22" s="716">
        <v>48.273784637451172</v>
      </c>
      <c r="Z22" s="716">
        <v>29.193937301635739</v>
      </c>
      <c r="AA22" s="716">
        <v>104.6097412109375</v>
      </c>
      <c r="AB22" s="716">
        <v>47.984729766845703</v>
      </c>
      <c r="AC22" s="716">
        <v>28.321138381958011</v>
      </c>
      <c r="AD22" s="716">
        <v>96.310325622558594</v>
      </c>
      <c r="AE22" s="716">
        <v>48.110774993896477</v>
      </c>
      <c r="AF22" s="716">
        <v>18.63191986083984</v>
      </c>
      <c r="AG22" s="716">
        <v>251.77128601074219</v>
      </c>
      <c r="AH22" s="716">
        <v>26.752799987792969</v>
      </c>
      <c r="AI22" s="716">
        <v>10.352597236633301</v>
      </c>
      <c r="AJ22" s="716">
        <v>76.450370788574219</v>
      </c>
      <c r="AK22" s="716">
        <v>42.325958251953132</v>
      </c>
      <c r="AL22" s="716">
        <v>22.526309967041019</v>
      </c>
      <c r="AM22" s="716">
        <v>114.3229217529297</v>
      </c>
      <c r="AN22" s="716">
        <v>110.447883605957</v>
      </c>
      <c r="AO22" s="716">
        <v>44.835514068603523</v>
      </c>
      <c r="AP22" s="716">
        <v>310.28573608398438</v>
      </c>
      <c r="AQ22" s="716">
        <v>43.518531799316413</v>
      </c>
      <c r="AR22" s="716">
        <v>21.920827865600589</v>
      </c>
      <c r="AS22" s="716">
        <v>119.2787551879883</v>
      </c>
      <c r="AT22" s="716">
        <v>53.932838439941413</v>
      </c>
      <c r="AU22" s="716">
        <v>28.366374969482418</v>
      </c>
      <c r="AV22" s="716">
        <v>122.21763610839839</v>
      </c>
      <c r="AW22" s="716">
        <v>48.170658111572273</v>
      </c>
      <c r="AX22" s="716">
        <v>17.221088409423832</v>
      </c>
      <c r="AY22" s="716">
        <v>179.85426330566409</v>
      </c>
      <c r="AZ22" s="716">
        <v>32.025527954101563</v>
      </c>
      <c r="BA22" s="716">
        <v>16.385347366333011</v>
      </c>
      <c r="BB22" s="716">
        <v>86.832145690917969</v>
      </c>
      <c r="BC22" s="716">
        <v>44.776576995849609</v>
      </c>
      <c r="BD22" s="716">
        <v>19.789657592773441</v>
      </c>
      <c r="BE22" s="716">
        <v>104.49920654296881</v>
      </c>
      <c r="BF22" s="716">
        <v>68.981399536132813</v>
      </c>
      <c r="BG22" s="716">
        <v>29.0626335144043</v>
      </c>
      <c r="BH22" s="716">
        <v>171.0338439941406</v>
      </c>
      <c r="BI22" s="716">
        <v>81.675460815429688</v>
      </c>
      <c r="BJ22" s="716">
        <v>26.39669227600098</v>
      </c>
      <c r="BK22" s="716">
        <v>352.89178466796881</v>
      </c>
      <c r="BL22" s="716">
        <v>65.143150329589844</v>
      </c>
      <c r="BM22" s="716">
        <v>21.506950378417969</v>
      </c>
      <c r="BN22" s="716">
        <v>229.0738525390625</v>
      </c>
      <c r="BO22" s="716">
        <v>11.105704307556151</v>
      </c>
      <c r="BP22" s="716">
        <v>2.0735816955566411</v>
      </c>
      <c r="BQ22" s="716">
        <v>77.704780578613281</v>
      </c>
    </row>
    <row r="23" spans="1:69" x14ac:dyDescent="0.35">
      <c r="A23" s="5" t="s">
        <v>133</v>
      </c>
      <c r="E23" s="10">
        <f ca="1">IF(PR19Pivot,VLOOKUP($A23,'Pre-PR24 summary'!$A$5:$AC$20,E$20,FALSE),IFERROR(MAX(OFFSET('WTP PR24 SSC'!$E$4,MATCH($A23,PR24_HHOptions,0),0),0),""))</f>
        <v>15.084017643194498</v>
      </c>
      <c r="F23" s="10">
        <f ca="1">IF(PR19Pivot,VLOOKUP($A23,'Pre-PR24 summary'!$A$5:$AC$20,F$20,FALSE),IFERROR(MAX(OFFSET('WTP PR24 SSC'!$E$4,MATCH($A23,PR24_HHOptions,0),0),0),""))</f>
        <v>10.09360466306371</v>
      </c>
      <c r="G23" s="10">
        <f ca="1">IF(PR19Pivot,VLOOKUP($A23,'Pre-PR24 summary'!$A$5:$AC$20,G$20,FALSE),IFERROR(MAX(OFFSET('WTP PR24 SSC'!$E$4,MATCH($A23,PR24_HHOptions,0),0),0),""))</f>
        <v>14.079888784734818</v>
      </c>
      <c r="H23" s="10"/>
      <c r="I23" s="10">
        <f ca="1">IF(PR19Pivot,VLOOKUP($A23,'Pre-PR24 summary'!$A$5:$AC$20,I$20,FALSE),IFERROR(MAX(OFFSET('WTP PR24 SSC'!$E$4,MATCH($A23,PR24_HHOptions,0),0),0),""))</f>
        <v>11.952755299532615</v>
      </c>
      <c r="J23" s="10">
        <f ca="1">IF(PR19Pivot,VLOOKUP($A23,'Pre-PR24 summary'!$A$5:$AC$20,J$20,FALSE),IFERROR(MAX(OFFSET('WTP PR24 SSC'!$E$4,MATCH($A23,PR24_HHOptions,0),0),0),""))</f>
        <v>12.844192751566112</v>
      </c>
      <c r="K23" s="10">
        <f ca="1">IF(PR19Pivot,VLOOKUP($A23,'Pre-PR24 summary'!$A$5:$AC$20,K$20,FALSE),IFERROR(MAX(OFFSET('WTP PR24 SSC'!$E$4,MATCH($A23,PR24_HHOptions,0),0),0),""))</f>
        <v>12.151283826952829</v>
      </c>
      <c r="O23" s="870">
        <f ca="1">IF(E23="x","x",$E$6*E23/E$32)</f>
        <v>5.445775619538213</v>
      </c>
      <c r="P23" s="870">
        <f ca="1">IF(F23="x","x",$E$6*F23/F$32)</f>
        <v>3.5521670938868906</v>
      </c>
      <c r="Q23" s="400"/>
      <c r="R23" s="870">
        <f ca="1">IF(I23="x","x",$I$6*I23/I$32)</f>
        <v>63.365269422269094</v>
      </c>
      <c r="S23" s="870">
        <f ca="1">IF(J23="x","x",$I$6*J23/J$32)</f>
        <v>46.804017666993559</v>
      </c>
    </row>
    <row r="24" spans="1:69" x14ac:dyDescent="0.35">
      <c r="A24" s="851" t="s">
        <v>135</v>
      </c>
      <c r="E24" s="10">
        <f ca="1">IF(PR19Pivot,VLOOKUP($A24,'Pre-PR24 summary'!$A$5:$AC$20,E$20,FALSE),IFERROR(MAX(OFFSET('WTP PR24 SSC'!$E$4,MATCH($A24,PR24_HHOptions,0),0),0),""))</f>
        <v>227.53399278138332</v>
      </c>
      <c r="F24" s="10">
        <f ca="1">IF(PR19Pivot,VLOOKUP($A24,'Pre-PR24 summary'!$A$5:$AC$20,F$20,FALSE),IFERROR(MAX(OFFSET('WTP PR24 SSC'!$E$4,MATCH($A24,PR24_HHOptions,0),0),0),""))</f>
        <v>101.57152064689531</v>
      </c>
      <c r="G24" s="10">
        <f ca="1">IF(PR19Pivot,VLOOKUP($A24,'Pre-PR24 summary'!$A$5:$AC$20,G$20,FALSE),IFERROR(MAX(OFFSET('WTP PR24 SSC'!$E$4,MATCH($A24,PR24_HHOptions,0),0),0),""))</f>
        <v>202.18888530095035</v>
      </c>
      <c r="H24" s="10"/>
      <c r="I24" s="10">
        <f ca="1">IF(PR19Pivot,VLOOKUP($A24,'Pre-PR24 summary'!$A$5:$AC$20,I$20,FALSE),IFERROR(MAX(OFFSET('WTP PR24 SSC'!$E$4,MATCH($A24,PR24_HHOptions,0),0),0),""))</f>
        <v>58.929796437567347</v>
      </c>
      <c r="J24" s="10">
        <f ca="1">IF(PR19Pivot,VLOOKUP($A24,'Pre-PR24 summary'!$A$5:$AC$20,J$20,FALSE),IFERROR(MAX(OFFSET('WTP PR24 SSC'!$E$4,MATCH($A24,PR24_HHOptions,0),0),0),""))</f>
        <v>80.723179611487453</v>
      </c>
      <c r="K24" s="10">
        <f ca="1">IF(PR19Pivot,VLOOKUP($A24,'Pre-PR24 summary'!$A$5:$AC$20,K$20,FALSE),IFERROR(MAX(OFFSET('WTP PR24 SSC'!$E$4,MATCH($A24,PR24_HHOptions,0),0),0),""))</f>
        <v>63.783315054216423</v>
      </c>
      <c r="O24" s="870">
        <f t="shared" ref="O24:O30" ca="1" si="11">IF(E24="x","x",$E$6*E24/E$32)</f>
        <v>82.146487747187777</v>
      </c>
      <c r="P24" s="870">
        <f t="shared" ref="P24:P30" ca="1" si="12">IF(F24="x","x",$E$6*F24/F$32)</f>
        <v>35.745308575265838</v>
      </c>
      <c r="Q24" s="400"/>
      <c r="R24" s="870">
        <f t="shared" ref="R24:R30" ca="1" si="13">IF(I24="x","x",$I$6*I24/I$32)</f>
        <v>312.40515970505493</v>
      </c>
      <c r="S24" s="870">
        <f t="shared" ref="S24:S30" ca="1" si="14">IF(J24="x","x",$I$6*J24/J$32)</f>
        <v>294.15387932505723</v>
      </c>
      <c r="X24" s="51"/>
      <c r="Y24" s="51" t="s">
        <v>23</v>
      </c>
      <c r="Z24" s="51"/>
      <c r="AA24" s="51"/>
      <c r="AB24" s="51" t="s">
        <v>1185</v>
      </c>
      <c r="AC24" s="51"/>
      <c r="AD24" s="51"/>
      <c r="AE24" s="51" t="s">
        <v>1186</v>
      </c>
      <c r="AF24" s="51"/>
      <c r="AG24" s="51"/>
      <c r="AH24" s="51" t="s">
        <v>1206</v>
      </c>
      <c r="AI24" s="51"/>
      <c r="AJ24" s="51"/>
      <c r="AK24" s="51" t="s">
        <v>1207</v>
      </c>
      <c r="AL24" s="51"/>
      <c r="AM24" s="51"/>
      <c r="AN24" s="51" t="s">
        <v>1208</v>
      </c>
      <c r="AO24" s="51"/>
      <c r="AP24" s="51"/>
      <c r="AQ24" s="51" t="s">
        <v>1209</v>
      </c>
      <c r="AR24" s="51"/>
      <c r="AS24" s="51"/>
      <c r="AT24" s="51" t="s">
        <v>1210</v>
      </c>
      <c r="AU24" s="51"/>
      <c r="AV24" s="51"/>
      <c r="AW24" s="51" t="s">
        <v>1211</v>
      </c>
      <c r="AX24" s="51"/>
      <c r="AY24" s="51"/>
      <c r="AZ24" s="51" t="s">
        <v>1212</v>
      </c>
      <c r="BA24" s="51"/>
      <c r="BB24" s="51"/>
      <c r="BC24" s="51" t="s">
        <v>1213</v>
      </c>
      <c r="BD24" s="51"/>
      <c r="BE24" s="51"/>
      <c r="BF24" s="51" t="s">
        <v>1214</v>
      </c>
      <c r="BG24" s="51"/>
      <c r="BH24" s="51"/>
      <c r="BI24" s="51" t="s">
        <v>1215</v>
      </c>
      <c r="BJ24" s="51"/>
      <c r="BK24" s="51"/>
      <c r="BL24" s="51" t="s">
        <v>1216</v>
      </c>
      <c r="BM24" s="51"/>
      <c r="BN24" s="51"/>
    </row>
    <row r="25" spans="1:69" x14ac:dyDescent="0.35">
      <c r="A25" s="851" t="s">
        <v>141</v>
      </c>
      <c r="E25" s="10">
        <f ca="1">IF(PR19Pivot,VLOOKUP($A25,'Pre-PR24 summary'!$A$5:$AC$20,E$20,FALSE),IFERROR(MAX(OFFSET('WTP PR24 SSC'!$E$4,MATCH($A25,PR24_HHOptions,0),0),0),""))</f>
        <v>294.16109764129538</v>
      </c>
      <c r="F25" s="10">
        <f ca="1">IF(PR19Pivot,VLOOKUP($A25,'Pre-PR24 summary'!$A$5:$AC$20,F$20,FALSE),IFERROR(MAX(OFFSET('WTP PR24 SSC'!$E$4,MATCH($A25,PR24_HHOptions,0),0),0),""))</f>
        <v>349.65221547710541</v>
      </c>
      <c r="G25" s="10">
        <f ca="1">IF(PR19Pivot,VLOOKUP($A25,'Pre-PR24 summary'!$A$5:$AC$20,G$20,FALSE),IFERROR(MAX(OFFSET('WTP PR24 SSC'!$E$4,MATCH($A25,PR24_HHOptions,0),0),0),""))</f>
        <v>305.32655289098557</v>
      </c>
      <c r="H25" s="10"/>
      <c r="I25" s="10">
        <f ca="1">IF(PR19Pivot,VLOOKUP($A25,'Pre-PR24 summary'!$A$5:$AC$20,I$20,FALSE),IFERROR(MAX(OFFSET('WTP PR24 SSC'!$E$4,MATCH($A25,PR24_HHOptions,0),0),0),""))</f>
        <v>585.40559849691215</v>
      </c>
      <c r="J25" s="10">
        <f ca="1">IF(PR19Pivot,VLOOKUP($A25,'Pre-PR24 summary'!$A$5:$AC$20,J$20,FALSE),IFERROR(MAX(OFFSET('WTP PR24 SSC'!$E$4,MATCH($A25,PR24_HHOptions,0),0),0),""))</f>
        <v>1526.4271639797587</v>
      </c>
      <c r="K25" s="10">
        <f ca="1">IF(PR19Pivot,VLOOKUP($A25,'Pre-PR24 summary'!$A$5:$AC$20,K$20,FALSE),IFERROR(MAX(OFFSET('WTP PR24 SSC'!$E$4,MATCH($A25,PR24_HHOptions,0),0),0),""))</f>
        <v>794.97680872575143</v>
      </c>
      <c r="O25" s="870">
        <f t="shared" ca="1" si="11"/>
        <v>106.20083930187631</v>
      </c>
      <c r="P25" s="870">
        <f t="shared" ca="1" si="12"/>
        <v>123.05049935901012</v>
      </c>
      <c r="Q25" s="400"/>
      <c r="R25" s="870">
        <f t="shared" ca="1" si="13"/>
        <v>3103.4169562152765</v>
      </c>
      <c r="S25" s="870">
        <f t="shared" ca="1" si="14"/>
        <v>5562.2743548111539</v>
      </c>
      <c r="X25" s="51" t="s">
        <v>1199</v>
      </c>
      <c r="Y25" s="51" t="s">
        <v>1200</v>
      </c>
      <c r="Z25" s="51" t="s">
        <v>1201</v>
      </c>
      <c r="AA25" s="51"/>
      <c r="AB25" s="51" t="s">
        <v>1200</v>
      </c>
      <c r="AC25" s="51" t="s">
        <v>1201</v>
      </c>
      <c r="AD25" s="51"/>
      <c r="AE25" s="51" t="s">
        <v>1200</v>
      </c>
      <c r="AF25" s="51" t="s">
        <v>1201</v>
      </c>
      <c r="AG25" s="51"/>
      <c r="AH25" s="51" t="s">
        <v>1200</v>
      </c>
      <c r="AI25" s="51" t="s">
        <v>1201</v>
      </c>
      <c r="AJ25" s="51"/>
      <c r="AK25" s="51" t="s">
        <v>1200</v>
      </c>
      <c r="AL25" s="51" t="s">
        <v>1201</v>
      </c>
      <c r="AM25" s="51"/>
      <c r="AN25" s="51" t="s">
        <v>1200</v>
      </c>
      <c r="AO25" s="51" t="s">
        <v>1201</v>
      </c>
      <c r="AP25" s="51"/>
      <c r="AQ25" s="51" t="s">
        <v>1200</v>
      </c>
      <c r="AR25" s="51" t="s">
        <v>1201</v>
      </c>
      <c r="AS25" s="51"/>
      <c r="AT25" s="51" t="s">
        <v>1200</v>
      </c>
      <c r="AU25" s="51" t="s">
        <v>1201</v>
      </c>
      <c r="AV25" s="51"/>
      <c r="AW25" s="51" t="s">
        <v>1200</v>
      </c>
      <c r="AX25" s="51" t="s">
        <v>1201</v>
      </c>
      <c r="AY25" s="51"/>
      <c r="AZ25" s="51" t="s">
        <v>1200</v>
      </c>
      <c r="BA25" s="51" t="s">
        <v>1201</v>
      </c>
      <c r="BB25" s="51"/>
      <c r="BC25" s="51" t="s">
        <v>1200</v>
      </c>
      <c r="BD25" s="51" t="s">
        <v>1201</v>
      </c>
      <c r="BE25" s="51"/>
      <c r="BF25" s="51" t="s">
        <v>1200</v>
      </c>
      <c r="BG25" s="51" t="s">
        <v>1201</v>
      </c>
      <c r="BH25" s="51"/>
      <c r="BI25" s="51" t="s">
        <v>1200</v>
      </c>
      <c r="BJ25" s="51" t="s">
        <v>1201</v>
      </c>
      <c r="BK25" s="51"/>
      <c r="BL25" s="51" t="s">
        <v>1200</v>
      </c>
      <c r="BM25" s="51" t="s">
        <v>1201</v>
      </c>
      <c r="BN25" s="51"/>
    </row>
    <row r="26" spans="1:69" x14ac:dyDescent="0.35">
      <c r="A26" s="851" t="s">
        <v>40</v>
      </c>
      <c r="E26" s="10">
        <f ca="1">IF(PR19Pivot,VLOOKUP($A26,'Pre-PR24 summary'!$A$5:$AC$20,E$20,FALSE),IFERROR(MAX(OFFSET('WTP PR24 SSC'!$E$4,MATCH($A26,PR24_HHOptions,0),0),0),""))</f>
        <v>23944.892227883298</v>
      </c>
      <c r="F26" s="10">
        <f ca="1">IF(PR19Pivot,VLOOKUP($A26,'Pre-PR24 summary'!$A$5:$AC$20,F$20,FALSE),IFERROR(MAX(OFFSET('WTP PR24 SSC'!$E$4,MATCH($A26,PR24_HHOptions,0),0),0),""))</f>
        <v>74866.412415175815</v>
      </c>
      <c r="G26" s="10">
        <f ca="1">IF(PR19Pivot,VLOOKUP($A26,'Pre-PR24 summary'!$A$5:$AC$20,G$20,FALSE),IFERROR(MAX(OFFSET('WTP PR24 SSC'!$E$4,MATCH($A26,PR24_HHOptions,0),0),0),""))</f>
        <v>34190.891535010269</v>
      </c>
      <c r="H26" s="10"/>
      <c r="I26" s="10">
        <f ca="1">IF(PR19Pivot,VLOOKUP($A26,'Pre-PR24 summary'!$A$5:$AC$20,I$20,FALSE),IFERROR(MAX(OFFSET('WTP PR24 SSC'!$E$4,MATCH($A26,PR24_HHOptions,0),0),0),""))</f>
        <v>34800.093171867105</v>
      </c>
      <c r="J26" s="10">
        <f ca="1">IF(PR19Pivot,VLOOKUP($A26,'Pre-PR24 summary'!$A$5:$AC$20,J$20,FALSE),IFERROR(MAX(OFFSET('WTP PR24 SSC'!$E$4,MATCH($A26,PR24_HHOptions,0),0),0),""))</f>
        <v>58052.045514065772</v>
      </c>
      <c r="K26" s="10">
        <f ca="1">IF(PR19Pivot,VLOOKUP($A26,'Pre-PR24 summary'!$A$5:$AC$20,K$20,FALSE),IFERROR(MAX(OFFSET('WTP PR24 SSC'!$E$4,MATCH($A26,PR24_HHOptions,0),0),0),""))</f>
        <v>39978.443988978841</v>
      </c>
      <c r="O26" s="870">
        <f t="shared" ca="1" si="11"/>
        <v>8644.8129000902627</v>
      </c>
      <c r="P26" s="870">
        <f t="shared" ca="1" si="12"/>
        <v>26347.178782592859</v>
      </c>
      <c r="Q26" s="400"/>
      <c r="R26" s="870">
        <f ca="1">IF(I26="x","x",$I$6*I26/I$32)</f>
        <v>184486.10588067942</v>
      </c>
      <c r="S26" s="870">
        <f t="shared" ca="1" si="14"/>
        <v>211540.65626383194</v>
      </c>
      <c r="X26" s="51" t="s">
        <v>225</v>
      </c>
      <c r="Y26" s="945">
        <v>29140.267578125</v>
      </c>
      <c r="Z26" s="945">
        <v>10535.244140625</v>
      </c>
      <c r="AA26" s="945">
        <v>186032.15625</v>
      </c>
      <c r="AB26" s="945">
        <v>18781.171875</v>
      </c>
      <c r="AC26" s="945">
        <v>6022.283203125</v>
      </c>
      <c r="AD26" s="945">
        <v>104442.5703125</v>
      </c>
      <c r="AE26" s="945">
        <v>74149.3828125</v>
      </c>
      <c r="AF26" s="945">
        <v>13473.861328125</v>
      </c>
      <c r="AG26" s="945">
        <v>1468931.875</v>
      </c>
      <c r="AH26" s="243">
        <v>22021.078125</v>
      </c>
      <c r="AI26" s="243">
        <v>3007.3427734375</v>
      </c>
      <c r="AJ26" s="243">
        <v>235331.453125</v>
      </c>
      <c r="AK26" s="243">
        <v>5816.79150390625</v>
      </c>
      <c r="AL26" s="243">
        <v>1362.983154296875</v>
      </c>
      <c r="AM26" s="243">
        <v>97873.6640625</v>
      </c>
      <c r="AN26" s="243">
        <v>44175.4453125</v>
      </c>
      <c r="AO26" s="243">
        <v>4152.32763671875</v>
      </c>
      <c r="AP26" s="243">
        <v>461455.78125</v>
      </c>
      <c r="AQ26" s="243">
        <v>23320.52734375</v>
      </c>
      <c r="AR26" s="243">
        <v>5092.9130859375</v>
      </c>
      <c r="AS26" s="243">
        <v>287792.75</v>
      </c>
      <c r="AT26" s="243">
        <v>17267.66796875</v>
      </c>
      <c r="AU26" s="243">
        <v>5025.83349609375</v>
      </c>
      <c r="AV26" s="243">
        <v>95458.375</v>
      </c>
      <c r="AW26" s="243">
        <v>11968.2041015625</v>
      </c>
      <c r="AX26" s="243">
        <v>2104.311279296875</v>
      </c>
      <c r="AY26" s="243">
        <v>344661.5</v>
      </c>
      <c r="AZ26" s="243">
        <v>11788.501953125</v>
      </c>
      <c r="BA26" s="243">
        <v>1384.852416992188</v>
      </c>
      <c r="BB26" s="243">
        <v>386293.34375</v>
      </c>
      <c r="BC26" s="243">
        <v>74750.890625</v>
      </c>
      <c r="BD26" s="243">
        <v>4428.94873046875</v>
      </c>
      <c r="BE26" s="243">
        <v>1435075.125</v>
      </c>
      <c r="BF26" s="243">
        <v>10922.4833984375</v>
      </c>
      <c r="BG26" s="243">
        <v>1682.839721679688</v>
      </c>
      <c r="BH26" s="243">
        <v>345656.4375</v>
      </c>
      <c r="BI26" s="243">
        <v>75183.421875</v>
      </c>
      <c r="BJ26" s="243">
        <v>11715.171875</v>
      </c>
      <c r="BK26" s="243">
        <v>472106.1875</v>
      </c>
      <c r="BL26" s="243">
        <v>20478.794921875</v>
      </c>
      <c r="BM26" s="243">
        <v>6602.42919921875</v>
      </c>
      <c r="BN26" s="243">
        <v>108750.9453125</v>
      </c>
    </row>
    <row r="27" spans="1:69" x14ac:dyDescent="0.35">
      <c r="A27" s="5" t="s">
        <v>41</v>
      </c>
      <c r="E27" s="10">
        <f ca="1">IF(PR19Pivot,VLOOKUP($A27,'Pre-PR24 summary'!$A$5:$AC$20,E$20,FALSE),IFERROR(MAX(OFFSET('WTP PR24 SSC'!$E$4,MATCH($A27,PR24_HHOptions,0),0),0),""))</f>
        <v>10.430361298514326</v>
      </c>
      <c r="F27" s="10">
        <f ca="1">IF(PR19Pivot,VLOOKUP($A27,'Pre-PR24 summary'!$A$5:$AC$20,F$20,FALSE),IFERROR(MAX(OFFSET('WTP PR24 SSC'!$E$4,MATCH($A27,PR24_HHOptions,0),0),0),""))</f>
        <v>6.9454442271031356</v>
      </c>
      <c r="G27" s="10">
        <f ca="1">IF(PR19Pivot,VLOOKUP($A27,'Pre-PR24 summary'!$A$5:$AC$20,G$20,FALSE),IFERROR(MAX(OFFSET('WTP PR24 SSC'!$E$4,MATCH($A27,PR24_HHOptions,0),0),0),""))</f>
        <v>9.7291556438570534</v>
      </c>
      <c r="H27" s="10"/>
      <c r="I27" s="10">
        <f ca="1">IF(PR19Pivot,VLOOKUP($A27,'Pre-PR24 summary'!$A$5:$AC$20,I$20,FALSE),IFERROR(MAX(OFFSET('WTP PR24 SSC'!$E$4,MATCH($A27,PR24_HHOptions,0),0),0),""))</f>
        <v>0</v>
      </c>
      <c r="J27" s="10">
        <f ca="1">IF(PR19Pivot,VLOOKUP($A27,'Pre-PR24 summary'!$A$5:$AC$20,J$20,FALSE),IFERROR(MAX(OFFSET('WTP PR24 SSC'!$E$4,MATCH($A27,PR24_HHOptions,0),0),0),""))</f>
        <v>0</v>
      </c>
      <c r="K27" s="10">
        <f ca="1">IF(PR19Pivot,VLOOKUP($A27,'Pre-PR24 summary'!$A$5:$AC$20,K$20,FALSE),IFERROR(MAX(OFFSET('WTP PR24 SSC'!$E$4,MATCH($A27,PR24_HHOptions,0),0),0),""))</f>
        <v>0</v>
      </c>
      <c r="O27" s="870">
        <f t="shared" ca="1" si="11"/>
        <v>3.7656683123843675</v>
      </c>
      <c r="P27" s="870">
        <f t="shared" ca="1" si="12"/>
        <v>2.4442584447778373</v>
      </c>
      <c r="Q27" s="400"/>
      <c r="R27" s="870">
        <f t="shared" ca="1" si="13"/>
        <v>0</v>
      </c>
      <c r="S27" s="870">
        <f t="shared" ca="1" si="14"/>
        <v>0</v>
      </c>
      <c r="X27" s="51" t="s">
        <v>221</v>
      </c>
      <c r="Y27" s="945">
        <v>22071.01171875</v>
      </c>
      <c r="Z27" s="945">
        <v>7811.99072265625</v>
      </c>
      <c r="AA27" s="945">
        <v>134581.296875</v>
      </c>
      <c r="AB27" s="945">
        <v>13740.796875</v>
      </c>
      <c r="AC27" s="945">
        <v>4528.4697265625</v>
      </c>
      <c r="AD27" s="945">
        <v>76203.9140625</v>
      </c>
      <c r="AE27" s="945">
        <v>59265.1640625</v>
      </c>
      <c r="AF27" s="945">
        <v>9662.673828125</v>
      </c>
      <c r="AG27" s="945">
        <v>1029165.5</v>
      </c>
      <c r="AH27" s="243">
        <v>18006.83203125</v>
      </c>
      <c r="AI27" s="243">
        <v>2495.521240234375</v>
      </c>
      <c r="AJ27" s="243">
        <v>195735.171875</v>
      </c>
      <c r="AK27" s="243">
        <v>4201.318359375</v>
      </c>
      <c r="AL27" s="243">
        <v>990.6724853515625</v>
      </c>
      <c r="AM27" s="243">
        <v>71697.8359375</v>
      </c>
      <c r="AN27" s="243">
        <v>34472.984375</v>
      </c>
      <c r="AO27" s="243">
        <v>3295.252685546875</v>
      </c>
      <c r="AP27" s="243">
        <v>355966.09375</v>
      </c>
      <c r="AQ27" s="243">
        <v>17939.916015625</v>
      </c>
      <c r="AR27" s="243">
        <v>3430.2880859375</v>
      </c>
      <c r="AS27" s="243">
        <v>203936.515625</v>
      </c>
      <c r="AT27" s="243">
        <v>13145.7421875</v>
      </c>
      <c r="AU27" s="243">
        <v>3834.636962890625</v>
      </c>
      <c r="AV27" s="243">
        <v>71260.0234375</v>
      </c>
      <c r="AW27" s="243">
        <v>7837.92431640625</v>
      </c>
      <c r="AX27" s="243">
        <v>1160.66650390625</v>
      </c>
      <c r="AY27" s="243">
        <v>208242.296875</v>
      </c>
      <c r="AZ27" s="243">
        <v>10317.2890625</v>
      </c>
      <c r="BA27" s="243">
        <v>1155.463012695313</v>
      </c>
      <c r="BB27" s="243">
        <v>335575.03125</v>
      </c>
      <c r="BC27" s="243">
        <v>60756.92578125</v>
      </c>
      <c r="BD27" s="243">
        <v>3640.205078125</v>
      </c>
      <c r="BE27" s="243">
        <v>1171309.25</v>
      </c>
      <c r="BF27" s="243">
        <v>8144.9619140625</v>
      </c>
      <c r="BG27" s="243">
        <v>1255.909423828125</v>
      </c>
      <c r="BH27" s="243">
        <v>252898.46875</v>
      </c>
      <c r="BI27" s="243">
        <v>58783.40234375</v>
      </c>
      <c r="BJ27" s="243">
        <v>9469.771484375</v>
      </c>
      <c r="BK27" s="243">
        <v>363098.90625</v>
      </c>
      <c r="BL27" s="243">
        <v>15806.7353515625</v>
      </c>
      <c r="BM27" s="243">
        <v>4989.34033203125</v>
      </c>
      <c r="BN27" s="243">
        <v>79160.2109375</v>
      </c>
    </row>
    <row r="28" spans="1:69" x14ac:dyDescent="0.35">
      <c r="A28" s="5" t="s">
        <v>207</v>
      </c>
      <c r="E28" s="16" t="str">
        <f ca="1">IF(PR19Pivot,VLOOKUP($A28,'Pre-PR24 summary'!$A$5:$AC$20,E$20,FALSE),IFERROR(MAX(OFFSET('WTP PR24 SSC'!$E$4,MATCH($A28,PR24_HHOptions,0),0),0),""))</f>
        <v>x</v>
      </c>
      <c r="F28" s="16" t="str">
        <f ca="1">IF(PR19Pivot,VLOOKUP($A28,'Pre-PR24 summary'!$A$5:$AC$20,F$20,FALSE),IFERROR(MAX(OFFSET('WTP PR24 SSC'!$E$4,MATCH($A28,PR24_HHOptions,0),0),0),""))</f>
        <v>x</v>
      </c>
      <c r="G28" s="16" t="str">
        <f ca="1">IF(PR19Pivot,VLOOKUP($A28,'Pre-PR24 summary'!$A$5:$AC$20,G$20,FALSE),IFERROR(MAX(OFFSET('WTP PR24 SSC'!$E$4,MATCH($A28,PR24_HHOptions,0),0),0),""))</f>
        <v>x</v>
      </c>
      <c r="H28" s="16"/>
      <c r="I28" s="16" t="str">
        <f ca="1">IF(PR19Pivot,VLOOKUP($A28,'Pre-PR24 summary'!$A$5:$AC$20,I$20,FALSE),IFERROR(MAX(OFFSET('WTP PR24 SSC'!$E$4,MATCH($A28,PR24_HHOptions,0),0),0),""))</f>
        <v>x</v>
      </c>
      <c r="J28" s="16" t="str">
        <f ca="1">IF(PR19Pivot,VLOOKUP($A28,'Pre-PR24 summary'!$A$5:$AC$20,J$20,FALSE),IFERROR(MAX(OFFSET('WTP PR24 SSC'!$E$4,MATCH($A28,PR24_HHOptions,0),0),0),""))</f>
        <v>x</v>
      </c>
      <c r="K28" s="16" t="str">
        <f ca="1">IF(PR19Pivot,VLOOKUP($A28,'Pre-PR24 summary'!$A$5:$AC$20,K$20,FALSE),IFERROR(MAX(OFFSET('WTP PR24 SSC'!$E$4,MATCH($A28,PR24_HHOptions,0),0),0),""))</f>
        <v>x</v>
      </c>
      <c r="O28" s="870" t="str">
        <f t="shared" ca="1" si="11"/>
        <v>x</v>
      </c>
      <c r="P28" s="870" t="str">
        <f t="shared" ca="1" si="12"/>
        <v>x</v>
      </c>
      <c r="Q28" s="400"/>
      <c r="R28" s="870" t="str">
        <f t="shared" ca="1" si="13"/>
        <v>x</v>
      </c>
      <c r="S28" s="870" t="str">
        <f t="shared" ca="1" si="14"/>
        <v>x</v>
      </c>
      <c r="X28" s="51" t="s">
        <v>227</v>
      </c>
      <c r="Y28" s="945">
        <v>14669.2265625</v>
      </c>
      <c r="Z28" s="945">
        <v>5092.60791015625</v>
      </c>
      <c r="AA28" s="945">
        <v>103392.4765625</v>
      </c>
      <c r="AB28" s="945">
        <v>8929.25390625</v>
      </c>
      <c r="AC28" s="945">
        <v>2903.279541015625</v>
      </c>
      <c r="AD28" s="945">
        <v>52745.75390625</v>
      </c>
      <c r="AE28" s="945">
        <v>42002.6796875</v>
      </c>
      <c r="AF28" s="945">
        <v>7260.43408203125</v>
      </c>
      <c r="AG28" s="945">
        <v>954286.125</v>
      </c>
      <c r="AH28" s="243">
        <v>11256.041015625</v>
      </c>
      <c r="AI28" s="243">
        <v>1530.374755859375</v>
      </c>
      <c r="AJ28" s="243">
        <v>119244.2421875</v>
      </c>
      <c r="AK28" s="243">
        <v>2896.855712890625</v>
      </c>
      <c r="AL28" s="243">
        <v>679.09033203125</v>
      </c>
      <c r="AM28" s="243">
        <v>54048.984375</v>
      </c>
      <c r="AN28" s="243">
        <v>25448.17578125</v>
      </c>
      <c r="AO28" s="243">
        <v>2354.935546875</v>
      </c>
      <c r="AP28" s="243">
        <v>263285.65625</v>
      </c>
      <c r="AQ28" s="243">
        <v>11194.400390625</v>
      </c>
      <c r="AR28" s="243">
        <v>2174.009521484375</v>
      </c>
      <c r="AS28" s="243">
        <v>150252.875</v>
      </c>
      <c r="AT28" s="243">
        <v>9004.83203125</v>
      </c>
      <c r="AU28" s="243">
        <v>2575.04345703125</v>
      </c>
      <c r="AV28" s="243">
        <v>50179.578125</v>
      </c>
      <c r="AW28" s="243">
        <v>5337.00146484375</v>
      </c>
      <c r="AX28" s="243">
        <v>998.7442626953125</v>
      </c>
      <c r="AY28" s="243">
        <v>165631.375</v>
      </c>
      <c r="AZ28" s="243">
        <v>7581.388671875</v>
      </c>
      <c r="BA28" s="243">
        <v>709.180419921875</v>
      </c>
      <c r="BB28" s="243">
        <v>287751.34375</v>
      </c>
      <c r="BC28" s="243">
        <v>42962.828125</v>
      </c>
      <c r="BD28" s="243">
        <v>2511.772705078125</v>
      </c>
      <c r="BE28" s="243">
        <v>843469.875</v>
      </c>
      <c r="BF28" s="243">
        <v>5628.14794921875</v>
      </c>
      <c r="BG28" s="243">
        <v>859.6378173828125</v>
      </c>
      <c r="BH28" s="243">
        <v>207861.953125</v>
      </c>
      <c r="BI28" s="243">
        <v>38003.8359375</v>
      </c>
      <c r="BJ28" s="243">
        <v>6506.95361328125</v>
      </c>
      <c r="BK28" s="243">
        <v>240674.140625</v>
      </c>
      <c r="BL28" s="243">
        <v>10881.7900390625</v>
      </c>
      <c r="BM28" s="243">
        <v>3354.56494140625</v>
      </c>
      <c r="BN28" s="243">
        <v>61038.859375</v>
      </c>
    </row>
    <row r="29" spans="1:69" x14ac:dyDescent="0.35">
      <c r="A29" s="851" t="s">
        <v>153</v>
      </c>
      <c r="E29" s="10">
        <f ca="1">IF(PR19Pivot,VLOOKUP($A29,'Pre-PR24 summary'!$A$5:$AC$20,E$20,FALSE),IFERROR(MAX(OFFSET('WTP PR24 SSC'!$E$4,MATCH($A29,PR24_HHOptions,0),0),0),""))</f>
        <v>6279.0434260942666</v>
      </c>
      <c r="F29" s="10">
        <f ca="1">IF(PR19Pivot,VLOOKUP($A29,'Pre-PR24 summary'!$A$5:$AC$20,F$20,FALSE),IFERROR(MAX(OFFSET('WTP PR24 SSC'!$E$4,MATCH($A29,PR24_HHOptions,0),0),0),""))</f>
        <v>12175.577020786495</v>
      </c>
      <c r="G29" s="10">
        <f ca="1">IF(PR19Pivot,VLOOKUP($A29,'Pre-PR24 summary'!$A$5:$AC$20,G$20,FALSE),IFERROR(MAX(OFFSET('WTP PR24 SSC'!$E$4,MATCH($A29,PR24_HHOptions,0),0),0),""))</f>
        <v>7465.4942410631475</v>
      </c>
      <c r="H29" s="10"/>
      <c r="I29" s="10">
        <f ca="1">IF(PR19Pivot,VLOOKUP($A29,'Pre-PR24 summary'!$A$5:$AC$20,I$20,FALSE),IFERROR(MAX(OFFSET('WTP PR24 SSC'!$E$4,MATCH($A29,PR24_HHOptions,0),0),0),""))</f>
        <v>4462.0584048562123</v>
      </c>
      <c r="J29" s="10">
        <f ca="1">IF(PR19Pivot,VLOOKUP($A29,'Pre-PR24 summary'!$A$5:$AC$20,J$20,FALSE),IFERROR(MAX(OFFSET('WTP PR24 SSC'!$E$4,MATCH($A29,PR24_HHOptions,0),0),0),""))</f>
        <v>16565.100714813711</v>
      </c>
      <c r="K29" s="10">
        <f ca="1">IF(PR19Pivot,VLOOKUP($A29,'Pre-PR24 summary'!$A$5:$AC$20,K$20,FALSE),IFERROR(MAX(OFFSET('WTP PR24 SSC'!$E$4,MATCH($A29,PR24_HHOptions,0),0),0),""))</f>
        <v>7157.4793360940248</v>
      </c>
      <c r="O29" s="870">
        <f t="shared" ca="1" si="11"/>
        <v>2266.9200217538446</v>
      </c>
      <c r="P29" s="870">
        <f t="shared" ca="1" si="12"/>
        <v>4284.8601154937251</v>
      </c>
      <c r="Q29" s="400"/>
      <c r="R29" s="870">
        <f t="shared" ca="1" si="13"/>
        <v>23654.757912819485</v>
      </c>
      <c r="S29" s="870">
        <f t="shared" ca="1" si="14"/>
        <v>60362.942343506438</v>
      </c>
      <c r="X29" s="51" t="s">
        <v>231</v>
      </c>
      <c r="Y29" s="945">
        <v>10708.5107421875</v>
      </c>
      <c r="Z29" s="945">
        <v>4047.543701171875</v>
      </c>
      <c r="AA29" s="945">
        <v>68016.671875</v>
      </c>
      <c r="AB29" s="945">
        <v>7152.42333984375</v>
      </c>
      <c r="AC29" s="945">
        <v>2320.759521484375</v>
      </c>
      <c r="AD29" s="945">
        <v>41530.82421875</v>
      </c>
      <c r="AE29" s="945">
        <v>25393.890625</v>
      </c>
      <c r="AF29" s="945">
        <v>4701.591796875</v>
      </c>
      <c r="AG29" s="945">
        <v>477304.625</v>
      </c>
      <c r="AH29" s="243">
        <v>8506.353515625</v>
      </c>
      <c r="AI29" s="243">
        <v>1219.509643554688</v>
      </c>
      <c r="AJ29" s="243">
        <v>88446.234375</v>
      </c>
      <c r="AK29" s="243">
        <v>2215.937255859375</v>
      </c>
      <c r="AL29" s="243">
        <v>527.68133544921875</v>
      </c>
      <c r="AM29" s="243">
        <v>39099.0703125</v>
      </c>
      <c r="AN29" s="243">
        <v>16165.9501953125</v>
      </c>
      <c r="AO29" s="243">
        <v>1543.584350585938</v>
      </c>
      <c r="AP29" s="243">
        <v>166340.15625</v>
      </c>
      <c r="AQ29" s="243">
        <v>8219.9677734375</v>
      </c>
      <c r="AR29" s="243">
        <v>1712.766479492188</v>
      </c>
      <c r="AS29" s="243">
        <v>99854.78125</v>
      </c>
      <c r="AT29" s="243">
        <v>6778.2734375</v>
      </c>
      <c r="AU29" s="243">
        <v>2016.632202148438</v>
      </c>
      <c r="AV29" s="243">
        <v>35929.1015625</v>
      </c>
      <c r="AW29" s="243">
        <v>3421.606689453125</v>
      </c>
      <c r="AX29" s="243">
        <v>629.2474365234375</v>
      </c>
      <c r="AY29" s="243">
        <v>101837.546875</v>
      </c>
      <c r="AZ29" s="243">
        <v>4998.7314453125</v>
      </c>
      <c r="BA29" s="243">
        <v>500.27621459960938</v>
      </c>
      <c r="BB29" s="243">
        <v>197124.796875</v>
      </c>
      <c r="BC29" s="243">
        <v>29751.51953125</v>
      </c>
      <c r="BD29" s="243">
        <v>1760.4443359375</v>
      </c>
      <c r="BE29" s="243">
        <v>566246.1875</v>
      </c>
      <c r="BF29" s="243">
        <v>3966.9716796875</v>
      </c>
      <c r="BG29" s="243">
        <v>664.927001953125</v>
      </c>
      <c r="BH29" s="243">
        <v>128061.25</v>
      </c>
      <c r="BI29" s="243">
        <v>26868.912109375</v>
      </c>
      <c r="BJ29" s="243">
        <v>4834.40625</v>
      </c>
      <c r="BK29" s="243">
        <v>158051.84375</v>
      </c>
      <c r="BL29" s="243">
        <v>7698.1796875</v>
      </c>
      <c r="BM29" s="243">
        <v>2583.556396484375</v>
      </c>
      <c r="BN29" s="243">
        <v>39446.07421875</v>
      </c>
    </row>
    <row r="30" spans="1:69" x14ac:dyDescent="0.35">
      <c r="A30" s="5" t="s">
        <v>156</v>
      </c>
      <c r="E30" s="10">
        <f ca="1">IF(PR19Pivot,VLOOKUP($A30,'Pre-PR24 summary'!$A$5:$AC$20,E$20,FALSE),IFERROR(MAX(OFFSET('WTP PR24 SSC'!$E$4,MATCH($A30,PR24_HHOptions,0),0),0),""))</f>
        <v>3971.7253201438407</v>
      </c>
      <c r="F30" s="10">
        <f ca="1">IF(PR19Pivot,VLOOKUP($A30,'Pre-PR24 summary'!$A$5:$AC$20,F$20,FALSE),IFERROR(MAX(OFFSET('WTP PR24 SSC'!$E$4,MATCH($A30,PR24_HHOptions,0),0),0),""))</f>
        <v>1868.5775784075122</v>
      </c>
      <c r="G30" s="10">
        <f ca="1">IF(PR19Pivot,VLOOKUP($A30,'Pre-PR24 summary'!$A$5:$AC$20,G$20,FALSE),IFERROR(MAX(OFFSET('WTP PR24 SSC'!$E$4,MATCH($A30,PR24_HHOptions,0),0),0),""))</f>
        <v>3548.547649379927</v>
      </c>
      <c r="H30" s="10"/>
      <c r="I30" s="10">
        <f ca="1">IF(PR19Pivot,VLOOKUP($A30,'Pre-PR24 summary'!$A$5:$AC$20,I$20,FALSE),IFERROR(MAX(OFFSET('WTP PR24 SSC'!$E$4,MATCH($A30,PR24_HHOptions,0),0),0),""))</f>
        <v>4503.4754256625984</v>
      </c>
      <c r="J30" s="10">
        <f ca="1">IF(PR19Pivot,VLOOKUP($A30,'Pre-PR24 summary'!$A$5:$AC$20,J$20,FALSE),IFERROR(MAX(OFFSET('WTP PR24 SSC'!$E$4,MATCH($A30,PR24_HHOptions,0),0),0),""))</f>
        <v>8741.0310608699237</v>
      </c>
      <c r="K30" s="10">
        <f ca="1">IF(PR19Pivot,VLOOKUP($A30,'Pre-PR24 summary'!$A$5:$AC$20,K$20,FALSE),IFERROR(MAX(OFFSET('WTP PR24 SSC'!$E$4,MATCH($A30,PR24_HHOptions,0),0),0),""))</f>
        <v>5447.2047677492064</v>
      </c>
      <c r="O30" s="870">
        <f t="shared" ca="1" si="11"/>
        <v>1433.9100780421329</v>
      </c>
      <c r="P30" s="870">
        <f t="shared" ca="1" si="12"/>
        <v>657.59458666764726</v>
      </c>
      <c r="Q30" s="400"/>
      <c r="R30" s="870">
        <f t="shared" ca="1" si="13"/>
        <v>23874.322407891763</v>
      </c>
      <c r="S30" s="870">
        <f t="shared" ca="1" si="14"/>
        <v>31852.166976458004</v>
      </c>
      <c r="X30" s="51" t="s">
        <v>241</v>
      </c>
      <c r="Y30" s="945">
        <v>9218.953125</v>
      </c>
      <c r="Z30" s="945">
        <v>3698.357421875</v>
      </c>
      <c r="AA30" s="945">
        <v>58892.515625</v>
      </c>
      <c r="AB30" s="945">
        <v>6123.5703125</v>
      </c>
      <c r="AC30" s="945">
        <v>2166.0263671875</v>
      </c>
      <c r="AD30" s="945">
        <v>33316.02734375</v>
      </c>
      <c r="AE30" s="945">
        <v>21869.751953125</v>
      </c>
      <c r="AF30" s="945">
        <v>4985.95654296875</v>
      </c>
      <c r="AG30" s="945">
        <v>487115.46875</v>
      </c>
      <c r="AH30" s="243">
        <v>5324.6904296875</v>
      </c>
      <c r="AI30" s="243">
        <v>786.92608642578125</v>
      </c>
      <c r="AJ30" s="243">
        <v>56514.1484375</v>
      </c>
      <c r="AK30" s="243">
        <v>1722.426147460938</v>
      </c>
      <c r="AL30" s="243">
        <v>422.90573120117188</v>
      </c>
      <c r="AM30" s="243">
        <v>29605.39453125</v>
      </c>
      <c r="AN30" s="243">
        <v>14922.7724609375</v>
      </c>
      <c r="AO30" s="243">
        <v>1462.57373046875</v>
      </c>
      <c r="AP30" s="243">
        <v>152285</v>
      </c>
      <c r="AQ30" s="243">
        <v>8828.2548828125</v>
      </c>
      <c r="AR30" s="243">
        <v>2313.01025390625</v>
      </c>
      <c r="AS30" s="243">
        <v>113526.5625</v>
      </c>
      <c r="AT30" s="243">
        <v>5345.77294921875</v>
      </c>
      <c r="AU30" s="243">
        <v>1705.415893554688</v>
      </c>
      <c r="AV30" s="243">
        <v>28446.65625</v>
      </c>
      <c r="AW30" s="243">
        <v>3301.526123046875</v>
      </c>
      <c r="AX30" s="243">
        <v>728.09210205078125</v>
      </c>
      <c r="AY30" s="243">
        <v>101919.1328125</v>
      </c>
      <c r="AZ30" s="243">
        <v>5018.12744140625</v>
      </c>
      <c r="BA30" s="243">
        <v>665.08660888671875</v>
      </c>
      <c r="BB30" s="243">
        <v>166708.359375</v>
      </c>
      <c r="BC30" s="243">
        <v>24087.041015625</v>
      </c>
      <c r="BD30" s="243">
        <v>1457.127563476563</v>
      </c>
      <c r="BE30" s="243">
        <v>444958.375</v>
      </c>
      <c r="BF30" s="243">
        <v>3701.1845703125</v>
      </c>
      <c r="BG30" s="243">
        <v>730.37237548828125</v>
      </c>
      <c r="BH30" s="243">
        <v>124083.65625</v>
      </c>
      <c r="BI30" s="243">
        <v>23551.083984375</v>
      </c>
      <c r="BJ30" s="243">
        <v>4172.20166015625</v>
      </c>
      <c r="BK30" s="243">
        <v>125206.921875</v>
      </c>
      <c r="BL30" s="243">
        <v>6535.8720703125</v>
      </c>
      <c r="BM30" s="243">
        <v>2326.984375</v>
      </c>
      <c r="BN30" s="243">
        <v>34022.09375</v>
      </c>
    </row>
    <row r="31" spans="1:69" x14ac:dyDescent="0.35">
      <c r="A31" s="5"/>
      <c r="E31" s="10"/>
      <c r="F31" s="10"/>
      <c r="G31" s="10"/>
      <c r="H31" s="10"/>
      <c r="I31" s="10"/>
      <c r="J31" s="10"/>
      <c r="K31" s="10"/>
      <c r="O31" s="16"/>
      <c r="P31" s="16"/>
      <c r="Q31" s="10"/>
      <c r="R31" s="16"/>
      <c r="S31" s="16"/>
      <c r="X31" s="51" t="s">
        <v>229</v>
      </c>
      <c r="Y31" s="945">
        <v>9093.123046875</v>
      </c>
      <c r="Z31" s="945">
        <v>3206.287841796875</v>
      </c>
      <c r="AA31" s="945">
        <v>51169.5859375</v>
      </c>
      <c r="AB31" s="945">
        <v>5919.265625</v>
      </c>
      <c r="AC31" s="945">
        <v>1967.455688476563</v>
      </c>
      <c r="AD31" s="945">
        <v>30284.306640625</v>
      </c>
      <c r="AE31" s="945">
        <v>21886.732421875</v>
      </c>
      <c r="AF31" s="945">
        <v>3527.6513671875</v>
      </c>
      <c r="AG31" s="945">
        <v>347577.53125</v>
      </c>
      <c r="AH31" s="243">
        <v>5888.02197265625</v>
      </c>
      <c r="AI31" s="243">
        <v>778.6063232421875</v>
      </c>
      <c r="AJ31" s="243">
        <v>55945.90234375</v>
      </c>
      <c r="AK31" s="243">
        <v>1723.922241210938</v>
      </c>
      <c r="AL31" s="243">
        <v>400.39617919921881</v>
      </c>
      <c r="AM31" s="243">
        <v>28040.373046875</v>
      </c>
      <c r="AN31" s="243">
        <v>13141.625</v>
      </c>
      <c r="AO31" s="243">
        <v>1225.792602539063</v>
      </c>
      <c r="AP31" s="243">
        <v>134764.1875</v>
      </c>
      <c r="AQ31" s="243">
        <v>8690.10546875</v>
      </c>
      <c r="AR31" s="243">
        <v>1662.197265625</v>
      </c>
      <c r="AS31" s="243">
        <v>82091.953125</v>
      </c>
      <c r="AT31" s="243">
        <v>5115.3369140625</v>
      </c>
      <c r="AU31" s="243">
        <v>1415.216552734375</v>
      </c>
      <c r="AV31" s="243">
        <v>23626.62890625</v>
      </c>
      <c r="AW31" s="243">
        <v>3260.9609375</v>
      </c>
      <c r="AX31" s="243">
        <v>541.66851806640625</v>
      </c>
      <c r="AY31" s="243">
        <v>75981.734375</v>
      </c>
      <c r="AZ31" s="243">
        <v>5332.89453125</v>
      </c>
      <c r="BA31" s="243">
        <v>587.60247802734375</v>
      </c>
      <c r="BB31" s="243">
        <v>148898.328125</v>
      </c>
      <c r="BC31" s="243">
        <v>23204.591796875</v>
      </c>
      <c r="BD31" s="243">
        <v>1473.757080078125</v>
      </c>
      <c r="BE31" s="243">
        <v>449201.59375</v>
      </c>
      <c r="BF31" s="243">
        <v>3625.571044921875</v>
      </c>
      <c r="BG31" s="243">
        <v>589.61865234375</v>
      </c>
      <c r="BH31" s="243">
        <v>101022.6015625</v>
      </c>
      <c r="BI31" s="243">
        <v>22291.04296875</v>
      </c>
      <c r="BJ31" s="243">
        <v>4628.13232421875</v>
      </c>
      <c r="BK31" s="243">
        <v>138441.828125</v>
      </c>
      <c r="BL31" s="243">
        <v>6661.85546875</v>
      </c>
      <c r="BM31" s="243">
        <v>2093.73193359375</v>
      </c>
      <c r="BN31" s="243">
        <v>30619.732421875</v>
      </c>
    </row>
    <row r="32" spans="1:69" x14ac:dyDescent="0.35">
      <c r="A32" s="850" t="s">
        <v>125</v>
      </c>
      <c r="E32" s="10">
        <f ca="1">IF(PR19Pivot,VLOOKUP($A32,'Pre-PR24 summary'!$A$5:$AC$20,E$20,FALSE),IFERROR(MAX(OFFSET('WTP PR24 SSC'!$E$4,MATCH($A32,PR24_HHOptions,0),0),0),""))</f>
        <v>584.15471367211512</v>
      </c>
      <c r="F32" s="10">
        <f ca="1">IF(PR19Pivot,VLOOKUP($A32,'Pre-PR24 summary'!$A$5:$AC$20,F$20,FALSE),IFERROR(MAX(OFFSET('WTP PR24 SSC'!$E$4,MATCH($A32,PR24_HHOptions,0),0),0),""))</f>
        <v>599.27133000641527</v>
      </c>
      <c r="G32" s="10"/>
      <c r="H32" s="10"/>
      <c r="I32" s="10">
        <f ca="1">IF(PR19Pivot,VLOOKUP($A32,'Pre-PR24 summary'!$A$5:$AC$20,I$20,FALSE),IFERROR(MAX(OFFSET('WTP PR24 SSC'!$E$4,MATCH($A32,PR24_HHOptions,0),0),0),""))</f>
        <v>2767.0942952441042</v>
      </c>
      <c r="J32" s="10">
        <f ca="1">IF(PR19Pivot,VLOOKUP($A32,'Pre-PR24 summary'!$A$5:$AC$20,J$20,FALSE),IFERROR(MAX(OFFSET('WTP PR24 SSC'!$E$4,MATCH($A32,PR24_HHOptions,0),0),0),""))</f>
        <v>4025.6025631324037</v>
      </c>
      <c r="K32" s="10"/>
      <c r="X32" s="51" t="s">
        <v>233</v>
      </c>
      <c r="Y32" s="945">
        <v>7756.318359375</v>
      </c>
      <c r="Z32" s="945">
        <v>2661.54150390625</v>
      </c>
      <c r="AA32" s="945">
        <v>46142.13671875</v>
      </c>
      <c r="AB32" s="945">
        <v>4884.36376953125</v>
      </c>
      <c r="AC32" s="945">
        <v>1610.315063476563</v>
      </c>
      <c r="AD32" s="945">
        <v>26404.759765625</v>
      </c>
      <c r="AE32" s="945">
        <v>19989.12890625</v>
      </c>
      <c r="AF32" s="945">
        <v>2904.846923828125</v>
      </c>
      <c r="AG32" s="945">
        <v>358654.71875</v>
      </c>
      <c r="AH32" s="243">
        <v>6184.46923828125</v>
      </c>
      <c r="AI32" s="243">
        <v>864.8388671875</v>
      </c>
      <c r="AJ32" s="243">
        <v>62793.890625</v>
      </c>
      <c r="AK32" s="243">
        <v>1569.453369140625</v>
      </c>
      <c r="AL32" s="243">
        <v>373.19784545898438</v>
      </c>
      <c r="AM32" s="243">
        <v>26200.8203125</v>
      </c>
      <c r="AN32" s="243">
        <v>13029.380859375</v>
      </c>
      <c r="AO32" s="243">
        <v>1233.47021484375</v>
      </c>
      <c r="AP32" s="243">
        <v>134019.65625</v>
      </c>
      <c r="AQ32" s="243">
        <v>5772.86279296875</v>
      </c>
      <c r="AR32" s="243">
        <v>929.13970947265625</v>
      </c>
      <c r="AS32" s="243">
        <v>68770.3671875</v>
      </c>
      <c r="AT32" s="243">
        <v>4210.326171875</v>
      </c>
      <c r="AU32" s="243">
        <v>1207.48779296875</v>
      </c>
      <c r="AV32" s="243">
        <v>22702.69140625</v>
      </c>
      <c r="AW32" s="243">
        <v>2933.248291015625</v>
      </c>
      <c r="AX32" s="243">
        <v>361.56976318359381</v>
      </c>
      <c r="AY32" s="243">
        <v>87551.4140625</v>
      </c>
      <c r="AZ32" s="243">
        <v>4669.244140625</v>
      </c>
      <c r="BA32" s="243">
        <v>556.16009521484375</v>
      </c>
      <c r="BB32" s="243">
        <v>151980.5</v>
      </c>
      <c r="BC32" s="243">
        <v>22625.896484375</v>
      </c>
      <c r="BD32" s="243">
        <v>1308.703491210938</v>
      </c>
      <c r="BE32" s="243">
        <v>441948.25</v>
      </c>
      <c r="BF32" s="243">
        <v>3471.954833984375</v>
      </c>
      <c r="BG32" s="243">
        <v>496.59744262695313</v>
      </c>
      <c r="BH32" s="243">
        <v>115158.3125</v>
      </c>
      <c r="BI32" s="243">
        <v>18421.79296875</v>
      </c>
      <c r="BJ32" s="243">
        <v>3015.25830078125</v>
      </c>
      <c r="BK32" s="243">
        <v>121222.3046875</v>
      </c>
      <c r="BL32" s="243">
        <v>5629.5322265625</v>
      </c>
      <c r="BM32" s="243">
        <v>1762.440063476563</v>
      </c>
      <c r="BN32" s="243">
        <v>27793.791015625</v>
      </c>
    </row>
    <row r="33" spans="1:66" x14ac:dyDescent="0.35">
      <c r="X33" s="51" t="s">
        <v>239</v>
      </c>
      <c r="Y33" s="945">
        <v>5914.52685546875</v>
      </c>
      <c r="Z33" s="945">
        <v>2061.6162109375</v>
      </c>
      <c r="AA33" s="945">
        <v>35417.9375</v>
      </c>
      <c r="AB33" s="945">
        <v>3903.7822265625</v>
      </c>
      <c r="AC33" s="945">
        <v>1246.122436523438</v>
      </c>
      <c r="AD33" s="945">
        <v>20883.41796875</v>
      </c>
      <c r="AE33" s="945">
        <v>13744.1806640625</v>
      </c>
      <c r="AF33" s="945">
        <v>2464.816162109375</v>
      </c>
      <c r="AG33" s="945">
        <v>258646.9375</v>
      </c>
      <c r="AH33" s="243">
        <v>4217.09619140625</v>
      </c>
      <c r="AI33" s="243">
        <v>559.13189697265625</v>
      </c>
      <c r="AJ33" s="243">
        <v>44506.61328125</v>
      </c>
      <c r="AK33" s="243">
        <v>1064.195922851563</v>
      </c>
      <c r="AL33" s="243">
        <v>257.66961669921881</v>
      </c>
      <c r="AM33" s="243">
        <v>18122.427734375</v>
      </c>
      <c r="AN33" s="243">
        <v>8033.8095703125</v>
      </c>
      <c r="AO33" s="243">
        <v>763.822509765625</v>
      </c>
      <c r="AP33" s="243">
        <v>81281.84375</v>
      </c>
      <c r="AQ33" s="243">
        <v>5383.86474609375</v>
      </c>
      <c r="AR33" s="243">
        <v>1026.424560546875</v>
      </c>
      <c r="AS33" s="243">
        <v>62138.28125</v>
      </c>
      <c r="AT33" s="243">
        <v>3235.830322265625</v>
      </c>
      <c r="AU33" s="243">
        <v>916.9273681640625</v>
      </c>
      <c r="AV33" s="243">
        <v>16830.689453125</v>
      </c>
      <c r="AW33" s="243">
        <v>2269.265869140625</v>
      </c>
      <c r="AX33" s="243">
        <v>422.76779174804688</v>
      </c>
      <c r="AY33" s="243">
        <v>61898.7890625</v>
      </c>
      <c r="AZ33" s="243">
        <v>3337.445556640625</v>
      </c>
      <c r="BA33" s="243">
        <v>371.71112060546881</v>
      </c>
      <c r="BB33" s="243">
        <v>112831.65625</v>
      </c>
      <c r="BC33" s="243">
        <v>13128.0986328125</v>
      </c>
      <c r="BD33" s="243">
        <v>800.36883544921875</v>
      </c>
      <c r="BE33" s="243">
        <v>251732.78125</v>
      </c>
      <c r="BF33" s="243">
        <v>2216.93798828125</v>
      </c>
      <c r="BG33" s="243">
        <v>346.010498046875</v>
      </c>
      <c r="BH33" s="243">
        <v>75524.5625</v>
      </c>
      <c r="BI33" s="243">
        <v>13285.7958984375</v>
      </c>
      <c r="BJ33" s="243">
        <v>2321.7900390625</v>
      </c>
      <c r="BK33" s="243">
        <v>84257.6640625</v>
      </c>
      <c r="BL33" s="243">
        <v>4132.7431640625</v>
      </c>
      <c r="BM33" s="243">
        <v>1313.211791992188</v>
      </c>
      <c r="BN33" s="243">
        <v>20787.05078125</v>
      </c>
    </row>
    <row r="34" spans="1:66" x14ac:dyDescent="0.35">
      <c r="X34" s="51" t="s">
        <v>235</v>
      </c>
      <c r="Y34" s="945">
        <v>5540.083984375</v>
      </c>
      <c r="Z34" s="945">
        <v>1871.292358398438</v>
      </c>
      <c r="AA34" s="945">
        <v>33221.578125</v>
      </c>
      <c r="AB34" s="945">
        <v>3560.104736328125</v>
      </c>
      <c r="AC34" s="945">
        <v>1089.6728515625</v>
      </c>
      <c r="AD34" s="945">
        <v>19227.009765625</v>
      </c>
      <c r="AE34" s="945">
        <v>13511.3515625</v>
      </c>
      <c r="AF34" s="945">
        <v>2430.282470703125</v>
      </c>
      <c r="AG34" s="945">
        <v>261467.734375</v>
      </c>
      <c r="AH34" s="243">
        <v>4303.34326171875</v>
      </c>
      <c r="AI34" s="243">
        <v>572.807373046875</v>
      </c>
      <c r="AJ34" s="243">
        <v>44524.1640625</v>
      </c>
      <c r="AK34" s="243">
        <v>997.37353515625</v>
      </c>
      <c r="AL34" s="243">
        <v>233.4859313964844</v>
      </c>
      <c r="AM34" s="243">
        <v>16862.064453125</v>
      </c>
      <c r="AN34" s="243">
        <v>9882.4462890625</v>
      </c>
      <c r="AO34" s="243">
        <v>929.97589111328125</v>
      </c>
      <c r="AP34" s="243">
        <v>100539.2109375</v>
      </c>
      <c r="AQ34" s="243">
        <v>4378.599609375</v>
      </c>
      <c r="AR34" s="243">
        <v>854.3958740234375</v>
      </c>
      <c r="AS34" s="243">
        <v>51391.6875</v>
      </c>
      <c r="AT34" s="243">
        <v>3333.9912109375</v>
      </c>
      <c r="AU34" s="243">
        <v>907.6854248046875</v>
      </c>
      <c r="AV34" s="243">
        <v>16921.203125</v>
      </c>
      <c r="AW34" s="243">
        <v>1738.524658203125</v>
      </c>
      <c r="AX34" s="243">
        <v>276.34967041015631</v>
      </c>
      <c r="AY34" s="243">
        <v>52574.56640625</v>
      </c>
      <c r="AZ34" s="243">
        <v>3081.848876953125</v>
      </c>
      <c r="BA34" s="243">
        <v>364.66607666015631</v>
      </c>
      <c r="BB34" s="243">
        <v>93073.28125</v>
      </c>
      <c r="BC34" s="243">
        <v>16010.310546875</v>
      </c>
      <c r="BD34" s="243">
        <v>941.07061767578125</v>
      </c>
      <c r="BE34" s="243">
        <v>311320.125</v>
      </c>
      <c r="BF34" s="243">
        <v>1686.65771484375</v>
      </c>
      <c r="BG34" s="243">
        <v>257.5791015625</v>
      </c>
      <c r="BH34" s="243">
        <v>58484.17578125</v>
      </c>
      <c r="BI34" s="243">
        <v>14090.236328125</v>
      </c>
      <c r="BJ34" s="243">
        <v>2362.6025390625</v>
      </c>
      <c r="BK34" s="243">
        <v>92596.875</v>
      </c>
      <c r="BL34" s="243">
        <v>4077.131103515625</v>
      </c>
      <c r="BM34" s="243">
        <v>1244.540161132813</v>
      </c>
      <c r="BN34" s="243">
        <v>20470.00390625</v>
      </c>
    </row>
    <row r="35" spans="1:66" x14ac:dyDescent="0.35">
      <c r="A35" t="s">
        <v>23</v>
      </c>
      <c r="X35" s="51" t="s">
        <v>237</v>
      </c>
      <c r="Y35" s="945">
        <v>5222.22021484375</v>
      </c>
      <c r="Z35" s="945">
        <v>1733.430419921875</v>
      </c>
      <c r="AA35" s="945">
        <v>31154.22265625</v>
      </c>
      <c r="AB35" s="945">
        <v>3367.87939453125</v>
      </c>
      <c r="AC35" s="945">
        <v>1084.437377929688</v>
      </c>
      <c r="AD35" s="945">
        <v>18824.880859375</v>
      </c>
      <c r="AE35" s="945">
        <v>12504.6806640625</v>
      </c>
      <c r="AF35" s="945">
        <v>1872.862915039063</v>
      </c>
      <c r="AG35" s="945">
        <v>215034.203125</v>
      </c>
      <c r="AH35" s="243">
        <v>3954.13037109375</v>
      </c>
      <c r="AI35" s="243">
        <v>544.2041015625</v>
      </c>
      <c r="AJ35" s="243">
        <v>40098.21484375</v>
      </c>
      <c r="AK35" s="243">
        <v>959.2042236328125</v>
      </c>
      <c r="AL35" s="243">
        <v>228.0756530761719</v>
      </c>
      <c r="AM35" s="243">
        <v>16380.6865234375</v>
      </c>
      <c r="AN35" s="243">
        <v>8458.8984375</v>
      </c>
      <c r="AO35" s="243">
        <v>809.79693603515625</v>
      </c>
      <c r="AP35" s="243">
        <v>86709.0078125</v>
      </c>
      <c r="AQ35" s="243">
        <v>4232.26220703125</v>
      </c>
      <c r="AR35" s="243">
        <v>707.941162109375</v>
      </c>
      <c r="AS35" s="243">
        <v>49210.7265625</v>
      </c>
      <c r="AT35" s="243">
        <v>3127.422119140625</v>
      </c>
      <c r="AU35" s="243">
        <v>870.7513427734375</v>
      </c>
      <c r="AV35" s="243">
        <v>15445.958984375</v>
      </c>
      <c r="AW35" s="243">
        <v>1627.699829101563</v>
      </c>
      <c r="AX35" s="243">
        <v>240.93052673339841</v>
      </c>
      <c r="AY35" s="243">
        <v>44829.5234375</v>
      </c>
      <c r="AZ35" s="243">
        <v>2843.46484375</v>
      </c>
      <c r="BA35" s="243">
        <v>314.99688720703131</v>
      </c>
      <c r="BB35" s="243">
        <v>104484.7578125</v>
      </c>
      <c r="BC35" s="243">
        <v>13652.2412109375</v>
      </c>
      <c r="BD35" s="243">
        <v>824.43548583984375</v>
      </c>
      <c r="BE35" s="243">
        <v>259143.046875</v>
      </c>
      <c r="BF35" s="243">
        <v>1685.57958984375</v>
      </c>
      <c r="BG35" s="243">
        <v>253.50889587402341</v>
      </c>
      <c r="BH35" s="243">
        <v>53378.2734375</v>
      </c>
      <c r="BI35" s="243">
        <v>13291.5537109375</v>
      </c>
      <c r="BJ35" s="243">
        <v>2355.080078125</v>
      </c>
      <c r="BK35" s="243">
        <v>79837.7421875</v>
      </c>
      <c r="BL35" s="243">
        <v>3796.884765625</v>
      </c>
      <c r="BM35" s="243">
        <v>1146.9453125</v>
      </c>
      <c r="BN35" s="243">
        <v>18298.484375</v>
      </c>
    </row>
    <row r="36" spans="1:66" x14ac:dyDescent="0.35">
      <c r="A36" t="s">
        <v>1217</v>
      </c>
      <c r="X36" s="51" t="s">
        <v>1202</v>
      </c>
      <c r="Y36" s="945">
        <v>4496.9921875</v>
      </c>
      <c r="Z36" s="945">
        <v>1535.231079101563</v>
      </c>
      <c r="AA36" s="945">
        <v>26423.947265625</v>
      </c>
      <c r="AB36" s="945">
        <v>2852.163330078125</v>
      </c>
      <c r="AC36" s="945">
        <v>922.48162841796875</v>
      </c>
      <c r="AD36" s="945">
        <v>15213.052734375</v>
      </c>
      <c r="AE36" s="945">
        <v>11153.21484375</v>
      </c>
      <c r="AF36" s="945">
        <v>1912.305786132813</v>
      </c>
      <c r="AG36" s="945">
        <v>204417.03125</v>
      </c>
      <c r="AH36" s="243">
        <v>3931.802001953125</v>
      </c>
      <c r="AI36" s="243">
        <v>535.610595703125</v>
      </c>
      <c r="AJ36" s="243">
        <v>39828.51171875</v>
      </c>
      <c r="AK36" s="243">
        <v>867.4178466796875</v>
      </c>
      <c r="AL36" s="243">
        <v>205.7487487792969</v>
      </c>
      <c r="AM36" s="243">
        <v>14452.57421875</v>
      </c>
      <c r="AN36" s="243">
        <v>7801.8916015625</v>
      </c>
      <c r="AO36" s="243">
        <v>740.20074462890625</v>
      </c>
      <c r="AP36" s="243">
        <v>79474.9453125</v>
      </c>
      <c r="AQ36" s="243">
        <v>3388.719970703125</v>
      </c>
      <c r="AR36" s="243">
        <v>612.72711181640625</v>
      </c>
      <c r="AS36" s="243">
        <v>37282.703125</v>
      </c>
      <c r="AT36" s="243">
        <v>2517.22021484375</v>
      </c>
      <c r="AU36" s="243">
        <v>691.569091796875</v>
      </c>
      <c r="AV36" s="243">
        <v>12909.91796875</v>
      </c>
      <c r="AW36" s="243">
        <v>1559.383178710938</v>
      </c>
      <c r="AX36" s="243">
        <v>246.5945739746094</v>
      </c>
      <c r="AY36" s="243">
        <v>44903.4765625</v>
      </c>
      <c r="AZ36" s="243">
        <v>2876.420166015625</v>
      </c>
      <c r="BA36" s="243">
        <v>310.25021362304688</v>
      </c>
      <c r="BB36" s="243">
        <v>104763.6640625</v>
      </c>
      <c r="BC36" s="243">
        <v>13224.7578125</v>
      </c>
      <c r="BD36" s="243">
        <v>800.119873046875</v>
      </c>
      <c r="BE36" s="243">
        <v>257124.359375</v>
      </c>
      <c r="BF36" s="243">
        <v>1389.990478515625</v>
      </c>
      <c r="BG36" s="243">
        <v>214.63427734375</v>
      </c>
      <c r="BH36" s="243">
        <v>46114.05078125</v>
      </c>
      <c r="BI36" s="243">
        <v>10840.0009765625</v>
      </c>
      <c r="BJ36" s="243">
        <v>1933.33203125</v>
      </c>
      <c r="BK36" s="243">
        <v>69366.2890625</v>
      </c>
      <c r="BL36" s="243">
        <v>3425.211181640625</v>
      </c>
      <c r="BM36" s="243">
        <v>1040.113159179688</v>
      </c>
      <c r="BN36" s="243">
        <v>16777.474609375</v>
      </c>
    </row>
    <row r="37" spans="1:66" x14ac:dyDescent="0.35">
      <c r="A37" t="s">
        <v>1220</v>
      </c>
      <c r="X37" s="51" t="s">
        <v>140</v>
      </c>
      <c r="Y37" s="945">
        <v>4237.861328125</v>
      </c>
      <c r="Z37" s="945">
        <v>1440.157104492188</v>
      </c>
      <c r="AA37" s="945">
        <v>25505.427734375</v>
      </c>
      <c r="AB37" s="945">
        <v>2737.264892578125</v>
      </c>
      <c r="AC37" s="945">
        <v>883.64093017578125</v>
      </c>
      <c r="AD37" s="945">
        <v>14938.9296875</v>
      </c>
      <c r="AE37" s="945">
        <v>10158.9599609375</v>
      </c>
      <c r="AF37" s="945">
        <v>1734.249633789063</v>
      </c>
      <c r="AG37" s="945">
        <v>185346.3125</v>
      </c>
      <c r="AH37" s="243">
        <v>2968.24072265625</v>
      </c>
      <c r="AI37" s="243">
        <v>386.75900268554688</v>
      </c>
      <c r="AJ37" s="243">
        <v>32158.6640625</v>
      </c>
      <c r="AK37" s="243">
        <v>784.19244384765625</v>
      </c>
      <c r="AL37" s="243">
        <v>189.7793273925781</v>
      </c>
      <c r="AM37" s="243">
        <v>13535.6240234375</v>
      </c>
      <c r="AN37" s="243">
        <v>6255.841796875</v>
      </c>
      <c r="AO37" s="243">
        <v>593.11822509765625</v>
      </c>
      <c r="AP37" s="243">
        <v>63170.78125</v>
      </c>
      <c r="AQ37" s="243">
        <v>3716.704345703125</v>
      </c>
      <c r="AR37" s="243">
        <v>699.05462646484375</v>
      </c>
      <c r="AS37" s="243">
        <v>42567.82421875</v>
      </c>
      <c r="AT37" s="243">
        <v>2211.646240234375</v>
      </c>
      <c r="AU37" s="243">
        <v>610.86309814453125</v>
      </c>
      <c r="AV37" s="243">
        <v>10979.5869140625</v>
      </c>
      <c r="AW37" s="243">
        <v>1517.218994140625</v>
      </c>
      <c r="AX37" s="243">
        <v>248.9947204589844</v>
      </c>
      <c r="AY37" s="243">
        <v>44520.61328125</v>
      </c>
      <c r="AZ37" s="243">
        <v>2704.602294921875</v>
      </c>
      <c r="BA37" s="243">
        <v>279.28372192382813</v>
      </c>
      <c r="BB37" s="243">
        <v>95202.4609375</v>
      </c>
      <c r="BC37" s="243">
        <v>10356.0986328125</v>
      </c>
      <c r="BD37" s="243">
        <v>636.49346923828125</v>
      </c>
      <c r="BE37" s="243">
        <v>200718.515625</v>
      </c>
      <c r="BF37" s="243">
        <v>1512.742797851563</v>
      </c>
      <c r="BG37" s="243">
        <v>243.45477294921881</v>
      </c>
      <c r="BH37" s="243">
        <v>50664.203125</v>
      </c>
      <c r="BI37" s="243">
        <v>8560.8505859375</v>
      </c>
      <c r="BJ37" s="243">
        <v>1557.482177734375</v>
      </c>
      <c r="BK37" s="243">
        <v>51084.41015625</v>
      </c>
      <c r="BL37" s="243">
        <v>3096.173828125</v>
      </c>
      <c r="BM37" s="243">
        <v>951.9031982421875</v>
      </c>
      <c r="BN37" s="243">
        <v>15195.208984375</v>
      </c>
    </row>
    <row r="38" spans="1:66" x14ac:dyDescent="0.35">
      <c r="A38" t="s">
        <v>1218</v>
      </c>
      <c r="X38" s="51" t="s">
        <v>1203</v>
      </c>
      <c r="Y38" s="945">
        <v>2662.70654296875</v>
      </c>
      <c r="Z38" s="945">
        <v>910.96527099609375</v>
      </c>
      <c r="AA38" s="945">
        <v>16021.794921875</v>
      </c>
      <c r="AB38" s="945">
        <v>1759.696166992188</v>
      </c>
      <c r="AC38" s="945">
        <v>566.05047607421875</v>
      </c>
      <c r="AD38" s="945">
        <v>9687.9189453125</v>
      </c>
      <c r="AE38" s="945">
        <v>6137.02490234375</v>
      </c>
      <c r="AF38" s="945">
        <v>976.33367919921875</v>
      </c>
      <c r="AG38" s="945">
        <v>112441.9921875</v>
      </c>
      <c r="AH38" s="243">
        <v>1889.187255859375</v>
      </c>
      <c r="AI38" s="243">
        <v>251.5015869140625</v>
      </c>
      <c r="AJ38" s="243">
        <v>20141.66796875</v>
      </c>
      <c r="AK38" s="243">
        <v>547.2772216796875</v>
      </c>
      <c r="AL38" s="243">
        <v>130.31993103027341</v>
      </c>
      <c r="AM38" s="243">
        <v>9156.5166015625</v>
      </c>
      <c r="AN38" s="243">
        <v>4203.8525390625</v>
      </c>
      <c r="AO38" s="243">
        <v>397.12454223632813</v>
      </c>
      <c r="AP38" s="243">
        <v>42602.39453125</v>
      </c>
      <c r="AQ38" s="243">
        <v>2028.21435546875</v>
      </c>
      <c r="AR38" s="243">
        <v>392.38748168945313</v>
      </c>
      <c r="AS38" s="243">
        <v>23473.78515625</v>
      </c>
      <c r="AT38" s="243">
        <v>1539.328735351563</v>
      </c>
      <c r="AU38" s="243">
        <v>438.13223266601563</v>
      </c>
      <c r="AV38" s="243">
        <v>7737.9755859375</v>
      </c>
      <c r="AW38" s="243">
        <v>758.1707763671875</v>
      </c>
      <c r="AX38" s="243">
        <v>118.13185119628911</v>
      </c>
      <c r="AY38" s="243">
        <v>22057.515625</v>
      </c>
      <c r="AZ38" s="243">
        <v>1865.247314453125</v>
      </c>
      <c r="BA38" s="243">
        <v>188.5146484375</v>
      </c>
      <c r="BB38" s="243">
        <v>64808.22265625</v>
      </c>
      <c r="BC38" s="243">
        <v>6781.21923828125</v>
      </c>
      <c r="BD38" s="243">
        <v>409.99337768554688</v>
      </c>
      <c r="BE38" s="243">
        <v>129896.2109375</v>
      </c>
      <c r="BF38" s="243">
        <v>1013.181945800781</v>
      </c>
      <c r="BG38" s="243">
        <v>141.11549377441409</v>
      </c>
      <c r="BH38" s="243">
        <v>34585.37890625</v>
      </c>
      <c r="BI38" s="243">
        <v>6446.1083984375</v>
      </c>
      <c r="BJ38" s="243">
        <v>1158.25146484375</v>
      </c>
      <c r="BK38" s="243">
        <v>37989.0390625</v>
      </c>
      <c r="BL38" s="243">
        <v>1938.201416015625</v>
      </c>
      <c r="BM38" s="243">
        <v>589.7410888671875</v>
      </c>
      <c r="BN38" s="243">
        <v>9638.2734375</v>
      </c>
    </row>
    <row r="39" spans="1:66" x14ac:dyDescent="0.35">
      <c r="A39" t="s">
        <v>1219</v>
      </c>
      <c r="X39" s="51" t="s">
        <v>1205</v>
      </c>
      <c r="Y39" s="945">
        <v>2016.4609375</v>
      </c>
      <c r="Z39" s="945">
        <v>734.646728515625</v>
      </c>
      <c r="AA39" s="945">
        <v>12668.5537109375</v>
      </c>
      <c r="AB39" s="945">
        <v>1355.547485351563</v>
      </c>
      <c r="AC39" s="945">
        <v>444.9049072265625</v>
      </c>
      <c r="AD39" s="945">
        <v>7622.02783203125</v>
      </c>
      <c r="AE39" s="945">
        <v>4700.814453125</v>
      </c>
      <c r="AF39" s="945">
        <v>754.50439453125</v>
      </c>
      <c r="AG39" s="945">
        <v>87599.3046875</v>
      </c>
      <c r="AH39" s="243">
        <v>1488.1494140625</v>
      </c>
      <c r="AI39" s="243">
        <v>207.78662109375</v>
      </c>
      <c r="AJ39" s="243">
        <v>15593.810546875</v>
      </c>
      <c r="AK39" s="243">
        <v>343.969970703125</v>
      </c>
      <c r="AL39" s="243">
        <v>82.472129821777344</v>
      </c>
      <c r="AM39" s="243">
        <v>6101.373046875</v>
      </c>
      <c r="AN39" s="243">
        <v>2661.74951171875</v>
      </c>
      <c r="AO39" s="243">
        <v>252.341064453125</v>
      </c>
      <c r="AP39" s="243">
        <v>27177.349609375</v>
      </c>
      <c r="AQ39" s="243">
        <v>1916.993530273438</v>
      </c>
      <c r="AR39" s="243">
        <v>382.19332885742188</v>
      </c>
      <c r="AS39" s="243">
        <v>24531.34375</v>
      </c>
      <c r="AT39" s="243">
        <v>1103.087036132813</v>
      </c>
      <c r="AU39" s="243">
        <v>324.84304809570313</v>
      </c>
      <c r="AV39" s="243">
        <v>5862.53759765625</v>
      </c>
      <c r="AW39" s="243">
        <v>664.44439697265625</v>
      </c>
      <c r="AX39" s="243">
        <v>112.05515289306641</v>
      </c>
      <c r="AY39" s="243">
        <v>19010.353515625</v>
      </c>
      <c r="AZ39" s="243">
        <v>1581.504516601563</v>
      </c>
      <c r="BA39" s="243">
        <v>157.91058349609381</v>
      </c>
      <c r="BB39" s="243">
        <v>55856.89453125</v>
      </c>
      <c r="BC39" s="243">
        <v>4195.30908203125</v>
      </c>
      <c r="BD39" s="243">
        <v>244.53172302246091</v>
      </c>
      <c r="BE39" s="243">
        <v>81040.1640625</v>
      </c>
      <c r="BF39" s="243">
        <v>828.12115478515625</v>
      </c>
      <c r="BG39" s="243">
        <v>136.051513671875</v>
      </c>
      <c r="BH39" s="243">
        <v>27087.45703125</v>
      </c>
      <c r="BI39" s="243">
        <v>4926.9482421875</v>
      </c>
      <c r="BJ39" s="243">
        <v>910.53399658203125</v>
      </c>
      <c r="BK39" s="243">
        <v>29397.33203125</v>
      </c>
      <c r="BL39" s="243">
        <v>1461.781005859375</v>
      </c>
      <c r="BM39" s="243">
        <v>464.41708374023438</v>
      </c>
      <c r="BN39" s="243">
        <v>7440.83203125</v>
      </c>
    </row>
    <row r="40" spans="1:66" x14ac:dyDescent="0.35">
      <c r="X40" s="51" t="s">
        <v>246</v>
      </c>
      <c r="Y40" s="945">
        <v>1731.118408203125</v>
      </c>
      <c r="Z40" s="945">
        <v>615.51373291015625</v>
      </c>
      <c r="AA40" s="945">
        <v>10719.919921875</v>
      </c>
      <c r="AB40" s="945">
        <v>1080.105346679688</v>
      </c>
      <c r="AC40" s="945">
        <v>338.37814331054688</v>
      </c>
      <c r="AD40" s="945">
        <v>6053.21875</v>
      </c>
      <c r="AE40" s="945">
        <v>4682.111328125</v>
      </c>
      <c r="AF40" s="945">
        <v>842.0706787109375</v>
      </c>
      <c r="AG40" s="945">
        <v>84165.3828125</v>
      </c>
      <c r="AH40" s="243">
        <v>1345.015991210938</v>
      </c>
      <c r="AI40" s="243">
        <v>181.53419494628909</v>
      </c>
      <c r="AJ40" s="243">
        <v>13967.1328125</v>
      </c>
      <c r="AK40" s="243">
        <v>322.48739624023438</v>
      </c>
      <c r="AL40" s="243">
        <v>76.936447143554688</v>
      </c>
      <c r="AM40" s="243">
        <v>5411.91796875</v>
      </c>
      <c r="AN40" s="243">
        <v>2659.866455078125</v>
      </c>
      <c r="AO40" s="243">
        <v>249.48954772949219</v>
      </c>
      <c r="AP40" s="243">
        <v>27148.599609375</v>
      </c>
      <c r="AQ40" s="243">
        <v>1505.011474609375</v>
      </c>
      <c r="AR40" s="243">
        <v>283.84658813476563</v>
      </c>
      <c r="AS40" s="243">
        <v>18460.01171875</v>
      </c>
      <c r="AT40" s="243">
        <v>956.5008544921875</v>
      </c>
      <c r="AU40" s="243">
        <v>279.23822021484381</v>
      </c>
      <c r="AV40" s="243">
        <v>5031.24609375</v>
      </c>
      <c r="AW40" s="243">
        <v>725.12359619140625</v>
      </c>
      <c r="AX40" s="243">
        <v>109.2799758911133</v>
      </c>
      <c r="AY40" s="243">
        <v>20965.4453125</v>
      </c>
      <c r="AZ40" s="243">
        <v>818.390625</v>
      </c>
      <c r="BA40" s="243">
        <v>90.337608337402344</v>
      </c>
      <c r="BB40" s="243">
        <v>26023.443359375</v>
      </c>
      <c r="BC40" s="243">
        <v>4829.41357421875</v>
      </c>
      <c r="BD40" s="243">
        <v>286.47833251953131</v>
      </c>
      <c r="BE40" s="243">
        <v>93243.015625</v>
      </c>
      <c r="BF40" s="243">
        <v>627.01947021484375</v>
      </c>
      <c r="BG40" s="243">
        <v>99.196647644042969</v>
      </c>
      <c r="BH40" s="243">
        <v>19873.181640625</v>
      </c>
      <c r="BI40" s="243">
        <v>4018.39697265625</v>
      </c>
      <c r="BJ40" s="243">
        <v>713.78106689453125</v>
      </c>
      <c r="BK40" s="243">
        <v>25473.3828125</v>
      </c>
      <c r="BL40" s="243">
        <v>1281.357788085938</v>
      </c>
      <c r="BM40" s="243">
        <v>410.454833984375</v>
      </c>
      <c r="BN40" s="243">
        <v>6415.27197265625</v>
      </c>
    </row>
    <row r="41" spans="1:66" x14ac:dyDescent="0.35">
      <c r="X41" s="51" t="s">
        <v>244</v>
      </c>
      <c r="Y41" s="945">
        <v>1667.323364257813</v>
      </c>
      <c r="Z41" s="945">
        <v>597.9398193359375</v>
      </c>
      <c r="AA41" s="945">
        <v>10205.625</v>
      </c>
      <c r="AB41" s="945">
        <v>1102.244018554688</v>
      </c>
      <c r="AC41" s="945">
        <v>358.77688598632813</v>
      </c>
      <c r="AD41" s="945">
        <v>5949.51611328125</v>
      </c>
      <c r="AE41" s="945">
        <v>4000.75244140625</v>
      </c>
      <c r="AF41" s="945">
        <v>636.5731201171875</v>
      </c>
      <c r="AG41" s="945">
        <v>75817.7109375</v>
      </c>
      <c r="AH41" s="243">
        <v>1387.990478515625</v>
      </c>
      <c r="AI41" s="243">
        <v>185.71150207519531</v>
      </c>
      <c r="AJ41" s="243">
        <v>15061.7783203125</v>
      </c>
      <c r="AK41" s="243">
        <v>345.802001953125</v>
      </c>
      <c r="AL41" s="243">
        <v>82.678443908691406</v>
      </c>
      <c r="AM41" s="243">
        <v>5838.2548828125</v>
      </c>
      <c r="AN41" s="243">
        <v>2187.4423828125</v>
      </c>
      <c r="AO41" s="243">
        <v>198.82575988769531</v>
      </c>
      <c r="AP41" s="243">
        <v>23025.64453125</v>
      </c>
      <c r="AQ41" s="243">
        <v>1268.583129882813</v>
      </c>
      <c r="AR41" s="243">
        <v>267.38827514648438</v>
      </c>
      <c r="AS41" s="243">
        <v>15512.224609375</v>
      </c>
      <c r="AT41" s="243">
        <v>984.5081787109375</v>
      </c>
      <c r="AU41" s="243">
        <v>279.7286376953125</v>
      </c>
      <c r="AV41" s="243">
        <v>5056.44921875</v>
      </c>
      <c r="AW41" s="243">
        <v>499.8031005859375</v>
      </c>
      <c r="AX41" s="243">
        <v>84.230728149414063</v>
      </c>
      <c r="AY41" s="243">
        <v>15273.1640625</v>
      </c>
      <c r="AZ41" s="243">
        <v>1021.202880859375</v>
      </c>
      <c r="BA41" s="243">
        <v>108.13397216796881</v>
      </c>
      <c r="BB41" s="243">
        <v>31834.216796875</v>
      </c>
      <c r="BC41" s="243">
        <v>4586.8837890625</v>
      </c>
      <c r="BD41" s="243">
        <v>266.86163330078131</v>
      </c>
      <c r="BE41" s="243">
        <v>89613.609375</v>
      </c>
      <c r="BF41" s="243">
        <v>615.97186279296875</v>
      </c>
      <c r="BG41" s="243">
        <v>96.014183044433594</v>
      </c>
      <c r="BH41" s="243">
        <v>19895.783203125</v>
      </c>
      <c r="BI41" s="243">
        <v>4179.64794921875</v>
      </c>
      <c r="BJ41" s="243">
        <v>781.7706298828125</v>
      </c>
      <c r="BK41" s="243">
        <v>25857.646484375</v>
      </c>
      <c r="BL41" s="243">
        <v>1231.760009765625</v>
      </c>
      <c r="BM41" s="243">
        <v>385.88754272460938</v>
      </c>
      <c r="BN41" s="243">
        <v>6271.9775390625</v>
      </c>
    </row>
    <row r="42" spans="1:66" x14ac:dyDescent="0.35">
      <c r="X42" s="51" t="s">
        <v>248</v>
      </c>
      <c r="Y42" s="945">
        <v>1353.022094726563</v>
      </c>
      <c r="Z42" s="945">
        <v>495.68795776367188</v>
      </c>
      <c r="AA42" s="945">
        <v>8262.16796875</v>
      </c>
      <c r="AB42" s="945">
        <v>819.3258056640625</v>
      </c>
      <c r="AC42" s="945">
        <v>257.14138793945313</v>
      </c>
      <c r="AD42" s="945">
        <v>4445.5439453125</v>
      </c>
      <c r="AE42" s="945">
        <v>3937.181884765625</v>
      </c>
      <c r="AF42" s="945">
        <v>754.96246337890625</v>
      </c>
      <c r="AG42" s="945">
        <v>74966.9296875</v>
      </c>
      <c r="AH42" s="243">
        <v>1026.7197265625</v>
      </c>
      <c r="AI42" s="243">
        <v>142.67475891113281</v>
      </c>
      <c r="AJ42" s="243">
        <v>10686.76953125</v>
      </c>
      <c r="AK42" s="243">
        <v>256.92727661132813</v>
      </c>
      <c r="AL42" s="243">
        <v>60.776695251464837</v>
      </c>
      <c r="AM42" s="243">
        <v>4619.8603515625</v>
      </c>
      <c r="AN42" s="243">
        <v>2118.69189453125</v>
      </c>
      <c r="AO42" s="243">
        <v>196.8679504394531</v>
      </c>
      <c r="AP42" s="243">
        <v>21983.177734375</v>
      </c>
      <c r="AQ42" s="243">
        <v>1128.00927734375</v>
      </c>
      <c r="AR42" s="243">
        <v>240.80583190917969</v>
      </c>
      <c r="AS42" s="243">
        <v>13150.1826171875</v>
      </c>
      <c r="AT42" s="243">
        <v>764.8072509765625</v>
      </c>
      <c r="AU42" s="243">
        <v>227.04461669921881</v>
      </c>
      <c r="AV42" s="243">
        <v>3954.51025390625</v>
      </c>
      <c r="AW42" s="243">
        <v>606.70574951171875</v>
      </c>
      <c r="AX42" s="243">
        <v>108.8589401245117</v>
      </c>
      <c r="AY42" s="243">
        <v>17171.91015625</v>
      </c>
      <c r="AZ42" s="243">
        <v>585.84136962890625</v>
      </c>
      <c r="BA42" s="243">
        <v>63.207977294921882</v>
      </c>
      <c r="BB42" s="243">
        <v>21658.9453125</v>
      </c>
      <c r="BC42" s="243">
        <v>3723.039794921875</v>
      </c>
      <c r="BD42" s="243">
        <v>227.06428527832031</v>
      </c>
      <c r="BE42" s="243">
        <v>72011.890625</v>
      </c>
      <c r="BF42" s="243">
        <v>575.36614990234375</v>
      </c>
      <c r="BG42" s="243">
        <v>91.84991455078125</v>
      </c>
      <c r="BH42" s="243">
        <v>18055.52734375</v>
      </c>
      <c r="BI42" s="243">
        <v>2782.304443359375</v>
      </c>
      <c r="BJ42" s="243">
        <v>465.85446166992188</v>
      </c>
      <c r="BK42" s="243">
        <v>16443.466796875</v>
      </c>
      <c r="BL42" s="243">
        <v>978.62542724609375</v>
      </c>
      <c r="BM42" s="243">
        <v>318.5804443359375</v>
      </c>
      <c r="BN42" s="243">
        <v>4922.69580078125</v>
      </c>
    </row>
    <row r="43" spans="1:66" x14ac:dyDescent="0.35">
      <c r="X43" s="51" t="s">
        <v>1204</v>
      </c>
      <c r="Y43" s="945">
        <v>1237.518432617188</v>
      </c>
      <c r="Z43" s="945">
        <v>413.14056396484381</v>
      </c>
      <c r="AA43" s="945">
        <v>7614.2197265625</v>
      </c>
      <c r="AB43" s="945">
        <v>860.66094970703125</v>
      </c>
      <c r="AC43" s="945">
        <v>277.22927856445313</v>
      </c>
      <c r="AD43" s="945">
        <v>4851.09130859375</v>
      </c>
      <c r="AE43" s="945">
        <v>2499.21826171875</v>
      </c>
      <c r="AF43" s="945">
        <v>414.48843383789063</v>
      </c>
      <c r="AG43" s="945">
        <v>47222.9375</v>
      </c>
      <c r="AH43" s="243">
        <v>844.62530517578125</v>
      </c>
      <c r="AI43" s="243">
        <v>116.087890625</v>
      </c>
      <c r="AJ43" s="243">
        <v>8854.4599609375</v>
      </c>
      <c r="AK43" s="243">
        <v>243.6542663574219</v>
      </c>
      <c r="AL43" s="243">
        <v>55.323680877685547</v>
      </c>
      <c r="AM43" s="243">
        <v>4039.16015625</v>
      </c>
      <c r="AN43" s="243">
        <v>2001.863403320313</v>
      </c>
      <c r="AO43" s="243">
        <v>188.7422180175781</v>
      </c>
      <c r="AP43" s="243">
        <v>20329.904296875</v>
      </c>
      <c r="AQ43" s="243">
        <v>1044.25537109375</v>
      </c>
      <c r="AR43" s="243">
        <v>198.40003967285159</v>
      </c>
      <c r="AS43" s="243">
        <v>12277.30078125</v>
      </c>
      <c r="AT43" s="243">
        <v>670.9102783203125</v>
      </c>
      <c r="AU43" s="243">
        <v>183.55592346191409</v>
      </c>
      <c r="AV43" s="243">
        <v>3379.551513671875</v>
      </c>
      <c r="AW43" s="243">
        <v>411.9853515625</v>
      </c>
      <c r="AX43" s="243">
        <v>61.470432281494141</v>
      </c>
      <c r="AY43" s="243">
        <v>12436.859375</v>
      </c>
      <c r="AZ43" s="243">
        <v>926.0045166015625</v>
      </c>
      <c r="BA43" s="243">
        <v>108.50742340087891</v>
      </c>
      <c r="BB43" s="243">
        <v>30193.03515625</v>
      </c>
      <c r="BC43" s="243">
        <v>3047.37890625</v>
      </c>
      <c r="BD43" s="243">
        <v>185.52604675292969</v>
      </c>
      <c r="BE43" s="243">
        <v>58610.43359375</v>
      </c>
      <c r="BF43" s="243">
        <v>441.8555908203125</v>
      </c>
      <c r="BG43" s="243">
        <v>71.494880676269531</v>
      </c>
      <c r="BH43" s="243">
        <v>14222.46484375</v>
      </c>
      <c r="BI43" s="243">
        <v>2904.583740234375</v>
      </c>
      <c r="BJ43" s="243">
        <v>566.92578125</v>
      </c>
      <c r="BK43" s="243">
        <v>17611.2734375</v>
      </c>
      <c r="BL43" s="243">
        <v>897.664794921875</v>
      </c>
      <c r="BM43" s="243">
        <v>266.036376953125</v>
      </c>
      <c r="BN43" s="243">
        <v>4534.9619140625</v>
      </c>
    </row>
  </sheetData>
  <mergeCells count="5">
    <mergeCell ref="F3:G3"/>
    <mergeCell ref="J3:K3"/>
    <mergeCell ref="E2:G2"/>
    <mergeCell ref="I2:K2"/>
    <mergeCell ref="O1:S1"/>
  </mergeCells>
  <conditionalFormatting sqref="A23:A31">
    <cfRule type="expression" dxfId="21" priority="1">
      <formula>COUNTIFS($A$4:$A$17,$A23)</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Drop Down 1">
              <controlPr defaultSize="0" autoLine="0" autoPict="0">
                <anchor moveWithCells="1">
                  <from>
                    <xdr:col>2</xdr:col>
                    <xdr:colOff>114300</xdr:colOff>
                    <xdr:row>0</xdr:row>
                    <xdr:rowOff>31750</xdr:rowOff>
                  </from>
                  <to>
                    <xdr:col>2</xdr:col>
                    <xdr:colOff>2571750</xdr:colOff>
                    <xdr:row>1</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9F2A8-E7C0-404C-A61A-22BA910D12D3}">
  <sheetPr>
    <tabColor rgb="FFC00000"/>
  </sheetPr>
  <dimension ref="A1:T32"/>
  <sheetViews>
    <sheetView workbookViewId="0">
      <selection activeCell="R4" sqref="R4:S17"/>
    </sheetView>
  </sheetViews>
  <sheetFormatPr defaultRowHeight="14.5" x14ac:dyDescent="0.35"/>
  <cols>
    <col min="1" max="1" width="56.1796875" customWidth="1"/>
    <col min="2" max="2" width="15.453125" bestFit="1" customWidth="1"/>
    <col min="3" max="3" width="40.81640625" bestFit="1" customWidth="1"/>
    <col min="4" max="4" width="2.54296875" customWidth="1"/>
    <col min="8" max="8" width="2.54296875" customWidth="1"/>
    <col min="9" max="10" width="9.26953125" bestFit="1" customWidth="1"/>
    <col min="11" max="11" width="9.81640625" bestFit="1" customWidth="1"/>
    <col min="12" max="12" width="2.54296875" customWidth="1"/>
    <col min="13" max="13" width="19.54296875" bestFit="1" customWidth="1"/>
    <col min="14" max="14" width="2.26953125" customWidth="1"/>
    <col min="15" max="16" width="12.26953125" customWidth="1"/>
    <col min="17" max="17" width="2.7265625" customWidth="1"/>
    <col min="18" max="19" width="10.81640625" customWidth="1"/>
  </cols>
  <sheetData>
    <row r="1" spans="1:20" x14ac:dyDescent="0.35">
      <c r="A1" t="s">
        <v>1182</v>
      </c>
      <c r="E1" t="s">
        <v>216</v>
      </c>
      <c r="O1" s="988" t="s">
        <v>217</v>
      </c>
      <c r="P1" s="989"/>
      <c r="Q1" s="989"/>
      <c r="R1" s="989"/>
      <c r="S1" s="989"/>
    </row>
    <row r="2" spans="1:20" ht="15" customHeight="1" x14ac:dyDescent="0.35">
      <c r="E2" s="987" t="s">
        <v>21</v>
      </c>
      <c r="F2" s="987"/>
      <c r="G2" s="987"/>
      <c r="I2" s="987" t="s">
        <v>22</v>
      </c>
      <c r="J2" s="987"/>
      <c r="K2" s="987"/>
      <c r="O2" s="846" t="s">
        <v>21</v>
      </c>
      <c r="P2" s="846"/>
      <c r="Q2" s="846"/>
      <c r="R2" t="s">
        <v>22</v>
      </c>
    </row>
    <row r="3" spans="1:20" x14ac:dyDescent="0.35">
      <c r="E3" s="848" t="s">
        <v>218</v>
      </c>
      <c r="F3" s="986" t="s">
        <v>219</v>
      </c>
      <c r="G3" s="986"/>
      <c r="I3" s="848" t="s">
        <v>218</v>
      </c>
      <c r="J3" s="986" t="s">
        <v>219</v>
      </c>
      <c r="K3" s="986"/>
      <c r="O3" s="847" t="s">
        <v>220</v>
      </c>
      <c r="P3" s="847" t="s">
        <v>26</v>
      </c>
      <c r="Q3" s="847"/>
      <c r="R3" s="847" t="s">
        <v>220</v>
      </c>
      <c r="S3" s="847" t="s">
        <v>26</v>
      </c>
    </row>
    <row r="4" spans="1:20" x14ac:dyDescent="0.35">
      <c r="A4" s="850" t="s">
        <v>146</v>
      </c>
      <c r="B4" t="s">
        <v>221</v>
      </c>
      <c r="C4" t="s">
        <v>222</v>
      </c>
      <c r="E4" s="849">
        <v>235.63112908917199</v>
      </c>
      <c r="F4" s="807">
        <v>197.94358825683591</v>
      </c>
      <c r="G4" s="807">
        <v>327.51126098632813</v>
      </c>
      <c r="I4" s="946">
        <v>20253.72080357662</v>
      </c>
      <c r="J4" s="947">
        <v>14676.269511222839</v>
      </c>
      <c r="K4" s="947">
        <v>71858.289722442642</v>
      </c>
      <c r="M4" t="s">
        <v>223</v>
      </c>
      <c r="O4" s="400">
        <f>('WTP core_DCE'!$E56-'WTP core_DCE'!$G56)*E4*HHProps_SSW</f>
        <v>1588851.8672809461</v>
      </c>
      <c r="P4" s="400">
        <f>('WTP core_DCE'!$U56-'WTP core_DCE'!$W56)*E4*HHProps_CAM</f>
        <v>400225.36353618588</v>
      </c>
      <c r="Q4" s="400"/>
      <c r="R4" s="400">
        <f>('WTP core_DCE'!$E58-'WTP core_DCE'!$G58)*I4*NHHProps_SSW</f>
        <v>7592107.2432206962</v>
      </c>
      <c r="S4" s="400">
        <f>('WTP core_DCE'!$U58-'WTP core_DCE'!$W58)*I4*NHHProps_CAM</f>
        <v>2175249.614304129</v>
      </c>
      <c r="T4" t="s">
        <v>224</v>
      </c>
    </row>
    <row r="5" spans="1:20" x14ac:dyDescent="0.35">
      <c r="B5" t="s">
        <v>225</v>
      </c>
      <c r="C5" t="s">
        <v>226</v>
      </c>
      <c r="E5" s="849">
        <v>203.82755154220089</v>
      </c>
      <c r="F5" s="807">
        <v>166.94694519042969</v>
      </c>
      <c r="G5" s="807">
        <v>276.78872680664063</v>
      </c>
      <c r="I5" s="946">
        <v>22971.918088774539</v>
      </c>
      <c r="J5" s="947">
        <v>16499.18040847778</v>
      </c>
      <c r="K5" s="947">
        <v>80514.911041259766</v>
      </c>
      <c r="M5" t="s">
        <v>223</v>
      </c>
      <c r="O5" s="400">
        <f t="shared" ref="O5:O14" si="0">E5</f>
        <v>203.82755154220089</v>
      </c>
      <c r="P5" s="400">
        <f t="shared" ref="P5:P14" si="1">E5</f>
        <v>203.82755154220089</v>
      </c>
      <c r="Q5" s="400"/>
      <c r="R5" s="400">
        <f>I5</f>
        <v>22971.918088774539</v>
      </c>
      <c r="S5" s="400">
        <f>I5</f>
        <v>22971.918088774539</v>
      </c>
    </row>
    <row r="6" spans="1:20" x14ac:dyDescent="0.35">
      <c r="A6" s="123" t="s">
        <v>125</v>
      </c>
      <c r="B6" t="s">
        <v>227</v>
      </c>
      <c r="C6" t="s">
        <v>228</v>
      </c>
      <c r="E6" s="807">
        <v>183.51989155505379</v>
      </c>
      <c r="F6" s="807">
        <v>154.0559387207031</v>
      </c>
      <c r="G6" s="807">
        <v>253.2278137207031</v>
      </c>
      <c r="I6" s="946">
        <v>12294.57586229472</v>
      </c>
      <c r="J6" s="947">
        <v>8738.7238655090332</v>
      </c>
      <c r="K6" s="947">
        <v>43433.686065673843</v>
      </c>
      <c r="M6" t="s">
        <v>223</v>
      </c>
      <c r="O6" s="400">
        <f t="shared" si="0"/>
        <v>183.51989155505379</v>
      </c>
      <c r="P6" s="400">
        <f t="shared" si="1"/>
        <v>183.51989155505379</v>
      </c>
      <c r="Q6" s="400"/>
      <c r="R6" s="400">
        <f t="shared" ref="R6:R16" si="2">I6</f>
        <v>12294.57586229472</v>
      </c>
      <c r="S6" s="400">
        <f t="shared" ref="S6:S16" si="3">I6</f>
        <v>12294.57586229472</v>
      </c>
    </row>
    <row r="7" spans="1:20" x14ac:dyDescent="0.35">
      <c r="A7" s="123"/>
      <c r="B7" t="s">
        <v>229</v>
      </c>
      <c r="C7" t="s">
        <v>230</v>
      </c>
      <c r="E7" s="807">
        <v>147.94307002888041</v>
      </c>
      <c r="F7" s="807">
        <v>112.1359786987305</v>
      </c>
      <c r="G7" s="807">
        <v>181.6634521484375</v>
      </c>
      <c r="I7" s="946">
        <v>9925.5510030288406</v>
      </c>
      <c r="J7" s="947">
        <v>6322.1555271148682</v>
      </c>
      <c r="K7" s="947">
        <v>29851.757823944099</v>
      </c>
      <c r="M7" t="s">
        <v>223</v>
      </c>
      <c r="O7" s="400">
        <f t="shared" si="0"/>
        <v>147.94307002888041</v>
      </c>
      <c r="P7" s="400">
        <f t="shared" si="1"/>
        <v>147.94307002888041</v>
      </c>
      <c r="Q7" s="400"/>
      <c r="R7" s="400">
        <f t="shared" si="2"/>
        <v>9925.5510030288406</v>
      </c>
      <c r="S7" s="400">
        <f t="shared" si="3"/>
        <v>9925.5510030288406</v>
      </c>
    </row>
    <row r="8" spans="1:20" x14ac:dyDescent="0.35">
      <c r="A8" s="123" t="s">
        <v>137</v>
      </c>
      <c r="B8" t="s">
        <v>231</v>
      </c>
      <c r="C8" t="s">
        <v>232</v>
      </c>
      <c r="E8" s="849">
        <v>120.6327923046142</v>
      </c>
      <c r="F8" s="807">
        <v>101.5220489501953</v>
      </c>
      <c r="G8" s="807">
        <v>167.40605163574219</v>
      </c>
      <c r="I8" s="946">
        <v>16216.57334618304</v>
      </c>
      <c r="J8" s="947">
        <v>11541.517539024349</v>
      </c>
      <c r="K8" s="947">
        <v>56580.59725570678</v>
      </c>
      <c r="M8" t="s">
        <v>223</v>
      </c>
      <c r="O8" s="400">
        <f t="shared" si="0"/>
        <v>120.6327923046142</v>
      </c>
      <c r="P8" s="400">
        <f t="shared" si="1"/>
        <v>120.6327923046142</v>
      </c>
      <c r="Q8" s="400"/>
      <c r="R8" s="400">
        <f t="shared" si="2"/>
        <v>16216.57334618304</v>
      </c>
      <c r="S8" s="400">
        <f t="shared" si="3"/>
        <v>16216.57334618304</v>
      </c>
    </row>
    <row r="9" spans="1:20" x14ac:dyDescent="0.35">
      <c r="A9" s="123" t="s">
        <v>131</v>
      </c>
      <c r="B9" t="s">
        <v>233</v>
      </c>
      <c r="C9" t="s">
        <v>234</v>
      </c>
      <c r="E9" s="849">
        <v>80.71702590380886</v>
      </c>
      <c r="F9" s="807">
        <v>67.321495056152344</v>
      </c>
      <c r="G9" s="807">
        <v>111.3884658813477</v>
      </c>
      <c r="I9" s="946">
        <v>4813.2581104638666</v>
      </c>
      <c r="J9" s="947">
        <v>3449.7728054523459</v>
      </c>
      <c r="K9" s="947">
        <v>17020.980680465698</v>
      </c>
      <c r="M9" t="s">
        <v>223</v>
      </c>
      <c r="O9" s="400">
        <f t="shared" si="0"/>
        <v>80.71702590380886</v>
      </c>
      <c r="P9" s="400">
        <f t="shared" si="1"/>
        <v>80.71702590380886</v>
      </c>
      <c r="Q9" s="400"/>
      <c r="R9" s="400">
        <f t="shared" si="2"/>
        <v>4813.2581104638666</v>
      </c>
      <c r="S9" s="400">
        <f t="shared" si="3"/>
        <v>4813.2581104638666</v>
      </c>
    </row>
    <row r="10" spans="1:20" x14ac:dyDescent="0.35">
      <c r="A10" s="123" t="s">
        <v>129</v>
      </c>
      <c r="B10" t="s">
        <v>235</v>
      </c>
      <c r="C10" t="s">
        <v>236</v>
      </c>
      <c r="E10" s="849">
        <v>78.467750085454</v>
      </c>
      <c r="F10" s="807">
        <v>65.148338317871094</v>
      </c>
      <c r="G10" s="807">
        <v>107.4749221801758</v>
      </c>
      <c r="I10" s="946">
        <v>4857.280586828474</v>
      </c>
      <c r="J10" s="947">
        <v>3462.943876504899</v>
      </c>
      <c r="K10" s="947">
        <v>16876.091268539429</v>
      </c>
      <c r="M10" t="s">
        <v>223</v>
      </c>
      <c r="O10" s="400">
        <f t="shared" si="0"/>
        <v>78.467750085454</v>
      </c>
      <c r="P10" s="400">
        <f t="shared" si="1"/>
        <v>78.467750085454</v>
      </c>
      <c r="Q10" s="400"/>
      <c r="R10" s="400">
        <f t="shared" si="2"/>
        <v>4857.280586828474</v>
      </c>
      <c r="S10" s="400">
        <f t="shared" si="3"/>
        <v>4857.280586828474</v>
      </c>
    </row>
    <row r="11" spans="1:20" x14ac:dyDescent="0.35">
      <c r="A11" s="123"/>
      <c r="B11" t="s">
        <v>237</v>
      </c>
      <c r="C11" t="s">
        <v>238</v>
      </c>
      <c r="E11" s="849">
        <v>70.755976678037356</v>
      </c>
      <c r="F11" s="807">
        <v>58.443679809570313</v>
      </c>
      <c r="G11" s="807">
        <v>96.968307495117188</v>
      </c>
      <c r="I11" s="946">
        <v>5379.4949890192238</v>
      </c>
      <c r="J11" s="947">
        <v>3832.4960832595821</v>
      </c>
      <c r="K11" s="947">
        <v>18953.621435165409</v>
      </c>
      <c r="M11" t="s">
        <v>223</v>
      </c>
      <c r="O11" s="400">
        <f t="shared" si="0"/>
        <v>70.755976678037356</v>
      </c>
      <c r="P11" s="400">
        <f t="shared" si="1"/>
        <v>70.755976678037356</v>
      </c>
      <c r="Q11" s="400"/>
      <c r="R11" s="400">
        <f t="shared" si="2"/>
        <v>5379.4949890192238</v>
      </c>
      <c r="S11" s="400">
        <f t="shared" si="3"/>
        <v>5379.4949890192238</v>
      </c>
    </row>
    <row r="12" spans="1:20" x14ac:dyDescent="0.35">
      <c r="A12" s="123"/>
      <c r="B12" t="s">
        <v>239</v>
      </c>
      <c r="C12" t="s">
        <v>240</v>
      </c>
      <c r="E12" s="849">
        <v>70.537241024095977</v>
      </c>
      <c r="F12" s="807">
        <v>58.238880157470703</v>
      </c>
      <c r="G12" s="807">
        <v>96.216377258300781</v>
      </c>
      <c r="I12" s="946">
        <v>4392.5242899462864</v>
      </c>
      <c r="J12" s="947">
        <v>3132.5443489551549</v>
      </c>
      <c r="K12" s="947">
        <v>15447.591979980471</v>
      </c>
      <c r="M12" t="s">
        <v>223</v>
      </c>
      <c r="O12" s="400">
        <f t="shared" si="0"/>
        <v>70.537241024095977</v>
      </c>
      <c r="P12" s="400">
        <f t="shared" si="1"/>
        <v>70.537241024095977</v>
      </c>
      <c r="Q12" s="400"/>
      <c r="R12" s="400">
        <f t="shared" si="2"/>
        <v>4392.5242899462864</v>
      </c>
      <c r="S12" s="400">
        <f t="shared" si="3"/>
        <v>4392.5242899462864</v>
      </c>
    </row>
    <row r="13" spans="1:20" x14ac:dyDescent="0.35">
      <c r="A13" s="123"/>
      <c r="B13" t="s">
        <v>241</v>
      </c>
      <c r="C13" t="s">
        <v>242</v>
      </c>
      <c r="E13" s="849">
        <v>60.202891635586631</v>
      </c>
      <c r="F13" s="807">
        <v>54.644432067871087</v>
      </c>
      <c r="G13" s="807">
        <v>88.521476745605469</v>
      </c>
      <c r="I13" s="946">
        <v>8341.8710842011224</v>
      </c>
      <c r="J13" s="947">
        <v>6707.3551254272461</v>
      </c>
      <c r="K13" s="947">
        <v>31646.293636322029</v>
      </c>
      <c r="M13" t="s">
        <v>223</v>
      </c>
      <c r="O13" s="400">
        <f t="shared" si="0"/>
        <v>60.202891635586631</v>
      </c>
      <c r="P13" s="400">
        <f t="shared" si="1"/>
        <v>60.202891635586631</v>
      </c>
      <c r="Q13" s="400"/>
      <c r="R13" s="400">
        <f t="shared" si="2"/>
        <v>8341.8710842011224</v>
      </c>
      <c r="S13" s="400">
        <f t="shared" si="3"/>
        <v>8341.8710842011224</v>
      </c>
    </row>
    <row r="14" spans="1:20" x14ac:dyDescent="0.35">
      <c r="A14" s="123" t="s">
        <v>139</v>
      </c>
      <c r="B14" t="s">
        <v>140</v>
      </c>
      <c r="C14" t="s">
        <v>243</v>
      </c>
      <c r="E14" s="849">
        <v>61.701414172069882</v>
      </c>
      <c r="F14" s="807">
        <v>51.132064819335938</v>
      </c>
      <c r="G14" s="807">
        <v>84.739990234375</v>
      </c>
      <c r="I14" s="946">
        <v>4612.1985978580115</v>
      </c>
      <c r="J14" s="947">
        <v>3299.690124034882</v>
      </c>
      <c r="K14" s="947">
        <v>16221.17848205566</v>
      </c>
      <c r="M14" t="s">
        <v>223</v>
      </c>
      <c r="O14" s="400">
        <f t="shared" si="0"/>
        <v>61.701414172069882</v>
      </c>
      <c r="P14" s="400">
        <f t="shared" si="1"/>
        <v>61.701414172069882</v>
      </c>
      <c r="Q14" s="400"/>
      <c r="R14" s="400">
        <f t="shared" si="2"/>
        <v>4612.1985978580115</v>
      </c>
      <c r="S14" s="400">
        <f t="shared" si="3"/>
        <v>4612.1985978580115</v>
      </c>
    </row>
    <row r="15" spans="1:20" x14ac:dyDescent="0.35">
      <c r="A15" s="123"/>
      <c r="B15" t="s">
        <v>244</v>
      </c>
      <c r="C15" t="s">
        <v>245</v>
      </c>
      <c r="E15" s="849">
        <v>54.259142973518067</v>
      </c>
      <c r="F15" s="807">
        <v>44.716300964355469</v>
      </c>
      <c r="G15" s="807">
        <v>73.758628845214844</v>
      </c>
      <c r="I15" s="946">
        <v>1884.981168768049</v>
      </c>
      <c r="J15" s="947">
        <v>1366.4920814037321</v>
      </c>
      <c r="K15" s="947">
        <v>6746.2361097335806</v>
      </c>
      <c r="M15" t="s">
        <v>223</v>
      </c>
      <c r="O15" s="400">
        <f>E15</f>
        <v>54.259142973518067</v>
      </c>
      <c r="P15" s="400">
        <f>E15</f>
        <v>54.259142973518067</v>
      </c>
      <c r="Q15" s="400"/>
      <c r="R15" s="400">
        <f t="shared" si="2"/>
        <v>1884.981168768049</v>
      </c>
      <c r="S15" s="400">
        <f t="shared" si="3"/>
        <v>1884.981168768049</v>
      </c>
    </row>
    <row r="16" spans="1:20" x14ac:dyDescent="0.35">
      <c r="A16" s="123"/>
      <c r="B16" t="s">
        <v>246</v>
      </c>
      <c r="C16" t="s">
        <v>247</v>
      </c>
      <c r="E16" s="849">
        <v>42.606844323569547</v>
      </c>
      <c r="F16" s="807">
        <v>35.775360107421882</v>
      </c>
      <c r="G16" s="807">
        <v>59.272331237792969</v>
      </c>
      <c r="I16" s="946">
        <v>1681.962967668178</v>
      </c>
      <c r="J16" s="947">
        <v>1187.1771272420881</v>
      </c>
      <c r="K16" s="947">
        <v>5826.3175148963919</v>
      </c>
      <c r="M16" t="s">
        <v>223</v>
      </c>
      <c r="O16" s="400">
        <f>E16</f>
        <v>42.606844323569547</v>
      </c>
      <c r="P16" s="400">
        <f>E16</f>
        <v>42.606844323569547</v>
      </c>
      <c r="Q16" s="400"/>
      <c r="R16" s="400">
        <f t="shared" si="2"/>
        <v>1681.962967668178</v>
      </c>
      <c r="S16" s="400">
        <f t="shared" si="3"/>
        <v>1681.962967668178</v>
      </c>
    </row>
    <row r="17" spans="1:20" x14ac:dyDescent="0.35">
      <c r="A17" s="850" t="s">
        <v>143</v>
      </c>
      <c r="B17" t="s">
        <v>248</v>
      </c>
      <c r="C17" t="s">
        <v>249</v>
      </c>
      <c r="E17" s="849">
        <v>39.512094473062348</v>
      </c>
      <c r="F17" s="807">
        <v>32.679611206054688</v>
      </c>
      <c r="G17" s="807">
        <v>53.931205749511719</v>
      </c>
      <c r="I17" s="946">
        <v>1341.301541103966</v>
      </c>
      <c r="J17" s="947">
        <v>965.35493391752254</v>
      </c>
      <c r="K17" s="947">
        <v>4788.8463206291199</v>
      </c>
      <c r="M17" t="s">
        <v>223</v>
      </c>
      <c r="O17" s="400">
        <f>('WTP core_DCE'!$E49-'WTP core_DCE'!$G49)*E17*HHProps_SSW</f>
        <v>532857.1426566334</v>
      </c>
      <c r="P17" s="400">
        <f>('WTP core_DCE'!$U49-'WTP core_DCE'!$W49)*E17*HHProps_CAM</f>
        <v>67112.280264858229</v>
      </c>
      <c r="Q17" s="400"/>
      <c r="R17" s="400">
        <f>('WTP core_DCE'!$E51-'WTP core_DCE'!$G51)*I17*NHHProps_SSW</f>
        <v>1005573.7653656433</v>
      </c>
      <c r="S17" s="400">
        <f>('WTP core_DCE'!$U51-'WTP core_DCE'!$W51)*I17*NHHProps_CAM</f>
        <v>144055.78551456594</v>
      </c>
      <c r="T17" t="s">
        <v>224</v>
      </c>
    </row>
    <row r="20" spans="1:20" x14ac:dyDescent="0.35">
      <c r="E20" s="869">
        <v>3</v>
      </c>
      <c r="F20" s="869">
        <v>12</v>
      </c>
      <c r="G20" s="869">
        <v>21</v>
      </c>
      <c r="I20" s="869">
        <f>E20+3</f>
        <v>6</v>
      </c>
      <c r="J20" s="869">
        <f t="shared" ref="J20:K20" si="4">F20+3</f>
        <v>15</v>
      </c>
      <c r="K20" s="869">
        <f t="shared" si="4"/>
        <v>24</v>
      </c>
    </row>
    <row r="22" spans="1:20" x14ac:dyDescent="0.35">
      <c r="E22" s="847" t="s">
        <v>24</v>
      </c>
      <c r="F22" s="847" t="s">
        <v>26</v>
      </c>
      <c r="G22" t="s">
        <v>250</v>
      </c>
      <c r="I22" s="847" t="s">
        <v>24</v>
      </c>
      <c r="J22" s="847" t="s">
        <v>26</v>
      </c>
      <c r="K22" t="s">
        <v>250</v>
      </c>
    </row>
    <row r="23" spans="1:20" x14ac:dyDescent="0.35">
      <c r="A23" s="5" t="s">
        <v>133</v>
      </c>
      <c r="E23" s="400">
        <f ca="1">IF(PR19Pivot,VLOOKUP($A23,'Pre-PR24 summary'!$A$5:$AC$20,E$20,FALSE),IFERROR(MAX(OFFSET('WTP PR24 SSC'!$E$4,MATCH($A23,PR24_HHOptions,0),0),0),""))</f>
        <v>15.084017643194498</v>
      </c>
      <c r="F23" s="400">
        <f ca="1">IF(PR19Pivot,VLOOKUP($A23,'Pre-PR24 summary'!$A$5:$AC$20,F$20,FALSE),IFERROR(MAX(OFFSET('WTP PR24 SSC'!$E$4,MATCH($A23,PR24_HHOptions,0),0),0),""))</f>
        <v>10.09360466306371</v>
      </c>
      <c r="G23" s="400">
        <f ca="1">IF(PR19Pivot,VLOOKUP($A23,'Pre-PR24 summary'!$A$5:$AC$20,G$20,FALSE),IFERROR(MAX(OFFSET('WTP PR24 SSC'!$E$4,MATCH($A23,PR24_HHOptions,0),0),0),""))</f>
        <v>14.079888784734818</v>
      </c>
      <c r="H23" s="400"/>
      <c r="I23" s="400">
        <f ca="1">IF(PR19Pivot,VLOOKUP($A23,'Pre-PR24 summary'!$A$5:$AC$20,I$20,FALSE),IFERROR(MAX(OFFSET('WTP PR24 SSC'!$E$4,MATCH($A23,PR24_HHOptions,0),0),0),""))</f>
        <v>11.952755299532615</v>
      </c>
      <c r="J23" s="400">
        <f ca="1">IF(PR19Pivot,VLOOKUP($A23,'Pre-PR24 summary'!$A$5:$AC$20,J$20,FALSE),IFERROR(MAX(OFFSET('WTP PR24 SSC'!$E$4,MATCH($A23,PR24_HHOptions,0),0),0),""))</f>
        <v>12.844192751566112</v>
      </c>
      <c r="K23" s="400">
        <f ca="1">IF(PR19Pivot,VLOOKUP($A23,'Pre-PR24 summary'!$A$5:$AC$20,K$20,FALSE),IFERROR(MAX(OFFSET('WTP PR24 SSC'!$E$4,MATCH($A23,PR24_HHOptions,0),0),0),""))</f>
        <v>12.151283826952829</v>
      </c>
      <c r="O23" s="870">
        <f ca="1">IF(E23="x","x",$E$6*E23/E$32)</f>
        <v>4.7388426683951517</v>
      </c>
      <c r="P23" s="870">
        <f ca="1">IF(F23="x","x",$E$6*F23/F$32)</f>
        <v>3.0910493134140213</v>
      </c>
      <c r="Q23" s="400"/>
      <c r="R23" s="870">
        <f ca="1">IF(I23="x","x",$I$6*I23/I$32)</f>
        <v>53.107715572296812</v>
      </c>
      <c r="S23" s="870">
        <f ca="1">IF(J23="x","x",$I$6*J23/J$32)</f>
        <v>39.227395078760459</v>
      </c>
    </row>
    <row r="24" spans="1:20" x14ac:dyDescent="0.35">
      <c r="A24" s="851" t="s">
        <v>135</v>
      </c>
      <c r="E24" s="400">
        <f ca="1">IF(PR19Pivot,VLOOKUP($A24,'Pre-PR24 summary'!$A$5:$AC$20,E$20,FALSE),IFERROR(MAX(OFFSET('WTP PR24 SSC'!$E$4,MATCH($A24,PR24_HHOptions,0),0),0),""))</f>
        <v>227.53399278138332</v>
      </c>
      <c r="F24" s="400">
        <f ca="1">IF(PR19Pivot,VLOOKUP($A24,'Pre-PR24 summary'!$A$5:$AC$20,F$20,FALSE),IFERROR(MAX(OFFSET('WTP PR24 SSC'!$E$4,MATCH($A24,PR24_HHOptions,0),0),0),""))</f>
        <v>101.57152064689531</v>
      </c>
      <c r="G24" s="400">
        <f ca="1">IF(PR19Pivot,VLOOKUP($A24,'Pre-PR24 summary'!$A$5:$AC$20,G$20,FALSE),IFERROR(MAX(OFFSET('WTP PR24 SSC'!$E$4,MATCH($A24,PR24_HHOptions,0),0),0),""))</f>
        <v>202.18888530095035</v>
      </c>
      <c r="H24" s="400"/>
      <c r="I24" s="400">
        <f ca="1">IF(PR19Pivot,VLOOKUP($A24,'Pre-PR24 summary'!$A$5:$AC$20,I$20,FALSE),IFERROR(MAX(OFFSET('WTP PR24 SSC'!$E$4,MATCH($A24,PR24_HHOptions,0),0),0),""))</f>
        <v>58.929796437567347</v>
      </c>
      <c r="J24" s="400">
        <f ca="1">IF(PR19Pivot,VLOOKUP($A24,'Pre-PR24 summary'!$A$5:$AC$20,J$20,FALSE),IFERROR(MAX(OFFSET('WTP PR24 SSC'!$E$4,MATCH($A24,PR24_HHOptions,0),0),0),""))</f>
        <v>80.723179611487453</v>
      </c>
      <c r="K24" s="400">
        <f ca="1">IF(PR19Pivot,VLOOKUP($A24,'Pre-PR24 summary'!$A$5:$AC$20,K$20,FALSE),IFERROR(MAX(OFFSET('WTP PR24 SSC'!$E$4,MATCH($A24,PR24_HHOptions,0),0),0),""))</f>
        <v>63.783315054216423</v>
      </c>
      <c r="O24" s="870">
        <f t="shared" ref="O24:P30" ca="1" si="5">IF(E24="x","x",$E$6*E24/E$32)</f>
        <v>71.482798483016239</v>
      </c>
      <c r="P24" s="870">
        <f t="shared" ca="1" si="5"/>
        <v>31.105099678305294</v>
      </c>
      <c r="Q24" s="400"/>
      <c r="R24" s="870">
        <f t="shared" ref="R24:S30" ca="1" si="6">IF(I24="x","x",$I$6*I24/I$32)</f>
        <v>261.83309115865973</v>
      </c>
      <c r="S24" s="870">
        <f t="shared" ca="1" si="6"/>
        <v>246.5363234483892</v>
      </c>
    </row>
    <row r="25" spans="1:20" x14ac:dyDescent="0.35">
      <c r="A25" s="851" t="s">
        <v>141</v>
      </c>
      <c r="E25" s="400">
        <f ca="1">IF(PR19Pivot,VLOOKUP($A25,'Pre-PR24 summary'!$A$5:$AC$20,E$20,FALSE),IFERROR(MAX(OFFSET('WTP PR24 SSC'!$E$4,MATCH($A25,PR24_HHOptions,0),0),0),""))</f>
        <v>294.16109764129538</v>
      </c>
      <c r="F25" s="400">
        <f ca="1">IF(PR19Pivot,VLOOKUP($A25,'Pre-PR24 summary'!$A$5:$AC$20,F$20,FALSE),IFERROR(MAX(OFFSET('WTP PR24 SSC'!$E$4,MATCH($A25,PR24_HHOptions,0),0),0),""))</f>
        <v>349.65221547710541</v>
      </c>
      <c r="G25" s="400">
        <f ca="1">IF(PR19Pivot,VLOOKUP($A25,'Pre-PR24 summary'!$A$5:$AC$20,G$20,FALSE),IFERROR(MAX(OFFSET('WTP PR24 SSC'!$E$4,MATCH($A25,PR24_HHOptions,0),0),0),""))</f>
        <v>305.32655289098557</v>
      </c>
      <c r="H25" s="400"/>
      <c r="I25" s="400">
        <f ca="1">IF(PR19Pivot,VLOOKUP($A25,'Pre-PR24 summary'!$A$5:$AC$20,I$20,FALSE),IFERROR(MAX(OFFSET('WTP PR24 SSC'!$E$4,MATCH($A25,PR24_HHOptions,0),0),0),""))</f>
        <v>585.40559849691215</v>
      </c>
      <c r="J25" s="400">
        <f ca="1">IF(PR19Pivot,VLOOKUP($A25,'Pre-PR24 summary'!$A$5:$AC$20,J$20,FALSE),IFERROR(MAX(OFFSET('WTP PR24 SSC'!$E$4,MATCH($A25,PR24_HHOptions,0),0),0),""))</f>
        <v>1526.4271639797587</v>
      </c>
      <c r="K25" s="400">
        <f ca="1">IF(PR19Pivot,VLOOKUP($A25,'Pre-PR24 summary'!$A$5:$AC$20,K$20,FALSE),IFERROR(MAX(OFFSET('WTP PR24 SSC'!$E$4,MATCH($A25,PR24_HHOptions,0),0),0),""))</f>
        <v>794.97680872575143</v>
      </c>
      <c r="O25" s="870">
        <f t="shared" ca="1" si="5"/>
        <v>92.414580376299867</v>
      </c>
      <c r="P25" s="870">
        <f t="shared" ca="1" si="5"/>
        <v>107.07693402528662</v>
      </c>
      <c r="Q25" s="400"/>
      <c r="R25" s="870">
        <f t="shared" ca="1" si="6"/>
        <v>2601.0366012110935</v>
      </c>
      <c r="S25" s="870">
        <f t="shared" ca="1" si="6"/>
        <v>4661.8547836013186</v>
      </c>
    </row>
    <row r="26" spans="1:20" x14ac:dyDescent="0.35">
      <c r="A26" s="851" t="s">
        <v>40</v>
      </c>
      <c r="E26" s="400">
        <f ca="1">IF(PR19Pivot,VLOOKUP($A26,'Pre-PR24 summary'!$A$5:$AC$20,E$20,FALSE),IFERROR(MAX(OFFSET('WTP PR24 SSC'!$E$4,MATCH($A26,PR24_HHOptions,0),0),0),""))</f>
        <v>23944.892227883298</v>
      </c>
      <c r="F26" s="400">
        <f ca="1">IF(PR19Pivot,VLOOKUP($A26,'Pre-PR24 summary'!$A$5:$AC$20,F$20,FALSE),IFERROR(MAX(OFFSET('WTP PR24 SSC'!$E$4,MATCH($A26,PR24_HHOptions,0),0),0),""))</f>
        <v>74866.412415175815</v>
      </c>
      <c r="G26" s="400">
        <f ca="1">IF(PR19Pivot,VLOOKUP($A26,'Pre-PR24 summary'!$A$5:$AC$20,G$20,FALSE),IFERROR(MAX(OFFSET('WTP PR24 SSC'!$E$4,MATCH($A26,PR24_HHOptions,0),0),0),""))</f>
        <v>34190.891535010269</v>
      </c>
      <c r="H26" s="400"/>
      <c r="I26" s="400">
        <f ca="1">IF(PR19Pivot,VLOOKUP($A26,'Pre-PR24 summary'!$A$5:$AC$20,I$20,FALSE),IFERROR(MAX(OFFSET('WTP PR24 SSC'!$E$4,MATCH($A26,PR24_HHOptions,0),0),0),""))</f>
        <v>34800.093171867105</v>
      </c>
      <c r="J26" s="400">
        <f ca="1">IF(PR19Pivot,VLOOKUP($A26,'Pre-PR24 summary'!$A$5:$AC$20,J$20,FALSE),IFERROR(MAX(OFFSET('WTP PR24 SSC'!$E$4,MATCH($A26,PR24_HHOptions,0),0),0),""))</f>
        <v>58052.045514065772</v>
      </c>
      <c r="K26" s="400">
        <f ca="1">IF(PR19Pivot,VLOOKUP($A26,'Pre-PR24 summary'!$A$5:$AC$20,K$20,FALSE),IFERROR(MAX(OFFSET('WTP PR24 SSC'!$E$4,MATCH($A26,PR24_HHOptions,0),0),0),""))</f>
        <v>39978.443988978841</v>
      </c>
      <c r="O26" s="870">
        <f t="shared" ca="1" si="5"/>
        <v>7522.6030400999907</v>
      </c>
      <c r="P26" s="870">
        <f t="shared" ca="1" si="5"/>
        <v>22926.97013788715</v>
      </c>
      <c r="Q26" s="400"/>
      <c r="R26" s="870">
        <f ca="1">IF(I26="x","x",$I$6*I26/I$32)</f>
        <v>154621.54153973307</v>
      </c>
      <c r="S26" s="870">
        <f t="shared" ca="1" si="6"/>
        <v>177296.5081229239</v>
      </c>
    </row>
    <row r="27" spans="1:20" x14ac:dyDescent="0.35">
      <c r="A27" s="5" t="s">
        <v>41</v>
      </c>
      <c r="E27" s="400">
        <f ca="1">IF(PR19Pivot,VLOOKUP($A27,'Pre-PR24 summary'!$A$5:$AC$20,E$20,FALSE),IFERROR(MAX(OFFSET('WTP PR24 SSC'!$E$4,MATCH($A27,PR24_HHOptions,0),0),0),""))</f>
        <v>10.430361298514326</v>
      </c>
      <c r="F27" s="400">
        <f ca="1">IF(PR19Pivot,VLOOKUP($A27,'Pre-PR24 summary'!$A$5:$AC$20,F$20,FALSE),IFERROR(MAX(OFFSET('WTP PR24 SSC'!$E$4,MATCH($A27,PR24_HHOptions,0),0),0),""))</f>
        <v>6.9454442271031356</v>
      </c>
      <c r="G27" s="400">
        <f ca="1">IF(PR19Pivot,VLOOKUP($A27,'Pre-PR24 summary'!$A$5:$AC$20,G$20,FALSE),IFERROR(MAX(OFFSET('WTP PR24 SSC'!$E$4,MATCH($A27,PR24_HHOptions,0),0),0),""))</f>
        <v>9.7291556438570534</v>
      </c>
      <c r="H27" s="400"/>
      <c r="I27" s="400">
        <f ca="1">IF(PR19Pivot,VLOOKUP($A27,'Pre-PR24 summary'!$A$5:$AC$20,I$20,FALSE),IFERROR(MAX(OFFSET('WTP PR24 SSC'!$E$4,MATCH($A27,PR24_HHOptions,0),0),0),""))</f>
        <v>0</v>
      </c>
      <c r="J27" s="400">
        <f ca="1">IF(PR19Pivot,VLOOKUP($A27,'Pre-PR24 summary'!$A$5:$AC$20,J$20,FALSE),IFERROR(MAX(OFFSET('WTP PR24 SSC'!$E$4,MATCH($A27,PR24_HHOptions,0),0),0),""))</f>
        <v>0</v>
      </c>
      <c r="K27" s="400">
        <f ca="1">IF(PR19Pivot,VLOOKUP($A27,'Pre-PR24 summary'!$A$5:$AC$20,K$20,FALSE),IFERROR(MAX(OFFSET('WTP PR24 SSC'!$E$4,MATCH($A27,PR24_HHOptions,0),0),0),""))</f>
        <v>0</v>
      </c>
      <c r="O27" s="870">
        <f t="shared" ca="1" si="5"/>
        <v>3.2768352793910753</v>
      </c>
      <c r="P27" s="870">
        <f t="shared" ca="1" si="5"/>
        <v>2.1269617075557359</v>
      </c>
      <c r="Q27" s="400"/>
      <c r="R27" s="870">
        <f t="shared" ca="1" si="6"/>
        <v>0</v>
      </c>
      <c r="S27" s="870">
        <f t="shared" ca="1" si="6"/>
        <v>0</v>
      </c>
    </row>
    <row r="28" spans="1:20" x14ac:dyDescent="0.35">
      <c r="A28" s="5" t="s">
        <v>207</v>
      </c>
      <c r="E28" s="870" t="str">
        <f ca="1">IF(PR19Pivot,VLOOKUP($A28,'Pre-PR24 summary'!$A$5:$AC$20,E$20,FALSE),IFERROR(MAX(OFFSET('WTP PR24 SSC'!$E$4,MATCH($A28,PR24_HHOptions,0),0),0),""))</f>
        <v>x</v>
      </c>
      <c r="F28" s="870" t="str">
        <f ca="1">IF(PR19Pivot,VLOOKUP($A28,'Pre-PR24 summary'!$A$5:$AC$20,F$20,FALSE),IFERROR(MAX(OFFSET('WTP PR24 SSC'!$E$4,MATCH($A28,PR24_HHOptions,0),0),0),""))</f>
        <v>x</v>
      </c>
      <c r="G28" s="870" t="str">
        <f ca="1">IF(PR19Pivot,VLOOKUP($A28,'Pre-PR24 summary'!$A$5:$AC$20,G$20,FALSE),IFERROR(MAX(OFFSET('WTP PR24 SSC'!$E$4,MATCH($A28,PR24_HHOptions,0),0),0),""))</f>
        <v>x</v>
      </c>
      <c r="H28" s="870"/>
      <c r="I28" s="870" t="str">
        <f ca="1">IF(PR19Pivot,VLOOKUP($A28,'Pre-PR24 summary'!$A$5:$AC$20,I$20,FALSE),IFERROR(MAX(OFFSET('WTP PR24 SSC'!$E$4,MATCH($A28,PR24_HHOptions,0),0),0),""))</f>
        <v>x</v>
      </c>
      <c r="J28" s="870" t="str">
        <f ca="1">IF(PR19Pivot,VLOOKUP($A28,'Pre-PR24 summary'!$A$5:$AC$20,J$20,FALSE),IFERROR(MAX(OFFSET('WTP PR24 SSC'!$E$4,MATCH($A28,PR24_HHOptions,0),0),0),""))</f>
        <v>x</v>
      </c>
      <c r="K28" s="870" t="str">
        <f ca="1">IF(PR19Pivot,VLOOKUP($A28,'Pre-PR24 summary'!$A$5:$AC$20,K$20,FALSE),IFERROR(MAX(OFFSET('WTP PR24 SSC'!$E$4,MATCH($A28,PR24_HHOptions,0),0),0),""))</f>
        <v>x</v>
      </c>
      <c r="O28" s="870" t="str">
        <f t="shared" ca="1" si="5"/>
        <v>x</v>
      </c>
      <c r="P28" s="870" t="str">
        <f t="shared" ca="1" si="5"/>
        <v>x</v>
      </c>
      <c r="Q28" s="400"/>
      <c r="R28" s="870" t="str">
        <f t="shared" ca="1" si="6"/>
        <v>x</v>
      </c>
      <c r="S28" s="870" t="str">
        <f t="shared" ca="1" si="6"/>
        <v>x</v>
      </c>
    </row>
    <row r="29" spans="1:20" x14ac:dyDescent="0.35">
      <c r="A29" s="851" t="s">
        <v>153</v>
      </c>
      <c r="E29" s="400">
        <f ca="1">IF(PR19Pivot,VLOOKUP($A29,'Pre-PR24 summary'!$A$5:$AC$20,E$20,FALSE),IFERROR(MAX(OFFSET('WTP PR24 SSC'!$E$4,MATCH($A29,PR24_HHOptions,0),0),0),""))</f>
        <v>6279.0434260942666</v>
      </c>
      <c r="F29" s="400">
        <f ca="1">IF(PR19Pivot,VLOOKUP($A29,'Pre-PR24 summary'!$A$5:$AC$20,F$20,FALSE),IFERROR(MAX(OFFSET('WTP PR24 SSC'!$E$4,MATCH($A29,PR24_HHOptions,0),0),0),""))</f>
        <v>12175.577020786495</v>
      </c>
      <c r="G29" s="400">
        <f ca="1">IF(PR19Pivot,VLOOKUP($A29,'Pre-PR24 summary'!$A$5:$AC$20,G$20,FALSE),IFERROR(MAX(OFFSET('WTP PR24 SSC'!$E$4,MATCH($A29,PR24_HHOptions,0),0),0),""))</f>
        <v>7465.4942410631475</v>
      </c>
      <c r="H29" s="400"/>
      <c r="I29" s="400">
        <f ca="1">IF(PR19Pivot,VLOOKUP($A29,'Pre-PR24 summary'!$A$5:$AC$20,I$20,FALSE),IFERROR(MAX(OFFSET('WTP PR24 SSC'!$E$4,MATCH($A29,PR24_HHOptions,0),0),0),""))</f>
        <v>4462.0584048562123</v>
      </c>
      <c r="J29" s="400">
        <f ca="1">IF(PR19Pivot,VLOOKUP($A29,'Pre-PR24 summary'!$A$5:$AC$20,J$20,FALSE),IFERROR(MAX(OFFSET('WTP PR24 SSC'!$E$4,MATCH($A29,PR24_HHOptions,0),0),0),""))</f>
        <v>16565.100714813711</v>
      </c>
      <c r="K29" s="400">
        <f ca="1">IF(PR19Pivot,VLOOKUP($A29,'Pre-PR24 summary'!$A$5:$AC$20,K$20,FALSE),IFERROR(MAX(OFFSET('WTP PR24 SSC'!$E$4,MATCH($A29,PR24_HHOptions,0),0),0),""))</f>
        <v>7157.4793360940248</v>
      </c>
      <c r="O29" s="870">
        <f t="shared" ca="1" si="5"/>
        <v>1972.6441328916392</v>
      </c>
      <c r="P29" s="870">
        <f t="shared" ca="1" si="5"/>
        <v>3728.6291911395497</v>
      </c>
      <c r="Q29" s="400"/>
      <c r="R29" s="870">
        <f t="shared" ca="1" si="6"/>
        <v>19825.531661419212</v>
      </c>
      <c r="S29" s="870">
        <f t="shared" ca="1" si="6"/>
        <v>50591.404444644664</v>
      </c>
    </row>
    <row r="30" spans="1:20" x14ac:dyDescent="0.35">
      <c r="A30" s="5" t="s">
        <v>156</v>
      </c>
      <c r="E30" s="400">
        <f ca="1">IF(PR19Pivot,VLOOKUP($A30,'Pre-PR24 summary'!$A$5:$AC$20,E$20,FALSE),IFERROR(MAX(OFFSET('WTP PR24 SSC'!$E$4,MATCH($A30,PR24_HHOptions,0),0),0),""))</f>
        <v>3971.7253201438407</v>
      </c>
      <c r="F30" s="400">
        <f ca="1">IF(PR19Pivot,VLOOKUP($A30,'Pre-PR24 summary'!$A$5:$AC$20,F$20,FALSE),IFERROR(MAX(OFFSET('WTP PR24 SSC'!$E$4,MATCH($A30,PR24_HHOptions,0),0),0),""))</f>
        <v>1868.5775784075122</v>
      </c>
      <c r="G30" s="400">
        <f ca="1">IF(PR19Pivot,VLOOKUP($A30,'Pre-PR24 summary'!$A$5:$AC$20,G$20,FALSE),IFERROR(MAX(OFFSET('WTP PR24 SSC'!$E$4,MATCH($A30,PR24_HHOptions,0),0),0),""))</f>
        <v>3548.547649379927</v>
      </c>
      <c r="H30" s="400"/>
      <c r="I30" s="400">
        <f ca="1">IF(PR19Pivot,VLOOKUP($A30,'Pre-PR24 summary'!$A$5:$AC$20,I$20,FALSE),IFERROR(MAX(OFFSET('WTP PR24 SSC'!$E$4,MATCH($A30,PR24_HHOptions,0),0),0),""))</f>
        <v>4503.4754256625984</v>
      </c>
      <c r="J30" s="400">
        <f ca="1">IF(PR19Pivot,VLOOKUP($A30,'Pre-PR24 summary'!$A$5:$AC$20,J$20,FALSE),IFERROR(MAX(OFFSET('WTP PR24 SSC'!$E$4,MATCH($A30,PR24_HHOptions,0),0),0),""))</f>
        <v>8741.0310608699237</v>
      </c>
      <c r="K30" s="400">
        <f ca="1">IF(PR19Pivot,VLOOKUP($A30,'Pre-PR24 summary'!$A$5:$AC$20,K$20,FALSE),IFERROR(MAX(OFFSET('WTP PR24 SSC'!$E$4,MATCH($A30,PR24_HHOptions,0),0),0),""))</f>
        <v>5447.2047677492064</v>
      </c>
      <c r="O30" s="870">
        <f t="shared" ca="1" si="5"/>
        <v>1247.7697825244013</v>
      </c>
      <c r="P30" s="870">
        <f t="shared" ca="1" si="5"/>
        <v>572.23020254928713</v>
      </c>
      <c r="Q30" s="400"/>
      <c r="R30" s="870">
        <f t="shared" ca="1" si="6"/>
        <v>20009.55311134578</v>
      </c>
      <c r="S30" s="870">
        <f t="shared" ca="1" si="6"/>
        <v>26695.946211072878</v>
      </c>
    </row>
    <row r="31" spans="1:20" x14ac:dyDescent="0.35">
      <c r="A31" s="5"/>
    </row>
    <row r="32" spans="1:20" x14ac:dyDescent="0.35">
      <c r="A32" s="850" t="s">
        <v>125</v>
      </c>
      <c r="E32" s="400">
        <f ca="1">IF(PR19Pivot,VLOOKUP($A32,'Pre-PR24 summary'!$A$5:$AC$20,E$20,FALSE),IFERROR(MAX(OFFSET('WTP PR24 SSC'!$E$4,MATCH($A32,PR24_HHOptions,0),0),0),""))</f>
        <v>584.15471367211512</v>
      </c>
      <c r="F32" s="400">
        <f ca="1">IF(PR19Pivot,VLOOKUP($A32,'Pre-PR24 summary'!$A$5:$AC$20,F$20,FALSE),IFERROR(MAX(OFFSET('WTP PR24 SSC'!$E$4,MATCH($A32,PR24_HHOptions,0),0),0),""))</f>
        <v>599.27133000641527</v>
      </c>
      <c r="I32" s="400">
        <f ca="1">IF(PR19Pivot,VLOOKUP($A32,'Pre-PR24 summary'!$A$5:$AC$20,I$20,FALSE),IFERROR(MAX(OFFSET('WTP PR24 SSC'!$E$4,MATCH($A32,PR24_HHOptions,0),0),0),""))</f>
        <v>2767.0942952441042</v>
      </c>
      <c r="J32" s="400">
        <f ca="1">IF(PR19Pivot,VLOOKUP($A32,'Pre-PR24 summary'!$A$5:$AC$20,J$20,FALSE),IFERROR(MAX(OFFSET('WTP PR24 SSC'!$E$4,MATCH($A32,PR24_HHOptions,0),0),0),""))</f>
        <v>4025.6025631324037</v>
      </c>
    </row>
  </sheetData>
  <mergeCells count="5">
    <mergeCell ref="O1:S1"/>
    <mergeCell ref="E2:G2"/>
    <mergeCell ref="I2:K2"/>
    <mergeCell ref="F3:G3"/>
    <mergeCell ref="J3:K3"/>
  </mergeCells>
  <conditionalFormatting sqref="A23:A31">
    <cfRule type="expression" dxfId="20" priority="1">
      <formula>COUNTIFS($A$4:$A$17,$A23)</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BAFD5-AF15-417A-9A54-BAD6A69B6EED}">
  <sheetPr>
    <tabColor theme="4"/>
  </sheetPr>
  <dimension ref="A1:AC20"/>
  <sheetViews>
    <sheetView zoomScale="80" zoomScaleNormal="80" workbookViewId="0">
      <selection activeCell="A6" sqref="A6:E8"/>
    </sheetView>
  </sheetViews>
  <sheetFormatPr defaultRowHeight="14.5" x14ac:dyDescent="0.35"/>
  <cols>
    <col min="1" max="1" width="46.7265625" bestFit="1" customWidth="1"/>
    <col min="2" max="2" width="21.81640625" customWidth="1"/>
    <col min="3" max="3" width="12" customWidth="1"/>
    <col min="4" max="4" width="9.1796875" customWidth="1"/>
    <col min="5" max="5" width="9.26953125" customWidth="1"/>
    <col min="6" max="6" width="12" customWidth="1"/>
    <col min="7" max="7" width="9.26953125" customWidth="1"/>
    <col min="8" max="8" width="10.81640625" customWidth="1"/>
    <col min="9" max="9" width="16.81640625" customWidth="1"/>
    <col min="10" max="10" width="9.1796875" customWidth="1"/>
    <col min="11" max="11" width="10.81640625" customWidth="1"/>
    <col min="12" max="12" width="12" customWidth="1"/>
    <col min="13" max="14" width="9.1796875" customWidth="1"/>
    <col min="15" max="15" width="13.54296875" customWidth="1"/>
    <col min="16" max="16" width="9.1796875" customWidth="1"/>
    <col min="17" max="17" width="10.81640625" customWidth="1"/>
    <col min="18" max="18" width="13.54296875" customWidth="1"/>
    <col min="19" max="19" width="9.1796875" customWidth="1"/>
    <col min="20" max="20" width="10.81640625" customWidth="1"/>
    <col min="21" max="21" width="12" bestFit="1" customWidth="1"/>
    <col min="24" max="24" width="12" bestFit="1" customWidth="1"/>
    <col min="26" max="26" width="10.81640625" bestFit="1" customWidth="1"/>
    <col min="27" max="27" width="13.54296875" bestFit="1" customWidth="1"/>
    <col min="29" max="29" width="10.81640625" bestFit="1" customWidth="1"/>
  </cols>
  <sheetData>
    <row r="1" spans="1:29" ht="28.5" x14ac:dyDescent="0.65">
      <c r="A1" s="76" t="s">
        <v>201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row>
    <row r="2" spans="1:29" ht="23.5" x14ac:dyDescent="0.55000000000000004">
      <c r="A2" s="51"/>
      <c r="B2" s="51"/>
      <c r="C2" s="126" t="s">
        <v>24</v>
      </c>
      <c r="D2" s="126"/>
      <c r="E2" s="126"/>
      <c r="F2" s="126"/>
      <c r="G2" s="126"/>
      <c r="H2" s="126"/>
      <c r="I2" s="126"/>
      <c r="J2" s="126"/>
      <c r="K2" s="126"/>
      <c r="L2" s="731" t="s">
        <v>26</v>
      </c>
      <c r="M2" s="732"/>
      <c r="N2" s="732"/>
      <c r="O2" s="732"/>
      <c r="P2" s="732"/>
      <c r="Q2" s="732"/>
      <c r="R2" s="732"/>
      <c r="S2" s="732"/>
      <c r="T2" s="732"/>
      <c r="U2" s="713" t="s">
        <v>202</v>
      </c>
      <c r="V2" s="713"/>
      <c r="W2" s="713"/>
      <c r="X2" s="713"/>
      <c r="Y2" s="713"/>
      <c r="Z2" s="713"/>
      <c r="AA2" s="713"/>
      <c r="AB2" s="713"/>
      <c r="AC2" s="713"/>
    </row>
    <row r="3" spans="1:29" x14ac:dyDescent="0.35">
      <c r="A3" s="733" t="s">
        <v>203</v>
      </c>
      <c r="B3" s="733"/>
      <c r="C3" s="734" t="s">
        <v>21</v>
      </c>
      <c r="D3" s="734"/>
      <c r="E3" s="734"/>
      <c r="F3" s="734" t="s">
        <v>22</v>
      </c>
      <c r="G3" s="734"/>
      <c r="H3" s="734"/>
      <c r="I3" s="734" t="s">
        <v>174</v>
      </c>
      <c r="J3" s="734"/>
      <c r="K3" s="734"/>
      <c r="L3" s="734" t="s">
        <v>21</v>
      </c>
      <c r="M3" s="734"/>
      <c r="N3" s="734"/>
      <c r="O3" s="734" t="s">
        <v>22</v>
      </c>
      <c r="P3" s="734"/>
      <c r="Q3" s="734"/>
      <c r="R3" s="734" t="s">
        <v>174</v>
      </c>
      <c r="S3" s="734"/>
      <c r="T3" s="734"/>
      <c r="U3" s="734" t="s">
        <v>21</v>
      </c>
      <c r="V3" s="734"/>
      <c r="W3" s="734"/>
      <c r="X3" s="734" t="s">
        <v>22</v>
      </c>
      <c r="Y3" s="734"/>
      <c r="Z3" s="734"/>
      <c r="AA3" s="734" t="s">
        <v>174</v>
      </c>
      <c r="AB3" s="734"/>
      <c r="AC3" s="734"/>
    </row>
    <row r="4" spans="1:29" x14ac:dyDescent="0.35">
      <c r="A4" s="724"/>
      <c r="B4" s="725" t="s">
        <v>124</v>
      </c>
      <c r="C4" s="726" t="s">
        <v>204</v>
      </c>
      <c r="D4" s="726" t="s">
        <v>205</v>
      </c>
      <c r="E4" s="726" t="s">
        <v>206</v>
      </c>
      <c r="F4" s="726" t="s">
        <v>204</v>
      </c>
      <c r="G4" s="726" t="s">
        <v>205</v>
      </c>
      <c r="H4" s="726" t="s">
        <v>206</v>
      </c>
      <c r="I4" s="726" t="s">
        <v>204</v>
      </c>
      <c r="J4" s="726" t="s">
        <v>205</v>
      </c>
      <c r="K4" s="726" t="s">
        <v>206</v>
      </c>
      <c r="L4" s="726" t="s">
        <v>204</v>
      </c>
      <c r="M4" s="726" t="s">
        <v>205</v>
      </c>
      <c r="N4" s="726" t="s">
        <v>206</v>
      </c>
      <c r="O4" s="726" t="s">
        <v>204</v>
      </c>
      <c r="P4" s="726" t="s">
        <v>205</v>
      </c>
      <c r="Q4" s="726" t="s">
        <v>206</v>
      </c>
      <c r="R4" s="726" t="s">
        <v>204</v>
      </c>
      <c r="S4" s="726" t="s">
        <v>205</v>
      </c>
      <c r="T4" s="726" t="s">
        <v>206</v>
      </c>
      <c r="U4" s="726" t="s">
        <v>204</v>
      </c>
      <c r="V4" s="726" t="s">
        <v>205</v>
      </c>
      <c r="W4" s="726" t="s">
        <v>206</v>
      </c>
      <c r="X4" s="726" t="s">
        <v>204</v>
      </c>
      <c r="Y4" s="726" t="s">
        <v>205</v>
      </c>
      <c r="Z4" s="726" t="s">
        <v>206</v>
      </c>
      <c r="AA4" s="726" t="s">
        <v>204</v>
      </c>
      <c r="AB4" s="726" t="s">
        <v>205</v>
      </c>
      <c r="AC4" s="726" t="s">
        <v>206</v>
      </c>
    </row>
    <row r="5" spans="1:29" x14ac:dyDescent="0.35">
      <c r="A5" s="727" t="s">
        <v>125</v>
      </c>
      <c r="B5" s="491" t="s">
        <v>127</v>
      </c>
      <c r="C5" s="728">
        <v>584.15471367211512</v>
      </c>
      <c r="D5" s="729">
        <v>126.39583765989111</v>
      </c>
      <c r="E5" s="729">
        <v>2833.2696685150631</v>
      </c>
      <c r="F5" s="728">
        <v>2767.0942952441042</v>
      </c>
      <c r="G5" s="729">
        <v>591.50296691846995</v>
      </c>
      <c r="H5" s="729">
        <v>6997.2101823792491</v>
      </c>
      <c r="I5" s="728">
        <v>3351.2490089162193</v>
      </c>
      <c r="J5" s="729">
        <v>717.89880457836102</v>
      </c>
      <c r="K5" s="729">
        <v>9830.4798508943131</v>
      </c>
      <c r="L5" s="728">
        <v>599.27133000641527</v>
      </c>
      <c r="M5" s="729">
        <v>132.85960037255322</v>
      </c>
      <c r="N5" s="729">
        <v>2946.7556553249506</v>
      </c>
      <c r="O5" s="728">
        <v>4025.6025631324037</v>
      </c>
      <c r="P5" s="729">
        <v>903.28975761413278</v>
      </c>
      <c r="Q5" s="729">
        <v>7248.9118359569093</v>
      </c>
      <c r="R5" s="728">
        <v>4624.8738931388189</v>
      </c>
      <c r="S5" s="729">
        <v>1036.149357986686</v>
      </c>
      <c r="T5" s="729">
        <v>10195.66749128186</v>
      </c>
      <c r="U5" s="728">
        <v>587.19635186197411</v>
      </c>
      <c r="V5" s="729">
        <v>127.69642153939392</v>
      </c>
      <c r="W5" s="729">
        <v>2856.1043627258009</v>
      </c>
      <c r="X5" s="728">
        <v>3047.371719756708</v>
      </c>
      <c r="Y5" s="729">
        <v>660.93977629268284</v>
      </c>
      <c r="Z5" s="729">
        <v>7053.2656672817693</v>
      </c>
      <c r="AA5" s="728">
        <v>3608.9965075444234</v>
      </c>
      <c r="AB5" s="729">
        <v>782.30417628096097</v>
      </c>
      <c r="AC5" s="729">
        <v>9904.3840294368674</v>
      </c>
    </row>
    <row r="6" spans="1:29" x14ac:dyDescent="0.35">
      <c r="A6" s="727" t="s">
        <v>129</v>
      </c>
      <c r="B6" s="491" t="s">
        <v>127</v>
      </c>
      <c r="C6" s="728">
        <v>90.870444679218608</v>
      </c>
      <c r="D6" s="729">
        <v>40.663087208464844</v>
      </c>
      <c r="E6" s="729">
        <v>131.13494471588859</v>
      </c>
      <c r="F6" s="728">
        <v>1023.7446364670324</v>
      </c>
      <c r="G6" s="729">
        <v>234.47447162805747</v>
      </c>
      <c r="H6" s="729">
        <v>2638.3566938213962</v>
      </c>
      <c r="I6" s="728">
        <v>1114.615081146251</v>
      </c>
      <c r="J6" s="729">
        <v>275.13755883652232</v>
      </c>
      <c r="K6" s="729">
        <v>2769.4916385372849</v>
      </c>
      <c r="L6" s="728">
        <v>295.49849514606763</v>
      </c>
      <c r="M6" s="729">
        <v>121.87389909757673</v>
      </c>
      <c r="N6" s="729">
        <v>549.61482086461763</v>
      </c>
      <c r="O6" s="728">
        <v>1551.7172547748896</v>
      </c>
      <c r="P6" s="729">
        <v>505.21772314236114</v>
      </c>
      <c r="Q6" s="729">
        <v>2743.9512174829674</v>
      </c>
      <c r="R6" s="728">
        <v>1847.2157499209573</v>
      </c>
      <c r="S6" s="729">
        <v>627.09162223993781</v>
      </c>
      <c r="T6" s="729">
        <v>3293.5660383475852</v>
      </c>
      <c r="U6" s="728">
        <v>132.04397711875666</v>
      </c>
      <c r="V6" s="729">
        <v>57.003642621708515</v>
      </c>
      <c r="W6" s="729">
        <v>215.33793993865234</v>
      </c>
      <c r="X6" s="728">
        <v>1141.3273408864495</v>
      </c>
      <c r="Y6" s="729">
        <v>294.77063588443116</v>
      </c>
      <c r="Z6" s="729">
        <v>2661.8732347052792</v>
      </c>
      <c r="AA6" s="728">
        <v>1262.8737970438178</v>
      </c>
      <c r="AB6" s="729">
        <v>346.36361652275673</v>
      </c>
      <c r="AC6" s="729">
        <v>2875.5502334340331</v>
      </c>
    </row>
    <row r="7" spans="1:29" x14ac:dyDescent="0.35">
      <c r="A7" s="727" t="s">
        <v>131</v>
      </c>
      <c r="B7" s="491" t="s">
        <v>127</v>
      </c>
      <c r="C7" s="728">
        <v>147.41138249113624</v>
      </c>
      <c r="D7" s="729">
        <v>94.055897221274336</v>
      </c>
      <c r="E7" s="729">
        <v>371.23270611217282</v>
      </c>
      <c r="F7" s="728">
        <v>1378.4152242012963</v>
      </c>
      <c r="G7" s="729">
        <v>323.24391577570077</v>
      </c>
      <c r="H7" s="729">
        <v>3682.8221404411629</v>
      </c>
      <c r="I7" s="728">
        <v>1525.8266066924325</v>
      </c>
      <c r="J7" s="729">
        <v>417.29981299697516</v>
      </c>
      <c r="K7" s="729">
        <v>4054.0548465533357</v>
      </c>
      <c r="L7" s="728">
        <v>169.75607184889424</v>
      </c>
      <c r="M7" s="729">
        <v>63.606720113839209</v>
      </c>
      <c r="N7" s="729">
        <v>672.23932042559159</v>
      </c>
      <c r="O7" s="728">
        <v>2152.1619377707489</v>
      </c>
      <c r="P7" s="729">
        <v>552.22880767126424</v>
      </c>
      <c r="Q7" s="729">
        <v>3837.5714831550536</v>
      </c>
      <c r="R7" s="728">
        <v>2321.9180096196433</v>
      </c>
      <c r="S7" s="729">
        <v>615.83552778510352</v>
      </c>
      <c r="T7" s="729">
        <v>4509.8108035806445</v>
      </c>
      <c r="U7" s="728">
        <v>151.90739264235495</v>
      </c>
      <c r="V7" s="729">
        <v>87.929170320783612</v>
      </c>
      <c r="W7" s="729">
        <v>431.79872123411661</v>
      </c>
      <c r="X7" s="728">
        <v>1550.7333103337155</v>
      </c>
      <c r="Y7" s="729">
        <v>374.24024006721669</v>
      </c>
      <c r="Z7" s="729">
        <v>3717.285757667647</v>
      </c>
      <c r="AA7" s="728">
        <v>1686.934143397913</v>
      </c>
      <c r="AB7" s="729">
        <v>457.47811393072072</v>
      </c>
      <c r="AC7" s="729">
        <v>4146.2876219677337</v>
      </c>
    </row>
    <row r="8" spans="1:29" x14ac:dyDescent="0.35">
      <c r="A8" s="727" t="s">
        <v>133</v>
      </c>
      <c r="B8" s="491" t="s">
        <v>127</v>
      </c>
      <c r="C8" s="728">
        <v>15.084017643194498</v>
      </c>
      <c r="D8" s="729">
        <v>3.0168035286388997</v>
      </c>
      <c r="E8" s="729">
        <v>23.524740791667398</v>
      </c>
      <c r="F8" s="728">
        <v>11.952755299532615</v>
      </c>
      <c r="G8" s="729">
        <v>2.3905510599065232</v>
      </c>
      <c r="H8" s="729">
        <v>23.079529916823592</v>
      </c>
      <c r="I8" s="728">
        <v>27.036772942727112</v>
      </c>
      <c r="J8" s="729">
        <v>5.4073545885454228</v>
      </c>
      <c r="K8" s="729">
        <v>46.604270708490994</v>
      </c>
      <c r="L8" s="728">
        <v>10.09360466306371</v>
      </c>
      <c r="M8" s="729">
        <v>2.0187209326127422</v>
      </c>
      <c r="N8" s="729">
        <v>25.577364569725791</v>
      </c>
      <c r="O8" s="728">
        <v>12.844192751566112</v>
      </c>
      <c r="P8" s="729">
        <v>2.5688385503132225</v>
      </c>
      <c r="Q8" s="729">
        <v>101.10705940401672</v>
      </c>
      <c r="R8" s="728">
        <v>22.93779741462982</v>
      </c>
      <c r="S8" s="729">
        <v>4.5875594829259638</v>
      </c>
      <c r="T8" s="729">
        <v>126.68442397374253</v>
      </c>
      <c r="U8" s="728">
        <v>14.079888784734818</v>
      </c>
      <c r="V8" s="729">
        <v>2.815977756946964</v>
      </c>
      <c r="W8" s="729">
        <v>23.937752456095808</v>
      </c>
      <c r="X8" s="728">
        <v>12.151283826952829</v>
      </c>
      <c r="Y8" s="729">
        <v>2.430256765390566</v>
      </c>
      <c r="Z8" s="729">
        <v>40.456733995464432</v>
      </c>
      <c r="AA8" s="728">
        <v>26.207250292539442</v>
      </c>
      <c r="AB8" s="729">
        <v>5.2414500585078887</v>
      </c>
      <c r="AC8" s="729">
        <v>62.810344764966686</v>
      </c>
    </row>
    <row r="9" spans="1:29" x14ac:dyDescent="0.35">
      <c r="A9" s="727" t="s">
        <v>135</v>
      </c>
      <c r="B9" s="491" t="s">
        <v>127</v>
      </c>
      <c r="C9" s="728">
        <v>227.53399278138332</v>
      </c>
      <c r="D9" s="729">
        <v>45.506798556276664</v>
      </c>
      <c r="E9" s="729">
        <v>681.57897519907283</v>
      </c>
      <c r="F9" s="728">
        <v>58.929796437567347</v>
      </c>
      <c r="G9" s="729">
        <v>11.785959287513471</v>
      </c>
      <c r="H9" s="729">
        <v>149.55014353869703</v>
      </c>
      <c r="I9" s="728">
        <v>286.46378921895064</v>
      </c>
      <c r="J9" s="729">
        <v>57.292757843790127</v>
      </c>
      <c r="K9" s="729">
        <v>831.12911873776989</v>
      </c>
      <c r="L9" s="728">
        <v>101.57152064689531</v>
      </c>
      <c r="M9" s="729">
        <v>20.314304129379064</v>
      </c>
      <c r="N9" s="729">
        <v>273.82706090114203</v>
      </c>
      <c r="O9" s="728">
        <v>80.723179611487453</v>
      </c>
      <c r="P9" s="729">
        <v>16.144635922297493</v>
      </c>
      <c r="Q9" s="729">
        <v>1564.4941424516894</v>
      </c>
      <c r="R9" s="728">
        <v>182.29470025838276</v>
      </c>
      <c r="S9" s="729">
        <v>36.458940051676556</v>
      </c>
      <c r="T9" s="729">
        <v>1838.3212033528312</v>
      </c>
      <c r="U9" s="728">
        <v>202.18888530095035</v>
      </c>
      <c r="V9" s="729">
        <v>40.437777060190072</v>
      </c>
      <c r="W9" s="729">
        <v>599.53457008292571</v>
      </c>
      <c r="X9" s="728">
        <v>63.783315054216423</v>
      </c>
      <c r="Y9" s="729">
        <v>12.756663010843285</v>
      </c>
      <c r="Z9" s="729">
        <v>464.66675418308341</v>
      </c>
      <c r="AA9" s="728">
        <v>265.38276100839272</v>
      </c>
      <c r="AB9" s="729">
        <v>53.076552201678545</v>
      </c>
      <c r="AC9" s="729">
        <v>1034.9577684944952</v>
      </c>
    </row>
    <row r="10" spans="1:29" x14ac:dyDescent="0.35">
      <c r="A10" s="727" t="s">
        <v>137</v>
      </c>
      <c r="B10" s="491" t="s">
        <v>127</v>
      </c>
      <c r="C10" s="728">
        <v>238.40549034894789</v>
      </c>
      <c r="D10" s="729">
        <v>92.767327066412776</v>
      </c>
      <c r="E10" s="729">
        <v>685.61004171939248</v>
      </c>
      <c r="F10" s="728">
        <v>2174.5690516979671</v>
      </c>
      <c r="G10" s="729">
        <v>463.84737653619248</v>
      </c>
      <c r="H10" s="729">
        <v>6331.1066515470593</v>
      </c>
      <c r="I10" s="728">
        <v>2412.9745420469148</v>
      </c>
      <c r="J10" s="729">
        <v>556.61470360260523</v>
      </c>
      <c r="K10" s="729">
        <v>7016.7166932664513</v>
      </c>
      <c r="L10" s="728">
        <v>156.99122810038733</v>
      </c>
      <c r="M10" s="729">
        <v>54.010777995127242</v>
      </c>
      <c r="N10" s="729">
        <v>541.77035446180082</v>
      </c>
      <c r="O10" s="728">
        <v>2971.3645747328492</v>
      </c>
      <c r="P10" s="729">
        <v>602.42470486505249</v>
      </c>
      <c r="Q10" s="729">
        <v>6490.4657561540353</v>
      </c>
      <c r="R10" s="728">
        <v>3128.3558028332363</v>
      </c>
      <c r="S10" s="729">
        <v>656.43548286017983</v>
      </c>
      <c r="T10" s="729">
        <v>7032.2361106158369</v>
      </c>
      <c r="U10" s="728">
        <v>222.02399836832998</v>
      </c>
      <c r="V10" s="729">
        <v>84.969060764258657</v>
      </c>
      <c r="W10" s="729">
        <v>656.66783161729848</v>
      </c>
      <c r="X10" s="728">
        <v>2352.020247496715</v>
      </c>
      <c r="Y10" s="729">
        <v>494.70938807070684</v>
      </c>
      <c r="Z10" s="729">
        <v>6366.59689070681</v>
      </c>
      <c r="AA10" s="728">
        <v>2557.7485118533482</v>
      </c>
      <c r="AB10" s="729">
        <v>576.81575061690114</v>
      </c>
      <c r="AC10" s="729">
        <v>7019.8574068717871</v>
      </c>
    </row>
    <row r="11" spans="1:29" x14ac:dyDescent="0.35">
      <c r="A11" s="727" t="s">
        <v>139</v>
      </c>
      <c r="B11" s="491" t="s">
        <v>127</v>
      </c>
      <c r="C11" s="728">
        <v>46.080656796939287</v>
      </c>
      <c r="D11" s="729">
        <v>23.100934052660016</v>
      </c>
      <c r="E11" s="729">
        <v>65.287757314048363</v>
      </c>
      <c r="F11" s="728">
        <v>774.59800946802682</v>
      </c>
      <c r="G11" s="729">
        <v>157.68863598357649</v>
      </c>
      <c r="H11" s="729">
        <v>2016.4964576767352</v>
      </c>
      <c r="I11" s="728">
        <v>820.67866626496607</v>
      </c>
      <c r="J11" s="729">
        <v>180.78957003623648</v>
      </c>
      <c r="K11" s="729">
        <v>2081.7842149907833</v>
      </c>
      <c r="L11" s="728">
        <v>65.663335418092473</v>
      </c>
      <c r="M11" s="729">
        <v>27.998577396597831</v>
      </c>
      <c r="N11" s="729">
        <v>107.24443005938123</v>
      </c>
      <c r="O11" s="728">
        <v>1070.0664649154098</v>
      </c>
      <c r="P11" s="729">
        <v>229.56177214696893</v>
      </c>
      <c r="Q11" s="729">
        <v>2075.5901487662118</v>
      </c>
      <c r="R11" s="728">
        <v>1135.7298003335022</v>
      </c>
      <c r="S11" s="729">
        <v>257.56034954356676</v>
      </c>
      <c r="T11" s="729">
        <v>2182.8345788255929</v>
      </c>
      <c r="U11" s="728">
        <v>50.020918416114135</v>
      </c>
      <c r="V11" s="729">
        <v>24.08639658645658</v>
      </c>
      <c r="W11" s="729">
        <v>73.729925542665256</v>
      </c>
      <c r="X11" s="728">
        <v>840.400626606542</v>
      </c>
      <c r="Y11" s="729">
        <v>173.69521934064926</v>
      </c>
      <c r="Z11" s="729">
        <v>2029.6569811044383</v>
      </c>
      <c r="AA11" s="728">
        <v>884.43656135014987</v>
      </c>
      <c r="AB11" s="729">
        <v>196.32591565171151</v>
      </c>
      <c r="AC11" s="729">
        <v>2102.2340969274023</v>
      </c>
    </row>
    <row r="12" spans="1:29" x14ac:dyDescent="0.35">
      <c r="A12" s="727" t="s">
        <v>141</v>
      </c>
      <c r="B12" s="491" t="s">
        <v>127</v>
      </c>
      <c r="C12" s="728">
        <v>294.16109764129538</v>
      </c>
      <c r="D12" s="729">
        <v>90.75860719374964</v>
      </c>
      <c r="E12" s="729">
        <v>454.66600419685238</v>
      </c>
      <c r="F12" s="728">
        <v>585.40559849691215</v>
      </c>
      <c r="G12" s="729">
        <v>298.23150175322309</v>
      </c>
      <c r="H12" s="729">
        <v>1010.8032089911551</v>
      </c>
      <c r="I12" s="728">
        <v>879.56669613820759</v>
      </c>
      <c r="J12" s="729">
        <v>388.99010894697273</v>
      </c>
      <c r="K12" s="729">
        <v>1465.4692131880072</v>
      </c>
      <c r="L12" s="728">
        <v>349.65221547710541</v>
      </c>
      <c r="M12" s="729">
        <v>98.005368539210707</v>
      </c>
      <c r="N12" s="729">
        <v>566.52980353397743</v>
      </c>
      <c r="O12" s="728">
        <v>1526.4271639797587</v>
      </c>
      <c r="P12" s="729">
        <v>342.29309202585506</v>
      </c>
      <c r="Q12" s="729">
        <v>2059.1538824824001</v>
      </c>
      <c r="R12" s="728">
        <v>1876.079379456864</v>
      </c>
      <c r="S12" s="729">
        <v>440.2984605650658</v>
      </c>
      <c r="T12" s="729">
        <v>2625.6836860163776</v>
      </c>
      <c r="U12" s="728">
        <v>305.32655289098557</v>
      </c>
      <c r="V12" s="729">
        <v>92.216739461824346</v>
      </c>
      <c r="W12" s="729">
        <v>477.17429551033121</v>
      </c>
      <c r="X12" s="728">
        <v>794.97680872575143</v>
      </c>
      <c r="Y12" s="729">
        <v>308.04428515453088</v>
      </c>
      <c r="Z12" s="729">
        <v>1244.2772625587231</v>
      </c>
      <c r="AA12" s="728">
        <v>1081.2341216560744</v>
      </c>
      <c r="AB12" s="729">
        <v>399.37354244621054</v>
      </c>
      <c r="AC12" s="729">
        <v>1700.2654879375252</v>
      </c>
    </row>
    <row r="13" spans="1:29" x14ac:dyDescent="0.35">
      <c r="A13" s="727" t="s">
        <v>143</v>
      </c>
      <c r="B13" s="736" t="s">
        <v>145</v>
      </c>
      <c r="C13" s="728">
        <v>415592.61892296065</v>
      </c>
      <c r="D13" s="729">
        <v>249456.17590694697</v>
      </c>
      <c r="E13" s="729">
        <v>603931.82707401214</v>
      </c>
      <c r="F13" s="728">
        <v>267715.30964464101</v>
      </c>
      <c r="G13" s="729">
        <v>180903.29744892818</v>
      </c>
      <c r="H13" s="729">
        <v>584725.62153349188</v>
      </c>
      <c r="I13" s="728">
        <v>683307.9285676016</v>
      </c>
      <c r="J13" s="729">
        <v>430359.47335587512</v>
      </c>
      <c r="K13" s="729">
        <v>1188657.4486075039</v>
      </c>
      <c r="L13" s="728">
        <v>165758.35461302605</v>
      </c>
      <c r="M13" s="729">
        <v>46590.585193335159</v>
      </c>
      <c r="N13" s="729">
        <v>408838.22452260513</v>
      </c>
      <c r="O13" s="728">
        <v>462082.73148090637</v>
      </c>
      <c r="P13" s="729">
        <v>123581.77598627527</v>
      </c>
      <c r="Q13" s="729">
        <v>852581.71749618114</v>
      </c>
      <c r="R13" s="728">
        <v>627841.08609393239</v>
      </c>
      <c r="S13" s="729">
        <v>170172.36117961042</v>
      </c>
      <c r="T13" s="729">
        <v>1261419.9420187862</v>
      </c>
      <c r="U13" s="728">
        <v>365323.07297065883</v>
      </c>
      <c r="V13" s="729">
        <v>208637.27077123037</v>
      </c>
      <c r="W13" s="729">
        <v>564676.73592169699</v>
      </c>
      <c r="X13" s="728">
        <v>311002.11338795861</v>
      </c>
      <c r="Y13" s="729">
        <v>168137.44694589259</v>
      </c>
      <c r="Z13" s="729">
        <v>644378.79873700207</v>
      </c>
      <c r="AA13" s="728">
        <v>672082.92811299826</v>
      </c>
      <c r="AB13" s="729">
        <v>377704.58401641162</v>
      </c>
      <c r="AC13" s="729">
        <v>1203382.6246801717</v>
      </c>
    </row>
    <row r="14" spans="1:29" x14ac:dyDescent="0.35">
      <c r="A14" s="727" t="s">
        <v>146</v>
      </c>
      <c r="B14" s="736" t="s">
        <v>145</v>
      </c>
      <c r="C14" s="728">
        <v>1005208.5467473509</v>
      </c>
      <c r="D14" s="729">
        <v>273542.04214947019</v>
      </c>
      <c r="E14" s="729">
        <v>1775840.5074349591</v>
      </c>
      <c r="F14" s="728">
        <v>1245388.7050983524</v>
      </c>
      <c r="G14" s="729">
        <v>503798.21205967048</v>
      </c>
      <c r="H14" s="729">
        <v>2249334.6634070105</v>
      </c>
      <c r="I14" s="728">
        <v>2250597.2518457035</v>
      </c>
      <c r="J14" s="729">
        <v>777340.25420914078</v>
      </c>
      <c r="K14" s="729">
        <v>4025175.17084197</v>
      </c>
      <c r="L14" s="728">
        <v>430258.68850072403</v>
      </c>
      <c r="M14" s="729">
        <v>195748.14802605991</v>
      </c>
      <c r="N14" s="729">
        <v>482737.18990578217</v>
      </c>
      <c r="O14" s="728">
        <v>800552.56069007935</v>
      </c>
      <c r="P14" s="729">
        <v>611269.20366615243</v>
      </c>
      <c r="Q14" s="729">
        <v>1174096.5448756788</v>
      </c>
      <c r="R14" s="728">
        <v>1230811.2491908034</v>
      </c>
      <c r="S14" s="729">
        <v>807017.3516922124</v>
      </c>
      <c r="T14" s="729">
        <v>1656833.7347814608</v>
      </c>
      <c r="U14" s="728">
        <v>889521.97989780549</v>
      </c>
      <c r="V14" s="729">
        <v>257889.01014344452</v>
      </c>
      <c r="W14" s="729">
        <v>1515653.1515446324</v>
      </c>
      <c r="X14" s="728">
        <v>1146320.9976655922</v>
      </c>
      <c r="Y14" s="729">
        <v>527732.65373626177</v>
      </c>
      <c r="Z14" s="729">
        <v>2009872.6127480885</v>
      </c>
      <c r="AA14" s="728">
        <v>2044219.9310376283</v>
      </c>
      <c r="AB14" s="729">
        <v>783346.10234980111</v>
      </c>
      <c r="AC14" s="729">
        <v>3545886.4190249681</v>
      </c>
    </row>
    <row r="15" spans="1:29" x14ac:dyDescent="0.35">
      <c r="A15" s="727" t="s">
        <v>40</v>
      </c>
      <c r="B15" s="736" t="s">
        <v>148</v>
      </c>
      <c r="C15" s="728">
        <v>23944.892227883298</v>
      </c>
      <c r="D15" s="729">
        <v>4909.1894401614918</v>
      </c>
      <c r="E15" s="729">
        <v>70655.443037127116</v>
      </c>
      <c r="F15" s="728">
        <v>34800.093171867105</v>
      </c>
      <c r="G15" s="729">
        <v>7161.9326078854801</v>
      </c>
      <c r="H15" s="729">
        <v>82394.631448942397</v>
      </c>
      <c r="I15" s="728">
        <v>58744.985399750403</v>
      </c>
      <c r="J15" s="729">
        <v>12071.122048046971</v>
      </c>
      <c r="K15" s="729">
        <v>153050.0744860695</v>
      </c>
      <c r="L15" s="728">
        <v>74866.412415175815</v>
      </c>
      <c r="M15" s="729">
        <v>15078.991739774565</v>
      </c>
      <c r="N15" s="729">
        <v>164321.49066365886</v>
      </c>
      <c r="O15" s="728">
        <v>58052.045514065772</v>
      </c>
      <c r="P15" s="729">
        <v>11859.900119696251</v>
      </c>
      <c r="Q15" s="729">
        <v>568720.13353077555</v>
      </c>
      <c r="R15" s="728">
        <v>132918.45792924159</v>
      </c>
      <c r="S15" s="729">
        <v>26938.891859470816</v>
      </c>
      <c r="T15" s="729">
        <v>733041.62419443449</v>
      </c>
      <c r="U15" s="728">
        <v>34190.891535010269</v>
      </c>
      <c r="V15" s="729">
        <v>6955.4713840665545</v>
      </c>
      <c r="W15" s="729">
        <v>89502.136057149328</v>
      </c>
      <c r="X15" s="728">
        <v>39978.443988978841</v>
      </c>
      <c r="Y15" s="729">
        <v>8208.198467436494</v>
      </c>
      <c r="Z15" s="729">
        <v>190702.27048178611</v>
      </c>
      <c r="AA15" s="728">
        <v>73755.705782081379</v>
      </c>
      <c r="AB15" s="729">
        <v>15079.959678770152</v>
      </c>
      <c r="AC15" s="729">
        <v>270424.79997604259</v>
      </c>
    </row>
    <row r="16" spans="1:29" x14ac:dyDescent="0.35">
      <c r="A16" s="727" t="s">
        <v>41</v>
      </c>
      <c r="B16" s="736" t="s">
        <v>150</v>
      </c>
      <c r="C16" s="728">
        <v>10.430361298514326</v>
      </c>
      <c r="D16" s="729">
        <v>2.0860722597028651</v>
      </c>
      <c r="E16" s="729">
        <v>23.281057771984798</v>
      </c>
      <c r="F16" s="728"/>
      <c r="G16" s="729">
        <v>0</v>
      </c>
      <c r="H16" s="729">
        <v>0</v>
      </c>
      <c r="I16" s="728">
        <v>10.430361298514326</v>
      </c>
      <c r="J16" s="729">
        <v>2.0860722597028651</v>
      </c>
      <c r="K16" s="729">
        <v>23.281057771984798</v>
      </c>
      <c r="L16" s="728">
        <v>6.9454442271031356</v>
      </c>
      <c r="M16" s="729">
        <v>1.3890888454206272</v>
      </c>
      <c r="N16" s="729">
        <v>8.9224048521022414</v>
      </c>
      <c r="O16" s="728"/>
      <c r="P16" s="729">
        <v>0</v>
      </c>
      <c r="Q16" s="729">
        <v>0</v>
      </c>
      <c r="R16" s="728">
        <v>7.7738705287898764</v>
      </c>
      <c r="S16" s="729">
        <v>1.5547741057579754</v>
      </c>
      <c r="T16" s="729">
        <v>9.0880901124395894</v>
      </c>
      <c r="U16" s="728">
        <v>9.7291556438570534</v>
      </c>
      <c r="V16" s="729">
        <v>1.9458311287714107</v>
      </c>
      <c r="W16" s="729">
        <v>20.39193059496256</v>
      </c>
      <c r="X16" s="728"/>
      <c r="Y16" s="729">
        <v>0</v>
      </c>
      <c r="Z16" s="729">
        <v>0</v>
      </c>
      <c r="AA16" s="728">
        <v>9.8927588540996823</v>
      </c>
      <c r="AB16" s="729">
        <v>1.9785517708199365</v>
      </c>
      <c r="AC16" s="729">
        <v>20.408781988372365</v>
      </c>
    </row>
    <row r="17" spans="1:29" x14ac:dyDescent="0.35">
      <c r="A17" s="727" t="s">
        <v>207</v>
      </c>
      <c r="B17" s="736" t="s">
        <v>150</v>
      </c>
      <c r="C17" s="730" t="s">
        <v>128</v>
      </c>
      <c r="D17" s="729" t="s">
        <v>128</v>
      </c>
      <c r="E17" s="729" t="s">
        <v>128</v>
      </c>
      <c r="F17" s="730" t="s">
        <v>128</v>
      </c>
      <c r="G17" s="729" t="s">
        <v>128</v>
      </c>
      <c r="H17" s="729" t="s">
        <v>128</v>
      </c>
      <c r="I17" s="730" t="s">
        <v>128</v>
      </c>
      <c r="J17" s="729" t="s">
        <v>128</v>
      </c>
      <c r="K17" s="729" t="s">
        <v>128</v>
      </c>
      <c r="L17" s="730" t="s">
        <v>128</v>
      </c>
      <c r="M17" s="729" t="s">
        <v>128</v>
      </c>
      <c r="N17" s="729" t="s">
        <v>128</v>
      </c>
      <c r="O17" s="730" t="s">
        <v>128</v>
      </c>
      <c r="P17" s="729" t="s">
        <v>128</v>
      </c>
      <c r="Q17" s="729" t="s">
        <v>128</v>
      </c>
      <c r="R17" s="730" t="s">
        <v>128</v>
      </c>
      <c r="S17" s="729" t="s">
        <v>128</v>
      </c>
      <c r="T17" s="729" t="s">
        <v>128</v>
      </c>
      <c r="U17" s="730" t="s">
        <v>128</v>
      </c>
      <c r="V17" s="729" t="s">
        <v>128</v>
      </c>
      <c r="W17" s="729" t="s">
        <v>128</v>
      </c>
      <c r="X17" s="730" t="s">
        <v>128</v>
      </c>
      <c r="Y17" s="729" t="s">
        <v>128</v>
      </c>
      <c r="Z17" s="729" t="s">
        <v>128</v>
      </c>
      <c r="AA17" s="730" t="s">
        <v>128</v>
      </c>
      <c r="AB17" s="729" t="s">
        <v>128</v>
      </c>
      <c r="AC17" s="729" t="s">
        <v>128</v>
      </c>
    </row>
    <row r="18" spans="1:29" x14ac:dyDescent="0.35">
      <c r="A18" s="727" t="s">
        <v>153</v>
      </c>
      <c r="B18" s="736" t="s">
        <v>155</v>
      </c>
      <c r="C18" s="728">
        <v>6279.0434260942666</v>
      </c>
      <c r="D18" s="729">
        <v>1260.9026855207881</v>
      </c>
      <c r="E18" s="729">
        <v>19718.435567590692</v>
      </c>
      <c r="F18" s="728">
        <v>4462.0584048562123</v>
      </c>
      <c r="G18" s="729">
        <v>950.2927961290693</v>
      </c>
      <c r="H18" s="729">
        <v>11546.742837728001</v>
      </c>
      <c r="I18" s="728">
        <v>10741.10183095048</v>
      </c>
      <c r="J18" s="729">
        <v>2211.1954816498574</v>
      </c>
      <c r="K18" s="729">
        <v>31265.178405318693</v>
      </c>
      <c r="L18" s="730">
        <v>12175.577020786495</v>
      </c>
      <c r="M18" s="729">
        <v>2439.5948861515003</v>
      </c>
      <c r="N18" s="729">
        <v>58396.814245856149</v>
      </c>
      <c r="O18" s="728">
        <v>16565.100714813711</v>
      </c>
      <c r="P18" s="729">
        <v>3384.5398007054555</v>
      </c>
      <c r="Q18" s="729">
        <v>82845.709318912588</v>
      </c>
      <c r="R18" s="728">
        <v>28740.677735600206</v>
      </c>
      <c r="S18" s="729">
        <v>5824.1346868569563</v>
      </c>
      <c r="T18" s="729">
        <v>141242.52356476872</v>
      </c>
      <c r="U18" s="728">
        <v>7465.4942410631475</v>
      </c>
      <c r="V18" s="729">
        <v>1498.0692003176505</v>
      </c>
      <c r="W18" s="729">
        <v>27500.973081802593</v>
      </c>
      <c r="X18" s="728">
        <v>7157.4793360940248</v>
      </c>
      <c r="Y18" s="729">
        <v>1492.414368532395</v>
      </c>
      <c r="Z18" s="729">
        <v>27425.45512405091</v>
      </c>
      <c r="AA18" s="728">
        <v>14383.732972398169</v>
      </c>
      <c r="AB18" s="729">
        <v>2942.3574229512042</v>
      </c>
      <c r="AC18" s="729">
        <v>53521.641804996216</v>
      </c>
    </row>
    <row r="19" spans="1:29" x14ac:dyDescent="0.35">
      <c r="A19" s="727" t="s">
        <v>156</v>
      </c>
      <c r="B19" s="736" t="s">
        <v>155</v>
      </c>
      <c r="C19" s="728">
        <v>3971.7253201438407</v>
      </c>
      <c r="D19" s="729">
        <v>794.34506402876821</v>
      </c>
      <c r="E19" s="729">
        <v>6442.0761770675635</v>
      </c>
      <c r="F19" s="728">
        <v>4503.4754256625984</v>
      </c>
      <c r="G19" s="729">
        <v>900.69508513251969</v>
      </c>
      <c r="H19" s="729">
        <v>5146.0362691325199</v>
      </c>
      <c r="I19" s="728">
        <v>8475.20074580644</v>
      </c>
      <c r="J19" s="729">
        <v>1695.0401491612881</v>
      </c>
      <c r="K19" s="729">
        <v>11588.112446200084</v>
      </c>
      <c r="L19" s="728">
        <v>1868.5775784075122</v>
      </c>
      <c r="M19" s="729">
        <v>373.71551568150244</v>
      </c>
      <c r="N19" s="729">
        <v>3168.1150382902583</v>
      </c>
      <c r="O19" s="728">
        <v>8741.0310608699237</v>
      </c>
      <c r="P19" s="729">
        <v>1748.2062121739848</v>
      </c>
      <c r="Q19" s="729">
        <v>26476.796578851834</v>
      </c>
      <c r="R19" s="728">
        <v>10609.608639277436</v>
      </c>
      <c r="S19" s="729">
        <v>2121.9217278554875</v>
      </c>
      <c r="T19" s="729">
        <v>29644.91161714209</v>
      </c>
      <c r="U19" s="728">
        <v>3548.547649379927</v>
      </c>
      <c r="V19" s="729">
        <v>709.70952987598548</v>
      </c>
      <c r="W19" s="729">
        <v>5783.3172979906558</v>
      </c>
      <c r="X19" s="728">
        <v>5447.2047677492064</v>
      </c>
      <c r="Y19" s="729">
        <v>1089.4409535498414</v>
      </c>
      <c r="Z19" s="729">
        <v>9896.5259679689207</v>
      </c>
      <c r="AA19" s="728">
        <v>8907.1476262493707</v>
      </c>
      <c r="AB19" s="729">
        <v>1781.4295252498741</v>
      </c>
      <c r="AC19" s="729">
        <v>15242.324041149335</v>
      </c>
    </row>
    <row r="20" spans="1:29" x14ac:dyDescent="0.35">
      <c r="A20" s="727" t="s">
        <v>158</v>
      </c>
      <c r="B20" s="491" t="s">
        <v>160</v>
      </c>
      <c r="C20" s="728">
        <v>672.10315628825492</v>
      </c>
      <c r="D20" s="729">
        <v>406.50008741003899</v>
      </c>
      <c r="E20" s="729">
        <v>749.2310202987469</v>
      </c>
      <c r="F20" s="728">
        <v>790.8630239888322</v>
      </c>
      <c r="G20" s="729">
        <v>415.355202673468</v>
      </c>
      <c r="H20" s="729">
        <v>1370.9181746711997</v>
      </c>
      <c r="I20" s="728">
        <v>1462.966180277087</v>
      </c>
      <c r="J20" s="729">
        <v>821.85529008350704</v>
      </c>
      <c r="K20" s="729">
        <v>2120.1491949699466</v>
      </c>
      <c r="L20" s="728">
        <v>412.03996746513093</v>
      </c>
      <c r="M20" s="729">
        <v>301.18704225704005</v>
      </c>
      <c r="N20" s="729">
        <v>554.82300226027087</v>
      </c>
      <c r="O20" s="728">
        <v>1577.4663968903794</v>
      </c>
      <c r="P20" s="729">
        <v>1472.5178930767063</v>
      </c>
      <c r="Q20" s="729">
        <v>1972.0794496131571</v>
      </c>
      <c r="R20" s="728">
        <v>1989.5063643555104</v>
      </c>
      <c r="S20" s="729">
        <v>1773.7049353337463</v>
      </c>
      <c r="T20" s="729">
        <v>2526.9024518734282</v>
      </c>
      <c r="U20" s="728">
        <v>619.77543231830339</v>
      </c>
      <c r="V20" s="729">
        <v>385.30988366709704</v>
      </c>
      <c r="W20" s="729">
        <v>710.11387668646262</v>
      </c>
      <c r="X20" s="728">
        <v>966.04436613424684</v>
      </c>
      <c r="Y20" s="729">
        <v>650.79174585502915</v>
      </c>
      <c r="Z20" s="729">
        <v>1504.8004368355673</v>
      </c>
      <c r="AA20" s="728">
        <v>1569.5237837399663</v>
      </c>
      <c r="AB20" s="729">
        <v>1014.4841152364811</v>
      </c>
      <c r="AC20" s="729">
        <v>2202.4651388749994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4FC01D362D705468A9A04E1BDD1AF4F" ma:contentTypeVersion="16" ma:contentTypeDescription="Create a new document." ma:contentTypeScope="" ma:versionID="958a64e6385824edb31cd998376f84e9">
  <xsd:schema xmlns:xsd="http://www.w3.org/2001/XMLSchema" xmlns:xs="http://www.w3.org/2001/XMLSchema" xmlns:p="http://schemas.microsoft.com/office/2006/metadata/properties" xmlns:ns2="bfbe784a-e0c6-4ea9-9781-6c8c16097d8e" xmlns:ns3="92ad2485-a57d-43a2-8242-b6eab527539c" targetNamespace="http://schemas.microsoft.com/office/2006/metadata/properties" ma:root="true" ma:fieldsID="89b3fde768a14c5baced3b901db4b26f" ns2:_="" ns3:_="">
    <xsd:import namespace="bfbe784a-e0c6-4ea9-9781-6c8c16097d8e"/>
    <xsd:import namespace="92ad2485-a57d-43a2-8242-b6eab52753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e784a-e0c6-4ea9-9781-6c8c16097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c3ba164-6ba9-408a-aa83-927dd8aac5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ad2485-a57d-43a2-8242-b6eab52753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9f68036-0b08-4b00-84da-972e9edfd660}" ma:internalName="TaxCatchAll" ma:showField="CatchAllData" ma:web="92ad2485-a57d-43a2-8242-b6eab52753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2ad2485-a57d-43a2-8242-b6eab527539c" xsi:nil="true"/>
    <lcf76f155ced4ddcb4097134ff3c332f xmlns="bfbe784a-e0c6-4ea9-9781-6c8c16097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84ED35-4B1D-48F4-8402-EB65DD2CB45B}">
  <ds:schemaRefs>
    <ds:schemaRef ds:uri="http://schemas.microsoft.com/sharepoint/v3/contenttype/forms"/>
  </ds:schemaRefs>
</ds:datastoreItem>
</file>

<file path=customXml/itemProps2.xml><?xml version="1.0" encoding="utf-8"?>
<ds:datastoreItem xmlns:ds="http://schemas.openxmlformats.org/officeDocument/2006/customXml" ds:itemID="{6F243163-A37C-4C28-A5ED-7644241E5DF0}"/>
</file>

<file path=customXml/itemProps3.xml><?xml version="1.0" encoding="utf-8"?>
<ds:datastoreItem xmlns:ds="http://schemas.openxmlformats.org/officeDocument/2006/customXml" ds:itemID="{0A9E276B-3B81-47E7-A72B-7A4B482D4092}">
  <ds:schemaRefs>
    <ds:schemaRef ds:uri="http://schemas.microsoft.com/office/2006/metadata/properties"/>
    <ds:schemaRef ds:uri="http://purl.org/dc/terms/"/>
    <ds:schemaRef ds:uri="http://schemas.openxmlformats.org/package/2006/metadata/core-properties"/>
    <ds:schemaRef ds:uri="cf5a4d3b-7f32-4ec2-88f5-2249cb9df255"/>
    <ds:schemaRef ds:uri="http://schemas.microsoft.com/office/2006/documentManagement/types"/>
    <ds:schemaRef ds:uri="7c9ebb0a-db94-4386-aa3e-efac45cac476"/>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629</vt:i4>
      </vt:variant>
    </vt:vector>
  </HeadingPairs>
  <TitlesOfParts>
    <vt:vector size="660" baseType="lpstr">
      <vt:lpstr>Front</vt:lpstr>
      <vt:lpstr>Notes</vt:lpstr>
      <vt:lpstr>General Inputs</vt:lpstr>
      <vt:lpstr>WTP Main</vt:lpstr>
      <vt:lpstr>WTP Summary</vt:lpstr>
      <vt:lpstr>Sources</vt:lpstr>
      <vt:lpstr>WTA ODI SSC</vt:lpstr>
      <vt:lpstr>WTA ODI National</vt:lpstr>
      <vt:lpstr>Pre-PR24 summary</vt:lpstr>
      <vt:lpstr>WTP PR24 SSC</vt:lpstr>
      <vt:lpstr>WTP PR24 WWYW</vt:lpstr>
      <vt:lpstr>WRMP MCDA</vt:lpstr>
      <vt:lpstr>SRO</vt:lpstr>
      <vt:lpstr>PR19 Summary</vt:lpstr>
      <vt:lpstr>WRMP online</vt:lpstr>
      <vt:lpstr>WRMP workshops</vt:lpstr>
      <vt:lpstr>WTP core_DCE</vt:lpstr>
      <vt:lpstr>WTPCore_DCE2</vt:lpstr>
      <vt:lpstr>WTPCore_DCE2_LowBill</vt:lpstr>
      <vt:lpstr>WTP core_Maxdiff</vt:lpstr>
      <vt:lpstr>Customer priorities (2022)</vt:lpstr>
      <vt:lpstr>Contacts (2022)</vt:lpstr>
      <vt:lpstr>Satisfaction (2022)</vt:lpstr>
      <vt:lpstr>PC Slider</vt:lpstr>
      <vt:lpstr>WTPPR14</vt:lpstr>
      <vt:lpstr>ExternalWTP14</vt:lpstr>
      <vt:lpstr>ExternalWTP14_HH</vt:lpstr>
      <vt:lpstr>ExternalWTP14_NHH</vt:lpstr>
      <vt:lpstr>ExternalWTP19</vt:lpstr>
      <vt:lpstr>ExternalWTP19_HH</vt:lpstr>
      <vt:lpstr>ExternalWTP19_NHH</vt:lpstr>
      <vt:lpstr>AllProps_All</vt:lpstr>
      <vt:lpstr>AllProps_CAM</vt:lpstr>
      <vt:lpstr>AllProps_SSW</vt:lpstr>
      <vt:lpstr>AvgHHBill_CAM</vt:lpstr>
      <vt:lpstr>AvgHHBill_SSW</vt:lpstr>
      <vt:lpstr>AvgNHHBill_CAM</vt:lpstr>
      <vt:lpstr>AvgNHHBill_SSW</vt:lpstr>
      <vt:lpstr>CAM_bill_impact_leakage</vt:lpstr>
      <vt:lpstr>CAM_bill_impact_metering</vt:lpstr>
      <vt:lpstr>'Contacts (2022)'!CAM_Contacts_output_WTP</vt:lpstr>
      <vt:lpstr>CAM_HH_ODI</vt:lpstr>
      <vt:lpstr>CAM_HH_ODI_National</vt:lpstr>
      <vt:lpstr>CAM_HH_PR24</vt:lpstr>
      <vt:lpstr>CAM_HH_PR24_WWYW</vt:lpstr>
      <vt:lpstr>CAM_MAXWTP_ALL</vt:lpstr>
      <vt:lpstr>CAM_MAXWTP_HH</vt:lpstr>
      <vt:lpstr>CAM_MAXWTP_NHH</vt:lpstr>
      <vt:lpstr>CAM_MINWTP_ALL</vt:lpstr>
      <vt:lpstr>CAM_MINWTP_HH</vt:lpstr>
      <vt:lpstr>CAM_MINWTP_NHH</vt:lpstr>
      <vt:lpstr>CAM_NHH_ODI</vt:lpstr>
      <vt:lpstr>CAM_NHH_ODI_National</vt:lpstr>
      <vt:lpstr>CAM_NHH_PR24</vt:lpstr>
      <vt:lpstr>CAM_NHH_PR24_WWYW</vt:lpstr>
      <vt:lpstr>CAM_PC_Slider_output_WTP</vt:lpstr>
      <vt:lpstr>'Customer priorities (2022)'!CAM_Priorities_output_WRMP</vt:lpstr>
      <vt:lpstr>'Customer priorities (2022)'!CAM_Priorities_output_WTP</vt:lpstr>
      <vt:lpstr>'Satisfaction (2022)'!CAM_Satisfaction_output_WTP</vt:lpstr>
      <vt:lpstr>CAM_WRMP_online_Combined</vt:lpstr>
      <vt:lpstr>CAM_WRMP_Online_UnitValues</vt:lpstr>
      <vt:lpstr>CAM_WRMP_workshop_Combined</vt:lpstr>
      <vt:lpstr>CAM_WRMP_Workshop_UnitValues</vt:lpstr>
      <vt:lpstr>CAM_WTP_ALL</vt:lpstr>
      <vt:lpstr>CAM_WTP_DCE_output_WRMP</vt:lpstr>
      <vt:lpstr>CAM_WTP_HH</vt:lpstr>
      <vt:lpstr>CAM_WTP_Maxdiff_output_WRMP</vt:lpstr>
      <vt:lpstr>CAM_WTP_NHH</vt:lpstr>
      <vt:lpstr>CAM_WTPCore_Bursts_Levels</vt:lpstr>
      <vt:lpstr>CAM_WTPCore_Bursts_LevelValues</vt:lpstr>
      <vt:lpstr>CAM_WTPCore_Bursts_MaxDiffUIndex</vt:lpstr>
      <vt:lpstr>CAM_WTPCore_Bursts_UnitValues</vt:lpstr>
      <vt:lpstr>CAM_WTPCore_Discolour_Levels</vt:lpstr>
      <vt:lpstr>CAM_WTPCore_Discolour_LevelValues</vt:lpstr>
      <vt:lpstr>CAM_WTPCore_Discolour_MaxDiffUIndex</vt:lpstr>
      <vt:lpstr>CAM_WTPCore_Discolour_UnitValues</vt:lpstr>
      <vt:lpstr>CAM_WTPCore_Drought_Levels</vt:lpstr>
      <vt:lpstr>CAM_WTPCore_Drought_LevelValues</vt:lpstr>
      <vt:lpstr>CAM_WTPCore_Drought_MaxDiffUIndex</vt:lpstr>
      <vt:lpstr>CAM_WTPCore_Drought_UnitValues</vt:lpstr>
      <vt:lpstr>CAM_WTPCore_Hardness_Levels</vt:lpstr>
      <vt:lpstr>CAM_WTPCore_Hardness_LevelValues</vt:lpstr>
      <vt:lpstr>CAM_WTPCore_Hardness_MaxDiffUIndex</vt:lpstr>
      <vt:lpstr>CAM_WTPCore_Hardness_UnitValues</vt:lpstr>
      <vt:lpstr>CAM_WTPCore_ImpactRivers_Levels</vt:lpstr>
      <vt:lpstr>CAM_WTPCore_ImpactRivers_LevelValues</vt:lpstr>
      <vt:lpstr>CAM_WTPCore_ImpactRivers_MaxDiffUIndex</vt:lpstr>
      <vt:lpstr>CAM_WTPCore_ImpactRivers_UnitValues</vt:lpstr>
      <vt:lpstr>CAM_WTPCore_Interruptions_Levels</vt:lpstr>
      <vt:lpstr>CAM_WTPCore_Interruptions_LevelValues</vt:lpstr>
      <vt:lpstr>CAM_WTPCore_Interruptions_MaxDiffUIndex</vt:lpstr>
      <vt:lpstr>CAM_WTPCore_Interruptions_UnitValues</vt:lpstr>
      <vt:lpstr>CAM_WTPCore_Lead_Levels</vt:lpstr>
      <vt:lpstr>CAM_WTPCore_Lead_LevelValues</vt:lpstr>
      <vt:lpstr>CAM_WTPCore_Lead_MaxDiffUIndex</vt:lpstr>
      <vt:lpstr>CAM_WTPCore_Lead_UnitValues</vt:lpstr>
      <vt:lpstr>CAM_WTPCore_Leakage_Levels</vt:lpstr>
      <vt:lpstr>CAM_WTPCore_Leakage_LevelValues</vt:lpstr>
      <vt:lpstr>CAM_WTPCore_Leakage_MaxDiffUIndex</vt:lpstr>
      <vt:lpstr>CAM_WTPCore_Leakage_UnitValues</vt:lpstr>
      <vt:lpstr>CAM_WTPCore_LowPressure_Levels</vt:lpstr>
      <vt:lpstr>CAM_WTPCore_LowPressure_LevelValues</vt:lpstr>
      <vt:lpstr>CAM_WTPCore_LowPressure_MaxDiffUIndex</vt:lpstr>
      <vt:lpstr>CAM_WTPCore_LowPressure_UnitValues</vt:lpstr>
      <vt:lpstr>CAM_WTPCore_Metering_Levels</vt:lpstr>
      <vt:lpstr>CAM_WTPCore_Metering_LevelValues</vt:lpstr>
      <vt:lpstr>CAM_WTPCore_Metering_MaxDiffUIndex</vt:lpstr>
      <vt:lpstr>CAM_WTPCore_Metering_UnitValues</vt:lpstr>
      <vt:lpstr>CAM_WTPCore_NotSafe_Levels</vt:lpstr>
      <vt:lpstr>CAM_WTPCore_NotSafe_LevelValues</vt:lpstr>
      <vt:lpstr>CAM_WTPCore_NotSafe_MaxDiffUIndex</vt:lpstr>
      <vt:lpstr>CAM_WTPCore_NotSafe_UnitValues</vt:lpstr>
      <vt:lpstr>CAM_WTPCore_Renewables_Levels</vt:lpstr>
      <vt:lpstr>CAM_WTPCore_Renewables_LevelValues</vt:lpstr>
      <vt:lpstr>CAM_WTPCore_Renewables_MaxDiffUIndex</vt:lpstr>
      <vt:lpstr>CAM_WTPCore_Renewables_UnitValues</vt:lpstr>
      <vt:lpstr>CAM_WTPCore_SmartMetering_Levels</vt:lpstr>
      <vt:lpstr>CAM_WTPCore_SmartMetering_LevelValues</vt:lpstr>
      <vt:lpstr>CAM_WTPCore_SmartMetering_MaxDiffUIndex</vt:lpstr>
      <vt:lpstr>CAM_WTPCore_SmartMetering_UnitValues</vt:lpstr>
      <vt:lpstr>CAM_WTPCore_TasteSmell_Levels</vt:lpstr>
      <vt:lpstr>CAM_WTPCore_TasteSmell_LevelValues</vt:lpstr>
      <vt:lpstr>CAM_WTPCore_TasteSmell_MaxDiffUIndex</vt:lpstr>
      <vt:lpstr>CAM_WTPCore_TasteSmell_UnitValues</vt:lpstr>
      <vt:lpstr>CAM_WTPCore_TempBan_Levels</vt:lpstr>
      <vt:lpstr>CAM_WTPCore_TempBan_LevelValues</vt:lpstr>
      <vt:lpstr>CAM_WTPCore_TempBan_MaxDiffUIndex</vt:lpstr>
      <vt:lpstr>CAM_WTPCore_TempBan_UnitValues</vt:lpstr>
      <vt:lpstr>CAM_WTPCore_Traffic_Levels</vt:lpstr>
      <vt:lpstr>CAM_WTPCore_Traffic_LevelValues</vt:lpstr>
      <vt:lpstr>CAM_WTPCore_Traffic_MaxDiffUIndex</vt:lpstr>
      <vt:lpstr>CAM_WTPCore_Traffic_UnitValues</vt:lpstr>
      <vt:lpstr>CAM_WTPCore_Wildlife_Levels</vt:lpstr>
      <vt:lpstr>CAM_WTPCore_Wildlife_LevelValues</vt:lpstr>
      <vt:lpstr>CAM_WTPCore_Wildlife_MaxDiffUIndex</vt:lpstr>
      <vt:lpstr>CAM_WTPCore_Wildlife_UnitValues</vt:lpstr>
      <vt:lpstr>CAM_WTPCore2_Bursts_Levels</vt:lpstr>
      <vt:lpstr>CAM_WTPCore2_Bursts_LevelValues</vt:lpstr>
      <vt:lpstr>CAM_WTPCore2_Bursts_UnitValues</vt:lpstr>
      <vt:lpstr>CAM_WTPCore2_Community_UnitValues</vt:lpstr>
      <vt:lpstr>CAM_WTPCore2_Discolour_Levels</vt:lpstr>
      <vt:lpstr>CAM_WTPCore2_Discolour_LevelValues</vt:lpstr>
      <vt:lpstr>CAM_WTPCore2_Discolour_UnitValues</vt:lpstr>
      <vt:lpstr>CAM_WTPCore2_Educating_UnitValues</vt:lpstr>
      <vt:lpstr>CAM_WTPCore2_Hardness_Levels</vt:lpstr>
      <vt:lpstr>CAM_WTPCore2_Hardness_LevelValues</vt:lpstr>
      <vt:lpstr>CAM_WTPCore2_Hardness_UnitValues</vt:lpstr>
      <vt:lpstr>CAM_WTPCore2_ImpactRivers_Levels</vt:lpstr>
      <vt:lpstr>CAM_WTPCore2_ImpactRivers_LevelValues</vt:lpstr>
      <vt:lpstr>CAM_WTPCore2_ImpactRivers_UnitValues</vt:lpstr>
      <vt:lpstr>CAM_WTPCore2_Interruptions_Levels</vt:lpstr>
      <vt:lpstr>CAM_WTPCore2_Interruptions_LevelValues</vt:lpstr>
      <vt:lpstr>CAM_WTPCore2_Interruptions_UnitValues</vt:lpstr>
      <vt:lpstr>CAM_WTPCore2_Lead_Levels</vt:lpstr>
      <vt:lpstr>CAM_WTPCore2_Lead_LevelValues</vt:lpstr>
      <vt:lpstr>CAM_WTPCore2_Lead_UnitValues</vt:lpstr>
      <vt:lpstr>CAM_WTPCore2_Leakage_Levels</vt:lpstr>
      <vt:lpstr>CAM_WTPCore2_Leakage_LevelValues</vt:lpstr>
      <vt:lpstr>CAM_WTPCore2_Leakage_UnitValues</vt:lpstr>
      <vt:lpstr>CAM_WTPCore2_LowBill_Bursts_UnitValues</vt:lpstr>
      <vt:lpstr>CAM_WTPCore2_LowBill_Discolour_UnitValues</vt:lpstr>
      <vt:lpstr>CAM_WTPCore2_LowBill_Hardness_UnitValues</vt:lpstr>
      <vt:lpstr>CAM_WTPCore2_LowBill_ImpactRivers_UnitValues</vt:lpstr>
      <vt:lpstr>CAM_WTPCore2_LowBill_Interruptions_UnitValues</vt:lpstr>
      <vt:lpstr>CAM_WTPCore2_LowBill_Lead_UnitValues</vt:lpstr>
      <vt:lpstr>CAM_WTPCore2_LowBill_Leakage_UnitValues</vt:lpstr>
      <vt:lpstr>CAM_WTPCore2_LowBill_LowPressure_UnitValues</vt:lpstr>
      <vt:lpstr>CAM_WTPCore2_LowBill_Metering_UnitValues</vt:lpstr>
      <vt:lpstr>CAM_WTPCore2_LowBill_NotSafe_UnitValues</vt:lpstr>
      <vt:lpstr>CAM_WTPCore2_LowBill_Renewables_UnitValues</vt:lpstr>
      <vt:lpstr>CAM_WTPCore2_LowBill_TasteSmell_UnitValues</vt:lpstr>
      <vt:lpstr>CAM_WTPCore2_LowBill_TempBan_UnitValues</vt:lpstr>
      <vt:lpstr>CAM_WTPCore2_LowBill_Wildlife_UnitValues</vt:lpstr>
      <vt:lpstr>CAM_WTPCore2_LowPressure_Levels</vt:lpstr>
      <vt:lpstr>CAM_WTPCore2_LowPressure_LevelValues</vt:lpstr>
      <vt:lpstr>CAM_WTPCore2_LowPressure_UnitValues</vt:lpstr>
      <vt:lpstr>CAM_WTPCore2_Metering_Levels</vt:lpstr>
      <vt:lpstr>CAM_WTPCore2_Metering_LevelValues</vt:lpstr>
      <vt:lpstr>CAM_WTPCore2_Metering_UnitValues</vt:lpstr>
      <vt:lpstr>CAM_WTPCore2_NotSafe_Levels</vt:lpstr>
      <vt:lpstr>CAM_WTPCore2_NotSafe_LevelValues</vt:lpstr>
      <vt:lpstr>CAM_WTPCore2_NotSafe_UnitValues</vt:lpstr>
      <vt:lpstr>CAM_WTPCore2_Renewables_Levels</vt:lpstr>
      <vt:lpstr>CAM_WTPCore2_Renewables_LevelValues</vt:lpstr>
      <vt:lpstr>CAM_WTPCore2_Renewables_UnitValues</vt:lpstr>
      <vt:lpstr>CAM_WTPCore2_Supporting_UnitValues</vt:lpstr>
      <vt:lpstr>CAM_WTPCore2_TasteSmell_Levels</vt:lpstr>
      <vt:lpstr>CAM_WTPCore2_TasteSmell_LevelValues</vt:lpstr>
      <vt:lpstr>CAM_WTPCore2_TasteSmell_UnitValues</vt:lpstr>
      <vt:lpstr>CAM_WTPCore2_TempBan_Levels</vt:lpstr>
      <vt:lpstr>CAM_WTPCore2_TempBan_LevelValues</vt:lpstr>
      <vt:lpstr>CAM_WTPCore2_TempBan_UnitValues</vt:lpstr>
      <vt:lpstr>CAM_WTPCore2_Wildlife_Levels</vt:lpstr>
      <vt:lpstr>CAM_WTPCore2_Wildlife_LevelValues</vt:lpstr>
      <vt:lpstr>CAM_WTPCore2_Wildlife_UnitValues</vt:lpstr>
      <vt:lpstr>CAM_WTPMaxdiff_WTP_NHH_Unitvalues</vt:lpstr>
      <vt:lpstr>CAM_WTPMaxdiff_WTP_Unitvalues</vt:lpstr>
      <vt:lpstr>'Contacts (2022)'!Contacts_WTP_options</vt:lpstr>
      <vt:lpstr>'Contacts (2022)'!Customer_Contacts</vt:lpstr>
      <vt:lpstr>'Customer priorities (2022)'!Customer_priorities</vt:lpstr>
      <vt:lpstr>'Satisfaction (2022)'!Customer_Satisfaction</vt:lpstr>
      <vt:lpstr>Ext_WTP_Unitvalue_groups</vt:lpstr>
      <vt:lpstr>External_WTP</vt:lpstr>
      <vt:lpstr>ExtWTP_Comps_Discolour</vt:lpstr>
      <vt:lpstr>ExtWTP_Comps_Hardness</vt:lpstr>
      <vt:lpstr>ExtWTP_Comps_ImpactRivers</vt:lpstr>
      <vt:lpstr>ExtWTP_Comps_Interruptions1224</vt:lpstr>
      <vt:lpstr>ExtWTP_Comps_Interruptions3</vt:lpstr>
      <vt:lpstr>ExtWTP_Comps_Interruptions36</vt:lpstr>
      <vt:lpstr>ExtWTP_Comps_Interruptions612</vt:lpstr>
      <vt:lpstr>ExtWTP_Comps_Leakage</vt:lpstr>
      <vt:lpstr>ExtWTP_Comps_LowPressure</vt:lpstr>
      <vt:lpstr>ExtWTP_Comps_NEUseBan</vt:lpstr>
      <vt:lpstr>ExtWTP_Comps_TasteSmell</vt:lpstr>
      <vt:lpstr>ExtWTP_Comps_TempBan</vt:lpstr>
      <vt:lpstr>ExtWTP_Discolour_UnitValues</vt:lpstr>
      <vt:lpstr>ExtWTP_Group</vt:lpstr>
      <vt:lpstr>ExtWTP_Hardness_UnitValues</vt:lpstr>
      <vt:lpstr>ExtWTP_ImpactRivers_UnitValues</vt:lpstr>
      <vt:lpstr>ExtWTP_Interruptions1224_UnitValues</vt:lpstr>
      <vt:lpstr>ExtWTP_Interruptions3_UnitValues</vt:lpstr>
      <vt:lpstr>ExtWTP_Interruptions36_UnitValues</vt:lpstr>
      <vt:lpstr>ExtWTP_Interruptions612_UnitValues</vt:lpstr>
      <vt:lpstr>ExtWTP_Leakage_UnitValues</vt:lpstr>
      <vt:lpstr>ExtWTP_LowPressure_UnitValues</vt:lpstr>
      <vt:lpstr>ExtWTP_NEUseBan_UnitValues</vt:lpstr>
      <vt:lpstr>ExtWTP_TasteSmell_UnitValues</vt:lpstr>
      <vt:lpstr>ExtWTP_TempBan_UnitValues</vt:lpstr>
      <vt:lpstr>ExtWTP19_Comps_Discolour</vt:lpstr>
      <vt:lpstr>ExtWTP19_Comps_Drought</vt:lpstr>
      <vt:lpstr>ExtWTP19_Comps_Interruptions1224</vt:lpstr>
      <vt:lpstr>ExtWTP19_Comps_Interruptions3</vt:lpstr>
      <vt:lpstr>ExtWTP19_Comps_Interruptions36</vt:lpstr>
      <vt:lpstr>ExtWTP19_Comps_Interruptions48</vt:lpstr>
      <vt:lpstr>ExtWTP19_Comps_Interruptions612</vt:lpstr>
      <vt:lpstr>ExtWTP19_Comps_Leakage</vt:lpstr>
      <vt:lpstr>ExtWTP19_Comps_LowPressure</vt:lpstr>
      <vt:lpstr>ExtWTP19_Comps_Metering</vt:lpstr>
      <vt:lpstr>ExtWTP19_Comps_NEUseBan</vt:lpstr>
      <vt:lpstr>ExtWTP19_Comps_NotSafe</vt:lpstr>
      <vt:lpstr>ExtWTP19_Comps_SmartMetering</vt:lpstr>
      <vt:lpstr>ExtWTP19_Comps_TasteSmell</vt:lpstr>
      <vt:lpstr>ExtWTP19_Comps_TempBan</vt:lpstr>
      <vt:lpstr>ExtWTP19_Comps_Traffic</vt:lpstr>
      <vt:lpstr>ExtWTP19_Comps_Wildlife</vt:lpstr>
      <vt:lpstr>ExtWTP19_Discolour_UnitValues</vt:lpstr>
      <vt:lpstr>ExtWTP19_Drought_UnitValues</vt:lpstr>
      <vt:lpstr>ExtWTP19_Interruptions1224_UnitValues</vt:lpstr>
      <vt:lpstr>ExtWTP19_Interruptions3_UnitValues</vt:lpstr>
      <vt:lpstr>ExtWTP19_Interruptions36_UnitValues</vt:lpstr>
      <vt:lpstr>ExtWTP19_Interruptions48_UnitValues</vt:lpstr>
      <vt:lpstr>ExtWTP19_Interruptions612_UnitValues</vt:lpstr>
      <vt:lpstr>ExtWTP19_Leakage_UnitValues</vt:lpstr>
      <vt:lpstr>ExtWTP19_LowPressure_UnitValues</vt:lpstr>
      <vt:lpstr>ExtWTP19_Metering_UnitValues</vt:lpstr>
      <vt:lpstr>ExtWTP19_NEUseBan_UnitValues</vt:lpstr>
      <vt:lpstr>ExtWTP19_NotSafe_UnitValues</vt:lpstr>
      <vt:lpstr>ExtWTP19_SmartMetering_UnitValues</vt:lpstr>
      <vt:lpstr>ExtWTP19_TasteSmell_UnitValues</vt:lpstr>
      <vt:lpstr>ExtWTP19_TempBan_UnitValues</vt:lpstr>
      <vt:lpstr>ExtWTP19_Traffic_UnitValues</vt:lpstr>
      <vt:lpstr>ExtWTP19_Wildlife_UnitValues</vt:lpstr>
      <vt:lpstr>HHProps_All</vt:lpstr>
      <vt:lpstr>HHProps_CAM</vt:lpstr>
      <vt:lpstr>HHProps_SSW</vt:lpstr>
      <vt:lpstr>Highest_servicelevel_CAM_interruptions</vt:lpstr>
      <vt:lpstr>Highest_servicelevel_CAM_leakage</vt:lpstr>
      <vt:lpstr>Highest_servicelevel_CAM_protecting_wildlife</vt:lpstr>
      <vt:lpstr>Highest_servicelevel_SSW_interruptions</vt:lpstr>
      <vt:lpstr>Highest_servicelevel_SSW_leakage</vt:lpstr>
      <vt:lpstr>Highest_servicelevel_SSW_protecting_wildlife</vt:lpstr>
      <vt:lpstr>LLowest_servicelevel_CAM_protecting_wildlife</vt:lpstr>
      <vt:lpstr>LMH</vt:lpstr>
      <vt:lpstr>Lowest_bill_CAM_interruptions</vt:lpstr>
      <vt:lpstr>Lowest_bill_CAM_leakage</vt:lpstr>
      <vt:lpstr>Lowest_bill_CAM_protecting_wildlife</vt:lpstr>
      <vt:lpstr>Lowest_bill_SSW_interruptions</vt:lpstr>
      <vt:lpstr>Lowest_bill_SSW_leakage</vt:lpstr>
      <vt:lpstr>Lowest_bill_SSW_protecting_wildlife</vt:lpstr>
      <vt:lpstr>Lowest_servicelevel_CAM_interruptions</vt:lpstr>
      <vt:lpstr>Lowest_servicelevel_CAM_leakage</vt:lpstr>
      <vt:lpstr>Lowest_servicelevel_CAM_protecting_wildlife</vt:lpstr>
      <vt:lpstr>Lowest_servicelevel_SSW_interruptions</vt:lpstr>
      <vt:lpstr>Lowest_servicelevel_SSW_leakage</vt:lpstr>
      <vt:lpstr>Lowest_servicelevel_SSW_protecting_wildlife</vt:lpstr>
      <vt:lpstr>MainWTPResults</vt:lpstr>
      <vt:lpstr>NHHProps_All</vt:lpstr>
      <vt:lpstr>NHHProps_CAM</vt:lpstr>
      <vt:lpstr>NHHProps_SSW</vt:lpstr>
      <vt:lpstr>ODI_National_Options</vt:lpstr>
      <vt:lpstr>ODI_Options</vt:lpstr>
      <vt:lpstr>PC_Slider_WTP_options</vt:lpstr>
      <vt:lpstr>PR14_CompA_NHH_UnitValues</vt:lpstr>
      <vt:lpstr>PR14_CompA_NHH_UnitValues_CAM</vt:lpstr>
      <vt:lpstr>PR14_CompA_UnitValues</vt:lpstr>
      <vt:lpstr>PR14_CompA_UnitValues_CAM</vt:lpstr>
      <vt:lpstr>PR14_CompA_WTPCore_Options</vt:lpstr>
      <vt:lpstr>PR14_CompB_NHH_UnitValues</vt:lpstr>
      <vt:lpstr>PR14_CompB_NHH_UnitValues_CAM</vt:lpstr>
      <vt:lpstr>PR14_CompB_UnitValues</vt:lpstr>
      <vt:lpstr>PR14_CompB_UnitValues_CAM</vt:lpstr>
      <vt:lpstr>PR14_CompB_WTPCore_Options</vt:lpstr>
      <vt:lpstr>PR14_CompC_NHH_UnitValues</vt:lpstr>
      <vt:lpstr>PR14_CompC_NHH_UnitValues_CAM</vt:lpstr>
      <vt:lpstr>PR14_CompC_UnitValues</vt:lpstr>
      <vt:lpstr>PR14_CompC_UnitValues_CAM</vt:lpstr>
      <vt:lpstr>PR14_CompC_WTPCore_Options</vt:lpstr>
      <vt:lpstr>PR14_CompD_NHH_UnitValues</vt:lpstr>
      <vt:lpstr>PR14_CompD_NHH_UnitValues_CAM</vt:lpstr>
      <vt:lpstr>PR14_CompD_UnitValues</vt:lpstr>
      <vt:lpstr>PR14_CompD_UnitValues_CAM</vt:lpstr>
      <vt:lpstr>PR14_CompD_WTPCore_Options</vt:lpstr>
      <vt:lpstr>PR14_CompE_NHH_UnitValues</vt:lpstr>
      <vt:lpstr>PR14_CompE_NHH_UnitValues_CAM</vt:lpstr>
      <vt:lpstr>PR14_CompE_UnitValues</vt:lpstr>
      <vt:lpstr>PR14_CompE_UnitValues_CAM</vt:lpstr>
      <vt:lpstr>PR14_CompE_WTPCore_Options</vt:lpstr>
      <vt:lpstr>PR14_CompF_NHH_UnitValues</vt:lpstr>
      <vt:lpstr>PR14_CompF_NHH_UnitValues_CAM</vt:lpstr>
      <vt:lpstr>PR14_CompF_UnitValues</vt:lpstr>
      <vt:lpstr>PR14_CompF_UnitValues_CAM</vt:lpstr>
      <vt:lpstr>PR14_CompF_WTPCore_Options</vt:lpstr>
      <vt:lpstr>PR14_CompG_NHH_UnitValues</vt:lpstr>
      <vt:lpstr>PR14_CompG_NHH_UnitValues_CAM</vt:lpstr>
      <vt:lpstr>PR14_CompG_UnitValues</vt:lpstr>
      <vt:lpstr>PR14_CompG_UnitValues_CAM</vt:lpstr>
      <vt:lpstr>PR14_CompG_WTPCore_Options</vt:lpstr>
      <vt:lpstr>PR14_CompH_NHH_UnitValues</vt:lpstr>
      <vt:lpstr>PR14_CompH_NHH_UnitValues_CAM</vt:lpstr>
      <vt:lpstr>PR14_CompH_UnitValues</vt:lpstr>
      <vt:lpstr>PR14_CompH_UnitValues_CAM</vt:lpstr>
      <vt:lpstr>PR14_CompH_WTPCore_Options</vt:lpstr>
      <vt:lpstr>PR14_CompI_NHH_UnitValues</vt:lpstr>
      <vt:lpstr>PR14_CompI_NHH_UnitValues_CAM</vt:lpstr>
      <vt:lpstr>PR14_CompI_NHH_WTPCore_Options</vt:lpstr>
      <vt:lpstr>PR14_CompI_UnitValues</vt:lpstr>
      <vt:lpstr>PR14_CompI_UnitValues_CAM</vt:lpstr>
      <vt:lpstr>PR14_CompI_WTPCore_Options</vt:lpstr>
      <vt:lpstr>PR14_CompJ_NHH_UnitValues</vt:lpstr>
      <vt:lpstr>PR14_CompJ_NHH_UnitValues_CAM</vt:lpstr>
      <vt:lpstr>PR14_CompJ_UnitValues</vt:lpstr>
      <vt:lpstr>PR14_CompJ_UnitValues_CAM</vt:lpstr>
      <vt:lpstr>PR14_CompJ_WTPCore_Options</vt:lpstr>
      <vt:lpstr>PR14_CompK_NHH_UnitValues</vt:lpstr>
      <vt:lpstr>PR14_CompK_NHH_UnitValues_CAM</vt:lpstr>
      <vt:lpstr>PR14_CompK_UnitValues</vt:lpstr>
      <vt:lpstr>PR14_CompK_UnitValues_CAM</vt:lpstr>
      <vt:lpstr>PR14_CompK_WTPCore_Options</vt:lpstr>
      <vt:lpstr>PR14_CompL_NHH_UnitValues</vt:lpstr>
      <vt:lpstr>PR14_CompL_NHH_UnitValues_CAM</vt:lpstr>
      <vt:lpstr>PR14_CompL_UnitValues</vt:lpstr>
      <vt:lpstr>PR14_CompL_UnitValues_CAM</vt:lpstr>
      <vt:lpstr>PR14_CompL_WTPCore_Options</vt:lpstr>
      <vt:lpstr>PR14_CompM_NHH_UnitValues</vt:lpstr>
      <vt:lpstr>PR14_CompM_NHH_UnitValues_CAM</vt:lpstr>
      <vt:lpstr>PR14_CompM_NHH_WTPCore_Options</vt:lpstr>
      <vt:lpstr>PR14_CompM_UnitValues</vt:lpstr>
      <vt:lpstr>PR14_CompM_UnitValues_CAM</vt:lpstr>
      <vt:lpstr>PR14_CompM_WTPCore_Options</vt:lpstr>
      <vt:lpstr>PR14_CompN_NHH_UnitValues</vt:lpstr>
      <vt:lpstr>PR14_CompN_NHH_UnitValues_CAM</vt:lpstr>
      <vt:lpstr>PR14_CompN_UnitValues</vt:lpstr>
      <vt:lpstr>PR14_CompN_UnitValues_CAM</vt:lpstr>
      <vt:lpstr>PR14_CompN_WTPCore_Options</vt:lpstr>
      <vt:lpstr>PR14_CompO_NHH_UnitValues</vt:lpstr>
      <vt:lpstr>PR14_CompO_NHH_UnitValues_CAM</vt:lpstr>
      <vt:lpstr>PR14_CompO_UnitValues</vt:lpstr>
      <vt:lpstr>PR14_CompO_UnitValues_CAM</vt:lpstr>
      <vt:lpstr>PR14_CompO_WTPCore_Options</vt:lpstr>
      <vt:lpstr>PR19_CompA_UnitValues</vt:lpstr>
      <vt:lpstr>PR19_CompA_UnitValues_CAM</vt:lpstr>
      <vt:lpstr>PR19_CompA_UnitValues_NHH</vt:lpstr>
      <vt:lpstr>PR19_CompA_UnitValues_NHH_CAM</vt:lpstr>
      <vt:lpstr>PR19_CompA_WTPCore_Options</vt:lpstr>
      <vt:lpstr>PR19_CompB_UnitValues</vt:lpstr>
      <vt:lpstr>PR19_CompB_UnitValues_CAM</vt:lpstr>
      <vt:lpstr>PR19_CompB_UnitValues_NHH</vt:lpstr>
      <vt:lpstr>PR19_CompB_UnitValues_NHH_CAM</vt:lpstr>
      <vt:lpstr>PR19_CompB_WTPCore_Options</vt:lpstr>
      <vt:lpstr>PR19_CompC_UnitValues</vt:lpstr>
      <vt:lpstr>PR19_CompC_UnitValues_CAM</vt:lpstr>
      <vt:lpstr>PR19_CompC_UnitValues_NHH</vt:lpstr>
      <vt:lpstr>PR19_CompC_UnitValues_NHH_CAM</vt:lpstr>
      <vt:lpstr>PR19_CompC_WTPCore_Options</vt:lpstr>
      <vt:lpstr>PR19_CompD_UnitValues</vt:lpstr>
      <vt:lpstr>PR19_CompD_UnitValues_CAM</vt:lpstr>
      <vt:lpstr>PR19_CompD_UnitValues_NHH</vt:lpstr>
      <vt:lpstr>PR19_CompD_UnitValues_NHH_CAM</vt:lpstr>
      <vt:lpstr>PR19_CompD_WTPCore_Options</vt:lpstr>
      <vt:lpstr>PR19_CompE_UnitValues</vt:lpstr>
      <vt:lpstr>PR19_CompE_UnitValues_CAM</vt:lpstr>
      <vt:lpstr>PR19_CompE_UnitValues_NHH</vt:lpstr>
      <vt:lpstr>PR19_CompE_UnitValues_NHH_CAM</vt:lpstr>
      <vt:lpstr>PR19_CompE_WTPCore_Options</vt:lpstr>
      <vt:lpstr>PR19_CompF_UnitValues</vt:lpstr>
      <vt:lpstr>PR19_CompF_UnitValues_CAM</vt:lpstr>
      <vt:lpstr>PR19_CompF_WTPCore_Options</vt:lpstr>
      <vt:lpstr>PR19_CompG_UnitValues</vt:lpstr>
      <vt:lpstr>PR19_CompG_UnitValues_CAM</vt:lpstr>
      <vt:lpstr>PR19_CompG_UnitValues_NHH</vt:lpstr>
      <vt:lpstr>PR19_CompG_UnitValues_NHH_CAM</vt:lpstr>
      <vt:lpstr>PR19_CompG_WTPCore_Options</vt:lpstr>
      <vt:lpstr>PR19_CompI_UnitValues</vt:lpstr>
      <vt:lpstr>PR19_CompI_UnitValues_CAM</vt:lpstr>
      <vt:lpstr>PR19_CompI_UnitValues_NHH</vt:lpstr>
      <vt:lpstr>PR19_CompI_UnitValues_NHH_CAM</vt:lpstr>
      <vt:lpstr>PR19_CompI_WTPCore_Options</vt:lpstr>
      <vt:lpstr>PR19_CompJ_UnitValues</vt:lpstr>
      <vt:lpstr>PR19_CompJ_UnitValues_CAM</vt:lpstr>
      <vt:lpstr>PR19_CompJ_UnitValues_NHH</vt:lpstr>
      <vt:lpstr>PR19_CompJ_UnitValues_NHH_CAM</vt:lpstr>
      <vt:lpstr>PR19_CompJ_WTPCore_Options</vt:lpstr>
      <vt:lpstr>PR19_CompL_UnitValues</vt:lpstr>
      <vt:lpstr>PR19_CompL_UnitValues_CAM</vt:lpstr>
      <vt:lpstr>PR19_CompL_UnitValues_NHH</vt:lpstr>
      <vt:lpstr>PR19_CompL_UnitValues_NHH_CAM</vt:lpstr>
      <vt:lpstr>PR19_CompL_WTPCore_Options</vt:lpstr>
      <vt:lpstr>PR19_CompM_UnitValues</vt:lpstr>
      <vt:lpstr>PR19_CompM_UnitValues_CAM</vt:lpstr>
      <vt:lpstr>PR19_CompM_UnitValues_NHH</vt:lpstr>
      <vt:lpstr>PR19_CompM_UnitValues_NHH_CAM</vt:lpstr>
      <vt:lpstr>PR19_CompM_WTPCore_Options</vt:lpstr>
      <vt:lpstr>PR19_CompP_UnitValues</vt:lpstr>
      <vt:lpstr>PR19_CompP_UnitValues_CAM</vt:lpstr>
      <vt:lpstr>PR19_CompP_UnitValues_NHH</vt:lpstr>
      <vt:lpstr>PR19_CompP_UnitValues_NHH_CAM</vt:lpstr>
      <vt:lpstr>PR19_CompP_WTPCore_Options</vt:lpstr>
      <vt:lpstr>PR19_CompQ_UnitValues</vt:lpstr>
      <vt:lpstr>PR19_CompQ_UnitValues_CAM</vt:lpstr>
      <vt:lpstr>PR19_CompQ_WTPCore_Options</vt:lpstr>
      <vt:lpstr>PR19_CompT_UnitValues</vt:lpstr>
      <vt:lpstr>PR19_CompT_UnitValues_CAM</vt:lpstr>
      <vt:lpstr>PR19_CompT_UnitValues_NHH</vt:lpstr>
      <vt:lpstr>PR19_CompT_UnitValues_NHH_CAM</vt:lpstr>
      <vt:lpstr>PR19_CompT_WTPCore_Options</vt:lpstr>
      <vt:lpstr>PR19_CompU_UnitValues</vt:lpstr>
      <vt:lpstr>PR19_CompU_UnitValues_CAM</vt:lpstr>
      <vt:lpstr>PR19_CompU_UnitValues_NHH</vt:lpstr>
      <vt:lpstr>PR19_CompU_UnitValues_NHH_CAM</vt:lpstr>
      <vt:lpstr>PR19_CompU_WTPCore_Options</vt:lpstr>
      <vt:lpstr>PR19Pivot</vt:lpstr>
      <vt:lpstr>PR24_HHOptions</vt:lpstr>
      <vt:lpstr>PR24_HHOptions_WWYW</vt:lpstr>
      <vt:lpstr>PR24_NHHOptions</vt:lpstr>
      <vt:lpstr>PR24_NHHOptions_WWYW</vt:lpstr>
      <vt:lpstr>'Customer priorities (2022)'!Priorities_WRMP_options</vt:lpstr>
      <vt:lpstr>'Customer priorities (2022)'!Priorities_WTP_options</vt:lpstr>
      <vt:lpstr>RAG</vt:lpstr>
      <vt:lpstr>RAGWeights</vt:lpstr>
      <vt:lpstr>'Satisfaction (2022)'!Satisfaction_WTP_options</vt:lpstr>
      <vt:lpstr>SSC_MAXWTP_ALL</vt:lpstr>
      <vt:lpstr>SSC_MAXWTP_HH</vt:lpstr>
      <vt:lpstr>SSC_MAXWTP_NHH</vt:lpstr>
      <vt:lpstr>SSC_MINWTP_ALL</vt:lpstr>
      <vt:lpstr>SSC_MINWTP_HH</vt:lpstr>
      <vt:lpstr>SSC_MINWTP_NHH</vt:lpstr>
      <vt:lpstr>SSC_WTP_ALL</vt:lpstr>
      <vt:lpstr>SSC_WTP_HH</vt:lpstr>
      <vt:lpstr>SSC_WTP_MAIN_RESULTS</vt:lpstr>
      <vt:lpstr>SSC_WTP_NHH</vt:lpstr>
      <vt:lpstr>SSC_WTP_OPTIONS</vt:lpstr>
      <vt:lpstr>SSW_bill_impact_leakage</vt:lpstr>
      <vt:lpstr>SSW_bill_impact_metering</vt:lpstr>
      <vt:lpstr>'Contacts (2022)'!SSW_Contacts_output_WTP</vt:lpstr>
      <vt:lpstr>SSW_HH_ODI</vt:lpstr>
      <vt:lpstr>SSW_HH_ODI_National</vt:lpstr>
      <vt:lpstr>SSW_HH_PR24</vt:lpstr>
      <vt:lpstr>SSW_HH_PR24_WWYW</vt:lpstr>
      <vt:lpstr>SSW_MAXWTP_ALL</vt:lpstr>
      <vt:lpstr>SSW_MAXWTP_HH</vt:lpstr>
      <vt:lpstr>SSW_MAXWTP_NHH</vt:lpstr>
      <vt:lpstr>SSW_MINWTP_ALL</vt:lpstr>
      <vt:lpstr>SSW_MINWTP_HH</vt:lpstr>
      <vt:lpstr>SSW_MINWTP_NHH</vt:lpstr>
      <vt:lpstr>SSW_NHH_ODI</vt:lpstr>
      <vt:lpstr>SSW_NHH_ODI_National</vt:lpstr>
      <vt:lpstr>SSW_NHH_PR24</vt:lpstr>
      <vt:lpstr>SSW_NHH_PR24_WWYW</vt:lpstr>
      <vt:lpstr>SSW_PC_Slider_output_WTP</vt:lpstr>
      <vt:lpstr>SSW_PR14_Groups</vt:lpstr>
      <vt:lpstr>SSW_PR14_LMH</vt:lpstr>
      <vt:lpstr>SSW_PR14_WTP_Discolour_UnitValues</vt:lpstr>
      <vt:lpstr>SSW_PR14_WTP_Hardness_UnitValues</vt:lpstr>
      <vt:lpstr>SSW_PR14_WTP_Interruptions_UnitValues</vt:lpstr>
      <vt:lpstr>SSW_PR14_WTP_TasteSmell_UnitValues</vt:lpstr>
      <vt:lpstr>SSW_PR14_WTP_TempBan_UnitValues</vt:lpstr>
      <vt:lpstr>SSW_PR14_WTPCore_Group</vt:lpstr>
      <vt:lpstr>SSW_PR14_WTPCore_NHH_UnitValues</vt:lpstr>
      <vt:lpstr>SSW_PR14_WTPCore_Options</vt:lpstr>
      <vt:lpstr>SSW_PR14_WTPCore_UnitValues</vt:lpstr>
      <vt:lpstr>'Customer priorities (2022)'!SSW_Priorities_output_WRMP</vt:lpstr>
      <vt:lpstr>'Customer priorities (2022)'!SSW_Priorities_output_WTP</vt:lpstr>
      <vt:lpstr>'Satisfaction (2022)'!SSW_Satisfaction_output_WTP</vt:lpstr>
      <vt:lpstr>SSW_WRMP_Online_Combined</vt:lpstr>
      <vt:lpstr>SSW_WRMP_Online_UnitValues</vt:lpstr>
      <vt:lpstr>SSW_WRMP_Workshop_Combined</vt:lpstr>
      <vt:lpstr>SSW_WRMP_Workshop_UnitValues</vt:lpstr>
      <vt:lpstr>SSW_WTP_ALL</vt:lpstr>
      <vt:lpstr>SSW_WTP_DCE_output_WRMP</vt:lpstr>
      <vt:lpstr>SSW_WTP_HH</vt:lpstr>
      <vt:lpstr>SSW_WTP_Maxdiff_output_WRMP</vt:lpstr>
      <vt:lpstr>SSW_WTP_NHH</vt:lpstr>
      <vt:lpstr>SSW_WTP_PR14</vt:lpstr>
      <vt:lpstr>SSW_WTPCore_DCE_Bursts_Levels</vt:lpstr>
      <vt:lpstr>SSW_WTPCore_DCE_Bursts_LevelValues</vt:lpstr>
      <vt:lpstr>SSW_WTPCore_DCE_Bursts_MaxDiffUIndex</vt:lpstr>
      <vt:lpstr>SSW_WTPCore_DCE_Bursts_UnitValues</vt:lpstr>
      <vt:lpstr>SSW_WTPCore_DCE_Discolour_Levels</vt:lpstr>
      <vt:lpstr>SSW_WTPCore_DCE_Discolour_LevelValues</vt:lpstr>
      <vt:lpstr>SSW_WTPCore_DCE_Discolour_MaxDiffUIndex</vt:lpstr>
      <vt:lpstr>SSW_WTPCore_DCE_Discolour_UnitValues</vt:lpstr>
      <vt:lpstr>SSW_WTPCore_DCE_Drought_Levels</vt:lpstr>
      <vt:lpstr>SSW_WTPCore_DCE_Drought_LevelValues</vt:lpstr>
      <vt:lpstr>SSW_WTPCore_DCE_Drought_MaxDiffUIndex</vt:lpstr>
      <vt:lpstr>SSW_WTPCore_DCE_Drought_UnitValues</vt:lpstr>
      <vt:lpstr>SSW_WTPCore_DCE_Hardness_Levels</vt:lpstr>
      <vt:lpstr>SSW_WTPCore_DCE_Hardness_LevelValues</vt:lpstr>
      <vt:lpstr>SSW_WTPCore_DCE_Hardness_MaxDiffUIndex</vt:lpstr>
      <vt:lpstr>SSW_WTPCore_DCE_Hardness_UnitValues</vt:lpstr>
      <vt:lpstr>SSW_WTPCore_DCE_ImpactRivers_Levels</vt:lpstr>
      <vt:lpstr>SSW_WTPCore_DCE_ImpactRivers_LevelValues</vt:lpstr>
      <vt:lpstr>SSW_WTPCore_DCE_ImpactRivers_MaxDiffUIndex</vt:lpstr>
      <vt:lpstr>SSW_WTPCore_DCE_ImpactRivers_UnitValues</vt:lpstr>
      <vt:lpstr>SSW_WTPCore_DCE_Interruptions_Levels</vt:lpstr>
      <vt:lpstr>SSW_WTPCore_DCE_Interruptions_LevelValues</vt:lpstr>
      <vt:lpstr>SSW_WTPCore_DCE_Interruptions_MaxDiffUIndex</vt:lpstr>
      <vt:lpstr>SSW_WTPCore_DCE_Interruptions_UnitValues</vt:lpstr>
      <vt:lpstr>SSW_WTPCore_DCE_Lead_Levels</vt:lpstr>
      <vt:lpstr>SSW_WTPCore_DCE_Lead_LevelValues</vt:lpstr>
      <vt:lpstr>SSW_WTPCore_DCE_Lead_MaxDiffUIndex</vt:lpstr>
      <vt:lpstr>SSW_WTPCore_DCE_Lead_UnitValues</vt:lpstr>
      <vt:lpstr>SSW_WTPCore_DCE_Leakage_Levels</vt:lpstr>
      <vt:lpstr>SSW_WTPCore_DCE_Leakage_LevelValues</vt:lpstr>
      <vt:lpstr>SSW_WTPCore_DCE_Leakage_MaxDiffUIndex</vt:lpstr>
      <vt:lpstr>SSW_WTPCore_DCE_Leakage_UnitValues</vt:lpstr>
      <vt:lpstr>SSW_WTPCore_DCE_LowPressure_Levels</vt:lpstr>
      <vt:lpstr>SSW_WTPCore_DCE_LowPressure_LevelValues</vt:lpstr>
      <vt:lpstr>SSW_WTPCore_DCE_LowPressure_MaxDiffUIndex</vt:lpstr>
      <vt:lpstr>SSW_WTPCore_DCE_LowPressure_UnitValues</vt:lpstr>
      <vt:lpstr>SSW_WTPCore_DCE_Metering_Levels</vt:lpstr>
      <vt:lpstr>SSW_WTPCore_DCE_Metering_LevelValues</vt:lpstr>
      <vt:lpstr>SSW_WTPCore_DCE_Metering_MaxDiffUIndex</vt:lpstr>
      <vt:lpstr>SSW_WTPCore_DCE_Metering_UnitValues</vt:lpstr>
      <vt:lpstr>SSW_WTPCore_DCE_NotSafe_Levels</vt:lpstr>
      <vt:lpstr>SSW_WTPCore_DCE_NotSafe_LevelValues</vt:lpstr>
      <vt:lpstr>SSW_WTPCore_DCE_NotSafe_MaxDiffUIndex</vt:lpstr>
      <vt:lpstr>SSW_WTPCore_DCE_NotSafe_UnitValues</vt:lpstr>
      <vt:lpstr>SSW_WTPCore_DCE_Renewables_Levels</vt:lpstr>
      <vt:lpstr>SSW_WTPCore_DCE_Renewables_LevelValues</vt:lpstr>
      <vt:lpstr>SSW_WTPCore_DCE_Renewables_MaxDiffUIndex</vt:lpstr>
      <vt:lpstr>SSW_WTPCore_DCE_Renewables_UnitValues</vt:lpstr>
      <vt:lpstr>SSW_WTPCore_DCE_SmartMetering_Levels</vt:lpstr>
      <vt:lpstr>SSW_WTPCore_DCE_SmartMetering_LevelValues</vt:lpstr>
      <vt:lpstr>SSW_WTPCore_DCE_SmartMetering_MaxDiffUIndex</vt:lpstr>
      <vt:lpstr>SSW_WTPCore_DCE_SmartMetering_UnitValues</vt:lpstr>
      <vt:lpstr>SSW_WTPCore_DCE_TasteSmell_Levels</vt:lpstr>
      <vt:lpstr>SSW_WTPCore_DCE_TasteSmell_LevelValues</vt:lpstr>
      <vt:lpstr>SSW_WTPCore_DCE_TasteSmell_MaxDiffUIndex</vt:lpstr>
      <vt:lpstr>SSW_WTPCore_DCE_TasteSmell_UnitValues</vt:lpstr>
      <vt:lpstr>SSW_WTPCore_DCE_TempBan_Levels</vt:lpstr>
      <vt:lpstr>SSW_WTPCore_DCE_TempBan_LevelValues</vt:lpstr>
      <vt:lpstr>SSW_WTPCore_DCE_TempBan_MaxDiffUIndex</vt:lpstr>
      <vt:lpstr>SSW_WTPCore_DCE_TempBan_UnitValues</vt:lpstr>
      <vt:lpstr>SSW_WTPCore_DCE_Traffic_Levels</vt:lpstr>
      <vt:lpstr>SSW_WTPCore_DCE_Traffic_LevelValues</vt:lpstr>
      <vt:lpstr>SSW_WTPCore_DCE_Traffic_MaxDiffUIndex</vt:lpstr>
      <vt:lpstr>SSW_WTPCore_DCE_Traffic_UnitValues</vt:lpstr>
      <vt:lpstr>SSW_WTPCore_DCE_Wildlife_Levels</vt:lpstr>
      <vt:lpstr>SSW_WTPCore_DCE_Wildlife_LevelValues</vt:lpstr>
      <vt:lpstr>SSW_WTPCore_DCE_Wildlife_MaxDiffUIndex</vt:lpstr>
      <vt:lpstr>SSW_WTPCore_DCE_Wildlife_UnitValues</vt:lpstr>
      <vt:lpstr>SSW_WTPCore2_Bursts_Levels</vt:lpstr>
      <vt:lpstr>SSW_WTPCore2_Bursts_LevelValues</vt:lpstr>
      <vt:lpstr>SSW_WTPCore2_Bursts_UnitValues</vt:lpstr>
      <vt:lpstr>SSW_WTPCore2_Community_UnitValues</vt:lpstr>
      <vt:lpstr>SSW_WTPCore2_Discolour_Levels</vt:lpstr>
      <vt:lpstr>SSW_WTPCore2_Discolour_LevelValues</vt:lpstr>
      <vt:lpstr>SSW_WTPCore2_Discolour_UnitValues</vt:lpstr>
      <vt:lpstr>SSW_WTPCore2_Educating_UnitValues</vt:lpstr>
      <vt:lpstr>SSW_WTPCore2_Hardness_Levels</vt:lpstr>
      <vt:lpstr>SSW_WTPCore2_Hardness_LevelValues</vt:lpstr>
      <vt:lpstr>SSW_WTPCore2_Hardness_UnitValues</vt:lpstr>
      <vt:lpstr>SSW_WTPCore2_ImpactRivers_Levels</vt:lpstr>
      <vt:lpstr>SSW_WTPCore2_ImpactRivers_LevelValues</vt:lpstr>
      <vt:lpstr>SSW_WTPCore2_ImpactRivers_UnitValues</vt:lpstr>
      <vt:lpstr>SSW_WTPCore2_Interruptions_Levels</vt:lpstr>
      <vt:lpstr>SSW_WTPCore2_Interruptions_LevelValues</vt:lpstr>
      <vt:lpstr>SSW_WTPCore2_Interruptions_UnitValues</vt:lpstr>
      <vt:lpstr>SSW_WTPCore2_Lead_Levels</vt:lpstr>
      <vt:lpstr>SSW_WTPCore2_Lead_LevelValues</vt:lpstr>
      <vt:lpstr>SSW_WTPCore2_Lead_UnitValues</vt:lpstr>
      <vt:lpstr>SSW_WTPCore2_Leakage_Levels</vt:lpstr>
      <vt:lpstr>SSW_WTPCore2_Leakage_LevelValues</vt:lpstr>
      <vt:lpstr>SSW_WTPCore2_Leakage_UnitValues</vt:lpstr>
      <vt:lpstr>SSW_WTPCore2_LowBill_Bursts_UnitValues</vt:lpstr>
      <vt:lpstr>SSW_WTPCore2_LowBill_Discolour_UnitValues</vt:lpstr>
      <vt:lpstr>SSW_WTPCore2_LowBill_Hardness_UnitValues</vt:lpstr>
      <vt:lpstr>SSW_WTPCore2_LowBill_ImpactRivers_UnitValues</vt:lpstr>
      <vt:lpstr>SSW_WTPCore2_LowBill_Interruptions_UnitValues</vt:lpstr>
      <vt:lpstr>SSW_WTPCore2_LowBill_Lead_UnitValues</vt:lpstr>
      <vt:lpstr>SSW_WTPCore2_LowBill_Leakage_UnitValues</vt:lpstr>
      <vt:lpstr>SSW_WTPCore2_LowBill_LowPressure_UnitValues</vt:lpstr>
      <vt:lpstr>SSW_WTPCore2_LowBill_Metering_UnitValues</vt:lpstr>
      <vt:lpstr>SSW_WTPCore2_LowBill_NotSafe_UnitValues</vt:lpstr>
      <vt:lpstr>SSW_WTPCore2_LowBill_Renewables_UnitValues</vt:lpstr>
      <vt:lpstr>SSW_WTPCore2_LowBill_TasteSmell_UnitValues</vt:lpstr>
      <vt:lpstr>SSW_WTPCore2_LowBill_TempBan_UnitValues</vt:lpstr>
      <vt:lpstr>SSW_WTPCore2_LowBill_Wildlife_UnitValues</vt:lpstr>
      <vt:lpstr>SSW_WTPCore2_LowPressure_Levels</vt:lpstr>
      <vt:lpstr>SSW_WTPCore2_LowPressure_LevelValues</vt:lpstr>
      <vt:lpstr>SSW_WTPCore2_LowPressure_UnitValues</vt:lpstr>
      <vt:lpstr>SSW_WTPCore2_Metering_Levels</vt:lpstr>
      <vt:lpstr>SSW_WTPCore2_Metering_LevelValues</vt:lpstr>
      <vt:lpstr>SSW_WTPCore2_Metering_UnitValues</vt:lpstr>
      <vt:lpstr>SSW_WTPCore2_NotSafe_Levels</vt:lpstr>
      <vt:lpstr>SSW_WTPCore2_NotSafe_LevelValues</vt:lpstr>
      <vt:lpstr>SSW_WTPCore2_NotSafe_UnitValues</vt:lpstr>
      <vt:lpstr>SSW_WTPCore2_Renewables_Levels</vt:lpstr>
      <vt:lpstr>SSW_WTPCore2_Renewables_LevelValues</vt:lpstr>
      <vt:lpstr>SSW_WTPCore2_Renewables_UnitValues</vt:lpstr>
      <vt:lpstr>SSW_WTPCore2_Supporting_UnitValues</vt:lpstr>
      <vt:lpstr>SSW_WTPCore2_TasteSmell_Levels</vt:lpstr>
      <vt:lpstr>SSW_WTPCore2_TasteSmell_LevelValues</vt:lpstr>
      <vt:lpstr>SSW_WTPCore2_TasteSmell_UnitValues</vt:lpstr>
      <vt:lpstr>SSW_WTPCore2_TempBan_Levels</vt:lpstr>
      <vt:lpstr>SSW_WTPCore2_TempBan_LevelValues</vt:lpstr>
      <vt:lpstr>SSW_WTPCore2_TempBan_UnitValues</vt:lpstr>
      <vt:lpstr>SSW_WTPCore2_Wildlife_Levels</vt:lpstr>
      <vt:lpstr>SSW_WTPCore2_Wildlife_LevelValues</vt:lpstr>
      <vt:lpstr>SSW_WTPCore2_Wildlife_UnitValues</vt:lpstr>
      <vt:lpstr>SSW_WTPMaxdiff_WTP_NHH_Unitvalues</vt:lpstr>
      <vt:lpstr>SSW_WTPMaxdiff_WTP_Unitvalues</vt:lpstr>
      <vt:lpstr>TotalLeakMLPerDay</vt:lpstr>
      <vt:lpstr>VSSW_WTPCore2_Community_UnitValues</vt:lpstr>
      <vt:lpstr>w_contacts_WTP</vt:lpstr>
      <vt:lpstr>w_extWTP_WTP</vt:lpstr>
      <vt:lpstr>w_priorities_WTP</vt:lpstr>
      <vt:lpstr>w_satisfaction_WTP</vt:lpstr>
      <vt:lpstr>w_WRMPonline_WTP</vt:lpstr>
      <vt:lpstr>w_WRMPworkshops_WTP</vt:lpstr>
      <vt:lpstr>w_WTPchoicexp_WTP</vt:lpstr>
      <vt:lpstr>w_WTPmaxdiff_WTP</vt:lpstr>
      <vt:lpstr>WRMP_core_online_results</vt:lpstr>
      <vt:lpstr>WRMP_core_workshop_results</vt:lpstr>
      <vt:lpstr>WRMP_online_options</vt:lpstr>
      <vt:lpstr>WRMP_Online_WTPAtts</vt:lpstr>
      <vt:lpstr>WRMP_workshop_options</vt:lpstr>
      <vt:lpstr>WRMP_Workshop_WTPAtts</vt:lpstr>
      <vt:lpstr>WTP_core_Maxdiff</vt:lpstr>
      <vt:lpstr>WTP_WRMP_options</vt:lpstr>
      <vt:lpstr>WTPCore_AttLevels</vt:lpstr>
      <vt:lpstr>WTPCore_Attributes</vt:lpstr>
      <vt:lpstr>WTPCore_Group</vt:lpstr>
      <vt:lpstr>WTPCore_LevelValues</vt:lpstr>
      <vt:lpstr>WTPCore_Maxdiff_Group</vt:lpstr>
      <vt:lpstr>WTPCore_MDValues</vt:lpstr>
      <vt:lpstr>WTPCore2_AttLevels</vt:lpstr>
      <vt:lpstr>WTPCore2_Group</vt:lpstr>
      <vt:lpstr>WTPCore2_LevelValues</vt:lpstr>
      <vt:lpstr>WTPMaxdiff_WTP_options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antararc</dc:creator>
  <cp:keywords/>
  <dc:description/>
  <cp:lastModifiedBy>Nicholas Hollaway</cp:lastModifiedBy>
  <cp:revision/>
  <dcterms:created xsi:type="dcterms:W3CDTF">2018-02-08T08:27:28Z</dcterms:created>
  <dcterms:modified xsi:type="dcterms:W3CDTF">2023-09-27T17:17:11Z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0x01010074FC01D362D705468A9A04E1BDD1AF4F</vt:lpwstr>
  </property>
  <property fmtid="{D5CDD505-2E9C-101B-9397-08002B2CF9AE}" pid="3" name="MediaServiceImageTags">
    <vt:lpwstr/>
  </property>
</Properties>
</file>