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13_ncr:1_{20B345C7-A81A-41B2-9C09-9D9F5954AA6F}" xr6:coauthVersionLast="47" xr6:coauthVersionMax="47" xr10:uidLastSave="{00000000-0000-0000-0000-000000000000}"/>
  <bookViews>
    <workbookView xWindow="-108" yWindow="-108" windowWidth="23256" windowHeight="12576" tabRatio="822" activeTab="20"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externalReferences>
    <externalReference r:id="rId4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89" l="1"/>
  <c r="F15" i="89"/>
  <c r="L18" i="31"/>
  <c r="K18" i="31" l="1"/>
  <c r="J18" i="31"/>
  <c r="I18" i="31"/>
  <c r="H18" i="31"/>
  <c r="F18" i="31"/>
  <c r="E18" i="31"/>
  <c r="D18" i="31"/>
  <c r="F12" i="31"/>
  <c r="E12" i="31"/>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F444" i="114" s="1"/>
  <c r="I420" i="114"/>
  <c r="H420" i="114"/>
  <c r="G420" i="114"/>
  <c r="F420" i="114"/>
  <c r="I419" i="114"/>
  <c r="H419" i="114"/>
  <c r="G419" i="114"/>
  <c r="F419" i="114"/>
  <c r="I397" i="114"/>
  <c r="H397" i="114"/>
  <c r="G397" i="114"/>
  <c r="F397" i="114"/>
  <c r="I396" i="114"/>
  <c r="H396" i="114"/>
  <c r="G396" i="114"/>
  <c r="G398" i="114" s="1"/>
  <c r="F396" i="114"/>
  <c r="I374" i="114"/>
  <c r="H374" i="114"/>
  <c r="G374" i="114"/>
  <c r="F374" i="114"/>
  <c r="I373" i="114"/>
  <c r="H373" i="114"/>
  <c r="G373" i="114"/>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F304" i="114"/>
  <c r="F306" i="114" s="1"/>
  <c r="I282" i="114"/>
  <c r="H282" i="114"/>
  <c r="G282" i="114"/>
  <c r="F282" i="114"/>
  <c r="I281" i="114"/>
  <c r="H281" i="114"/>
  <c r="G281" i="114"/>
  <c r="G283" i="114" s="1"/>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F191" i="114" s="1"/>
  <c r="I167" i="114"/>
  <c r="H167" i="114"/>
  <c r="G167" i="114"/>
  <c r="F167" i="114"/>
  <c r="I166" i="114"/>
  <c r="H166" i="114"/>
  <c r="G166" i="114"/>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168" i="114" l="1"/>
  <c r="G237" i="114"/>
  <c r="G306" i="114"/>
  <c r="G375" i="114"/>
  <c r="G444" i="114"/>
  <c r="F214" i="114"/>
  <c r="F283" i="114"/>
  <c r="F421"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4" i="26" l="1"/>
  <c r="AB14" i="26"/>
  <c r="E14" i="26"/>
  <c r="AK14" i="26" s="1"/>
  <c r="D14" i="26"/>
  <c r="AJ14" i="26" s="1"/>
  <c r="X14" i="26"/>
  <c r="M14" i="26" s="1"/>
  <c r="O16" i="90"/>
  <c r="Z14"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4" i="90"/>
  <c r="O44" i="92" s="1"/>
  <c r="O21" i="93" s="1"/>
  <c r="O50" i="90"/>
  <c r="O50" i="92" s="1"/>
  <c r="O70" i="90"/>
  <c r="O70" i="92" s="1"/>
  <c r="O194" i="93" s="1"/>
  <c r="O43" i="90"/>
  <c r="O43" i="92" s="1"/>
  <c r="O49" i="90"/>
  <c r="O49" i="92" s="1"/>
  <c r="O56" i="90"/>
  <c r="O56" i="92" s="1"/>
  <c r="O69" i="93" s="1"/>
  <c r="O96" i="93" s="1"/>
  <c r="O40" i="90"/>
  <c r="O40" i="92" s="1"/>
  <c r="O11" i="93" s="1"/>
  <c r="O74" i="90"/>
  <c r="O74" i="92" s="1"/>
  <c r="O198" i="93" s="1"/>
  <c r="O38" i="90"/>
  <c r="O38" i="92" s="1"/>
  <c r="O10" i="93" s="1"/>
  <c r="O14" i="93" s="1"/>
  <c r="O73" i="90"/>
  <c r="O73" i="92" s="1"/>
  <c r="O197" i="93" s="1"/>
  <c r="O34" i="90"/>
  <c r="O34" i="92" s="1"/>
  <c r="O182" i="93" s="1"/>
  <c r="O72" i="90"/>
  <c r="O72" i="92" s="1"/>
  <c r="O196" i="93" s="1"/>
  <c r="O31" i="90"/>
  <c r="O16" i="91"/>
  <c r="O16" i="92" s="1"/>
  <c r="O71" i="90"/>
  <c r="O71" i="92" s="1"/>
  <c r="O195" i="93" s="1"/>
  <c r="O33" i="90"/>
  <c r="O33" i="92" s="1"/>
  <c r="O190" i="93" s="1"/>
  <c r="O25" i="96"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9" i="96" l="1"/>
  <c r="O20" i="96"/>
  <c r="O70" i="93"/>
  <c r="O20" i="93"/>
  <c r="O5" i="96"/>
  <c r="O5" i="93"/>
  <c r="O62" i="93"/>
  <c r="O27" i="93"/>
  <c r="O48" i="93" s="1"/>
  <c r="O31" i="92"/>
  <c r="O11" i="90"/>
  <c r="O26" i="96"/>
  <c r="O183" i="93"/>
  <c r="O116" i="93"/>
  <c r="O72" i="93"/>
  <c r="O114" i="93"/>
  <c r="O24" i="93"/>
  <c r="O26" i="93"/>
  <c r="O30" i="93" s="1"/>
  <c r="O44" i="93"/>
  <c r="BI22" i="96"/>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85" i="93" l="1"/>
  <c r="O186" i="93"/>
  <c r="O11" i="92"/>
  <c r="O148" i="93" s="1"/>
  <c r="O149" i="93" s="1"/>
  <c r="O9" i="93"/>
  <c r="O15" i="93" s="1"/>
  <c r="O17" i="93" s="1"/>
  <c r="O49" i="93" s="1"/>
  <c r="O50"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1" i="93" l="1"/>
  <c r="O52" i="93" s="1"/>
  <c r="O142" i="93" s="1"/>
  <c r="O56" i="93"/>
  <c r="O59" i="93" s="1"/>
  <c r="O63" i="93" s="1"/>
  <c r="O156" i="93" s="1"/>
  <c r="O176" i="93" s="1"/>
  <c r="O179" i="93" s="1"/>
  <c r="O31" i="93"/>
  <c r="O32" i="93" s="1"/>
  <c r="O117" i="93"/>
  <c r="O120" i="93" s="1"/>
  <c r="O73" i="93"/>
  <c r="O97" i="93"/>
  <c r="O17" i="96"/>
  <c r="O234" i="93"/>
  <c r="O231" i="93"/>
  <c r="O233" i="93"/>
  <c r="O229" i="93"/>
  <c r="O228" i="93"/>
  <c r="O230" i="93"/>
  <c r="O232" i="93"/>
  <c r="O224" i="93"/>
  <c r="O221" i="93"/>
  <c r="O225" i="93"/>
  <c r="O223" i="93"/>
  <c r="O222" i="93"/>
  <c r="O220" i="93"/>
  <c r="O16" i="96"/>
  <c r="O219" i="93"/>
  <c r="BD185" i="93"/>
  <c r="BD220"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D221" i="93" l="1"/>
  <c r="BD223" i="93"/>
  <c r="BD225" i="93"/>
  <c r="BD222" i="93"/>
  <c r="BD16" i="96"/>
  <c r="BD219" i="93"/>
  <c r="O33" i="93"/>
  <c r="O34" i="93" s="1"/>
  <c r="O139" i="93" s="1"/>
  <c r="O38" i="93"/>
  <c r="O41" i="93" s="1"/>
  <c r="O45" i="93" s="1"/>
  <c r="O152" i="93" s="1"/>
  <c r="O171" i="93" s="1"/>
  <c r="O174" i="93" s="1"/>
  <c r="O214" i="93"/>
  <c r="O211" i="93"/>
  <c r="O10" i="96"/>
  <c r="O23" i="96" s="1"/>
  <c r="O210" i="93"/>
  <c r="O215" i="93"/>
  <c r="O216" i="93"/>
  <c r="O213" i="93"/>
  <c r="O212"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9" i="96" l="1"/>
  <c r="O22" i="96" s="1"/>
  <c r="H14" i="26" s="1"/>
  <c r="O207" i="93"/>
  <c r="O202" i="93"/>
  <c r="O206" i="93"/>
  <c r="O201" i="93"/>
  <c r="O205" i="93"/>
  <c r="O204" i="93"/>
  <c r="O203"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BR234" i="93"/>
  <c r="BR231" i="93"/>
  <c r="H21" i="26"/>
  <c r="AE21" i="26" s="1"/>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O15" i="113"/>
  <c r="O39" i="113"/>
  <c r="O41" i="113"/>
  <c r="O46" i="113"/>
  <c r="O28" i="113"/>
  <c r="O21" i="113"/>
  <c r="O49" i="113"/>
  <c r="H212" i="93"/>
  <c r="F253" i="93" s="1"/>
  <c r="F116" i="94" s="1"/>
  <c r="K146" i="94" s="1"/>
  <c r="H215" i="93"/>
  <c r="F256" i="93" s="1"/>
  <c r="F119" i="94" s="1"/>
  <c r="L149" i="94" s="1"/>
  <c r="L188" i="94" s="1"/>
  <c r="O12"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AK203" i="93"/>
  <c r="H203" i="93" s="1"/>
  <c r="F244" i="93" s="1"/>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D7" i="113"/>
  <c r="F71" i="109"/>
  <c r="F25" i="109"/>
  <c r="AD10" i="27"/>
  <c r="N10" i="27" s="1"/>
  <c r="AD9" i="27"/>
  <c r="AD11" i="27"/>
  <c r="N11" i="27" s="1"/>
  <c r="AD12" i="27"/>
  <c r="AD25" i="27"/>
  <c r="AD16" i="27"/>
  <c r="AD22" i="27"/>
  <c r="AD15" i="27"/>
  <c r="N15" i="27" s="1"/>
  <c r="AD20" i="27"/>
  <c r="AD17" i="27"/>
  <c r="AD19" i="27"/>
  <c r="AD18" i="27"/>
  <c r="AD21" i="27"/>
  <c r="AD14" i="26"/>
  <c r="N14" i="26" s="1"/>
  <c r="AD12" i="26"/>
  <c r="N12" i="26" s="1"/>
  <c r="F78" i="97" l="1"/>
  <c r="N9" i="27"/>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AD23" i="27"/>
  <c r="N23" i="27" s="1"/>
  <c r="F292" i="93"/>
  <c r="O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N35" i="26"/>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 r="N52" i="113" s="1"/>
  <c r="N51" i="113" s="1"/>
  <c r="N50" i="113" s="1"/>
  <c r="N49" i="113" s="1"/>
  <c r="N48" i="113" s="1"/>
  <c r="N47" i="113" s="1"/>
  <c r="N46" i="113" s="1"/>
  <c r="N45" i="113" s="1"/>
  <c r="N44" i="113" s="1"/>
  <c r="N43" i="113" s="1"/>
  <c r="N42" i="113" s="1"/>
  <c r="N41" i="113" s="1"/>
  <c r="N40" i="113" s="1"/>
  <c r="N39" i="113" s="1"/>
  <c r="N34" i="113" s="1"/>
  <c r="N33" i="113" s="1"/>
  <c r="N32" i="113" s="1"/>
  <c r="N31" i="113" s="1"/>
  <c r="N30" i="113" s="1"/>
  <c r="N29" i="113" s="1"/>
  <c r="N28" i="113" s="1"/>
  <c r="N27" i="113" s="1"/>
  <c r="N26" i="113" s="1"/>
  <c r="N25" i="113" s="1"/>
  <c r="N24" i="113" s="1"/>
  <c r="N23" i="113" s="1"/>
  <c r="N22" i="113" s="1"/>
  <c r="N21" i="113" s="1"/>
  <c r="N20" i="113" s="1"/>
  <c r="N19" i="113" s="1"/>
  <c r="N18" i="113" s="1"/>
  <c r="N17" i="113" s="1"/>
  <c r="N16" i="113" s="1"/>
  <c r="N15" i="113" s="1"/>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 r="F79" i="109" l="1"/>
  <c r="O15" i="112"/>
  <c r="F33" i="109"/>
  <c r="F41" i="109"/>
  <c r="F87" i="109"/>
  <c r="O23" i="112"/>
  <c r="O31" i="112"/>
  <c r="F49" i="109"/>
  <c r="F95" i="109"/>
  <c r="F103" i="109"/>
  <c r="F57" i="109"/>
  <c r="O39" i="112"/>
  <c r="F65" i="109"/>
  <c r="O47" i="112"/>
  <c r="F111" i="109"/>
  <c r="M15" i="113"/>
  <c r="K15" i="113"/>
  <c r="L15" i="113"/>
  <c r="M23" i="113"/>
  <c r="K23" i="113"/>
  <c r="L23" i="113"/>
  <c r="L31" i="113"/>
  <c r="K31" i="113"/>
  <c r="M31" i="113"/>
  <c r="K39" i="113"/>
  <c r="M39" i="113"/>
  <c r="L39" i="113"/>
  <c r="M47" i="113"/>
  <c r="L47" i="113"/>
  <c r="K47" i="113"/>
  <c r="O8" i="112"/>
  <c r="F72" i="109"/>
  <c r="F26" i="109"/>
  <c r="O16" i="112"/>
  <c r="F80" i="109"/>
  <c r="F34" i="109"/>
  <c r="F88" i="109"/>
  <c r="O24" i="112"/>
  <c r="F42" i="109"/>
  <c r="F96" i="109"/>
  <c r="O32" i="112"/>
  <c r="F50" i="109"/>
  <c r="O40" i="112"/>
  <c r="F58" i="109"/>
  <c r="F104" i="109"/>
  <c r="F112" i="109"/>
  <c r="O48" i="112"/>
  <c r="F66" i="109"/>
  <c r="K16" i="113"/>
  <c r="M16" i="113"/>
  <c r="L16" i="113"/>
  <c r="K24" i="113"/>
  <c r="L24" i="113"/>
  <c r="M24" i="113"/>
  <c r="K32" i="113"/>
  <c r="L32" i="113"/>
  <c r="M32" i="113"/>
  <c r="L40" i="113"/>
  <c r="M40" i="113"/>
  <c r="K40" i="113"/>
  <c r="M48" i="113"/>
  <c r="K48" i="113"/>
  <c r="L48" i="113"/>
  <c r="F27" i="109"/>
  <c r="F73" i="109"/>
  <c r="O9" i="112"/>
  <c r="O17" i="112"/>
  <c r="F81" i="109"/>
  <c r="F35" i="109"/>
  <c r="F43" i="109"/>
  <c r="O25" i="112"/>
  <c r="F89" i="109"/>
  <c r="F97" i="109"/>
  <c r="F51" i="109"/>
  <c r="O33" i="112"/>
  <c r="F59" i="109"/>
  <c r="O41" i="112"/>
  <c r="F105" i="109"/>
  <c r="F113" i="109"/>
  <c r="O49" i="112"/>
  <c r="F67" i="109"/>
  <c r="K17" i="113"/>
  <c r="L17" i="113"/>
  <c r="M17" i="113"/>
  <c r="L25" i="113"/>
  <c r="K25" i="113"/>
  <c r="M25" i="113"/>
  <c r="K33" i="113"/>
  <c r="M33" i="113"/>
  <c r="L33" i="113"/>
  <c r="K41" i="113"/>
  <c r="M41" i="113"/>
  <c r="L41" i="113"/>
  <c r="M49" i="113"/>
  <c r="L49" i="113"/>
  <c r="K49" i="113"/>
  <c r="O10" i="112"/>
  <c r="F28" i="109"/>
  <c r="F74" i="109"/>
  <c r="F82" i="109"/>
  <c r="F36" i="109"/>
  <c r="O18" i="112"/>
  <c r="F44" i="109"/>
  <c r="O26" i="112"/>
  <c r="F90" i="109"/>
  <c r="O34" i="112"/>
  <c r="F52" i="109"/>
  <c r="F98" i="109"/>
  <c r="F106" i="109"/>
  <c r="F60" i="109"/>
  <c r="O42" i="112"/>
  <c r="F114" i="109"/>
  <c r="F68" i="109"/>
  <c r="O50" i="112"/>
  <c r="M18" i="113"/>
  <c r="L18" i="113"/>
  <c r="K18" i="113"/>
  <c r="M26" i="113"/>
  <c r="K26" i="113"/>
  <c r="L26" i="113"/>
  <c r="L34" i="113"/>
  <c r="K34" i="113"/>
  <c r="M34" i="113"/>
  <c r="L42" i="113"/>
  <c r="K42" i="113"/>
  <c r="M42" i="113"/>
  <c r="M50" i="113"/>
  <c r="L50" i="113"/>
  <c r="K50" i="113"/>
  <c r="F75" i="109"/>
  <c r="F29" i="109"/>
  <c r="O11" i="112"/>
  <c r="O19" i="112"/>
  <c r="F37" i="109"/>
  <c r="F83" i="109"/>
  <c r="O27" i="112"/>
  <c r="F91" i="109"/>
  <c r="F45" i="109"/>
  <c r="F53" i="109"/>
  <c r="O35" i="112"/>
  <c r="F99" i="109"/>
  <c r="F61" i="109"/>
  <c r="O43" i="112"/>
  <c r="F107" i="109"/>
  <c r="F69" i="109"/>
  <c r="O51" i="112"/>
  <c r="F115" i="109"/>
  <c r="M11" i="113"/>
  <c r="L11" i="113"/>
  <c r="K11" i="113"/>
  <c r="M19" i="113"/>
  <c r="K19" i="113"/>
  <c r="L19" i="113"/>
  <c r="L27" i="113"/>
  <c r="K27" i="113"/>
  <c r="M27" i="113"/>
  <c r="K43" i="113"/>
  <c r="M43" i="113"/>
  <c r="L43" i="113"/>
  <c r="L51" i="113"/>
  <c r="M51" i="113"/>
  <c r="K51" i="113"/>
  <c r="O12" i="112"/>
  <c r="F30" i="109"/>
  <c r="F76" i="109"/>
  <c r="O20" i="112"/>
  <c r="F38" i="109"/>
  <c r="F84" i="109"/>
  <c r="F92" i="109"/>
  <c r="F46" i="109"/>
  <c r="O28" i="112"/>
  <c r="O36" i="112"/>
  <c r="F54" i="109"/>
  <c r="F100" i="109"/>
  <c r="F116" i="109"/>
  <c r="F70" i="109"/>
  <c r="O52" i="112"/>
  <c r="L12" i="113"/>
  <c r="M12" i="113"/>
  <c r="K12" i="113"/>
  <c r="M20" i="113"/>
  <c r="L20" i="113"/>
  <c r="K20" i="113"/>
  <c r="K28" i="113"/>
  <c r="L28" i="113"/>
  <c r="M28" i="113"/>
  <c r="M44" i="113"/>
  <c r="K44" i="113"/>
  <c r="L44" i="113"/>
  <c r="K52" i="113"/>
  <c r="M52" i="113"/>
  <c r="L52" i="113"/>
  <c r="F108" i="109"/>
  <c r="F62" i="109"/>
  <c r="O44" i="112"/>
  <c r="F31" i="109"/>
  <c r="F77" i="109"/>
  <c r="O13" i="112"/>
  <c r="F39" i="109"/>
  <c r="F85" i="109"/>
  <c r="O21" i="112"/>
  <c r="F47" i="109"/>
  <c r="O29" i="112"/>
  <c r="F93" i="109"/>
  <c r="F55" i="109"/>
  <c r="O37" i="112"/>
  <c r="F101" i="109"/>
  <c r="F109" i="109"/>
  <c r="F63" i="109"/>
  <c r="O45" i="112"/>
  <c r="K21" i="113"/>
  <c r="L21" i="113"/>
  <c r="M21" i="113"/>
  <c r="L29" i="113"/>
  <c r="K29" i="113"/>
  <c r="M29" i="113"/>
  <c r="M45" i="113"/>
  <c r="L45" i="113"/>
  <c r="K45" i="113"/>
  <c r="N11" i="113"/>
  <c r="F78" i="109"/>
  <c r="O14" i="112"/>
  <c r="F32" i="109"/>
  <c r="O22" i="112"/>
  <c r="F40" i="109"/>
  <c r="F86" i="109"/>
  <c r="F94" i="109"/>
  <c r="F48" i="109"/>
  <c r="O30" i="112"/>
  <c r="F56" i="109"/>
  <c r="F102" i="109"/>
  <c r="O38" i="112"/>
  <c r="F110" i="109"/>
  <c r="O46" i="112"/>
  <c r="F64" i="109"/>
  <c r="M22" i="113"/>
  <c r="L22" i="113"/>
  <c r="K22" i="113"/>
  <c r="L30" i="113"/>
  <c r="M30" i="113"/>
  <c r="K30" i="113"/>
  <c r="K46" i="113"/>
  <c r="M46" i="113"/>
  <c r="L46" i="113"/>
  <c r="N12" i="113"/>
  <c r="N53" i="113" l="1"/>
  <c r="K53" i="113"/>
  <c r="L53" i="113"/>
  <c r="M53"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00000000-0006-0000-0400-000001000000}">
      <text>
        <r>
          <rPr>
            <b/>
            <sz val="9"/>
            <color indexed="81"/>
            <rFont val="Tahoma"/>
            <family val="2"/>
          </rPr>
          <t>Author:</t>
        </r>
        <r>
          <rPr>
            <sz val="9"/>
            <color indexed="81"/>
            <rFont val="Tahoma"/>
            <family val="2"/>
          </rPr>
          <t xml:space="preserve">
APR3A_03_A1_PR24 for NES and SSC</t>
        </r>
      </text>
    </comment>
    <comment ref="AL13" authorId="0" shapeId="0" xr:uid="{00000000-0006-0000-0400-000002000000}">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00000000-0006-0000-2200-000001000000}">
      <text>
        <r>
          <rPr>
            <b/>
            <sz val="9"/>
            <color indexed="81"/>
            <rFont val="Tahoma"/>
            <family val="2"/>
          </rPr>
          <t>Author:</t>
        </r>
        <r>
          <rPr>
            <sz val="9"/>
            <color indexed="81"/>
            <rFont val="Tahoma"/>
            <family val="2"/>
          </rPr>
          <t xml:space="preserve">
1 = Strategic Outline Case</t>
        </r>
      </text>
    </comment>
    <comment ref="AS504" authorId="0" shapeId="0" xr:uid="{00000000-0006-0000-2200-000002000000}">
      <text>
        <r>
          <rPr>
            <b/>
            <sz val="9"/>
            <color indexed="81"/>
            <rFont val="Tahoma"/>
            <family val="2"/>
          </rPr>
          <t>Author:</t>
        </r>
        <r>
          <rPr>
            <sz val="9"/>
            <color indexed="81"/>
            <rFont val="Tahoma"/>
            <family val="2"/>
          </rPr>
          <t xml:space="preserve">
1 = Outline Business Case</t>
        </r>
      </text>
    </comment>
    <comment ref="AT504" authorId="0" shapeId="0" xr:uid="{00000000-0006-0000-2200-000003000000}">
      <text>
        <r>
          <rPr>
            <b/>
            <sz val="9"/>
            <color indexed="81"/>
            <rFont val="Tahoma"/>
            <family val="2"/>
          </rPr>
          <t>Author:</t>
        </r>
        <r>
          <rPr>
            <sz val="9"/>
            <color indexed="81"/>
            <rFont val="Tahoma"/>
            <family val="2"/>
          </rPr>
          <t xml:space="preserve">
1 = Full Business Case</t>
        </r>
      </text>
    </comment>
    <comment ref="AT527" authorId="0" shapeId="0" xr:uid="{00000000-0006-0000-2200-000004000000}">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3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<sst xmlns="http://schemas.openxmlformats.org/spreadsheetml/2006/main" count="62529" uniqueCount="5156">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</sst>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64"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43"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DATA\EXCEL\WATER\MANAGE\Regulation\Regulatory%20Accounts\2022-23\PR19RCV-SSC-FINAL.xlsx" TargetMode="External"/><Relationship Id="rId1" Type="http://schemas.openxmlformats.org/officeDocument/2006/relationships/externalLinkPath" Target="/DATA/EXCEL/WATER/MANAGE/Regulation/Regulatory%20Accounts/2022-23/PR19RCV-SSC-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03 &gt;&gt;&gt;&gt;&gt;"/>
      <sheetName val="Cover"/>
      <sheetName val="Style guide"/>
      <sheetName val="ToC"/>
      <sheetName val="F_Inputs"/>
      <sheetName val="CLEAR_SHEET"/>
      <sheetName val="Inp"/>
      <sheetName val="Time"/>
      <sheetName val="Index"/>
      <sheetName val="PR19FDPublishedTables"/>
      <sheetName val="Update"/>
      <sheetName val="SummaryOutput"/>
      <sheetName val="SummaryTables"/>
      <sheetName val="SummaryDashboard"/>
      <sheetName val="Validation"/>
      <sheetName val="{Update-UsingOnlyCPIH}"/>
    </sheetNames>
    <sheetDataSet>
      <sheetData sheetId="0"/>
      <sheetData sheetId="1"/>
      <sheetData sheetId="2"/>
      <sheetData sheetId="3"/>
      <sheetData sheetId="4"/>
      <sheetData sheetId="5"/>
      <sheetData sheetId="6"/>
      <sheetData sheetId="7"/>
      <sheetData sheetId="8"/>
      <sheetData sheetId="9"/>
      <sheetData sheetId="10">
        <row r="174">
          <cell r="Q174">
            <v>22.361010573575918</v>
          </cell>
        </row>
        <row r="354">
          <cell r="Q354">
            <v>409.69928423121155</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3.8" zeroHeight="1"/>
  <cols>
    <col min="1" max="1" width="2.59765625" style="1536" customWidth="1"/>
    <col min="2" max="2" width="2.09765625" style="1536" customWidth="1"/>
    <col min="3" max="3" width="133" style="171" customWidth="1"/>
    <col min="4" max="4" width="2.09765625" style="1536" customWidth="1"/>
    <col min="5" max="5" width="8.09765625" style="1536" customWidth="1"/>
    <col min="6" max="16384" width="9" style="1536" hidden="1"/>
  </cols>
  <sheetData>
    <row r="1" spans="2:4" ht="30.6">
      <c r="B1" s="396" t="s">
        <v>0</v>
      </c>
      <c r="C1" s="246"/>
      <c r="D1" s="246"/>
    </row>
    <row r="2" spans="2:4" ht="22.2" thickBot="1">
      <c r="B2" s="1537"/>
      <c r="C2" s="1536"/>
    </row>
    <row r="3" spans="2:4" ht="21.6">
      <c r="B3" s="1541" t="s">
        <v>1</v>
      </c>
      <c r="C3" s="1542"/>
      <c r="D3" s="1543"/>
    </row>
    <row r="4" spans="2:4" ht="207.75" customHeight="1">
      <c r="B4" s="1545"/>
      <c r="C4" s="1538" t="s">
        <v>2</v>
      </c>
      <c r="D4" s="1544"/>
    </row>
    <row r="5" spans="2:4" ht="39.9" customHeight="1">
      <c r="B5" s="1545"/>
      <c r="C5" s="1538" t="s">
        <v>3</v>
      </c>
      <c r="D5" s="1544"/>
    </row>
    <row r="6" spans="2:4" ht="21.6">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1.6">
      <c r="B15" s="1814"/>
      <c r="C15" s="2050" t="s">
        <v>13</v>
      </c>
      <c r="D15" s="1815"/>
    </row>
    <row r="16" spans="2:4" s="1813" customFormat="1" ht="30" customHeight="1">
      <c r="B16" s="1814"/>
      <c r="C16" s="2049" t="s">
        <v>14</v>
      </c>
      <c r="D16" s="1815"/>
    </row>
    <row r="17" spans="2:5" s="1813" customFormat="1" ht="84.9"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1.6">
      <c r="B22" s="1546" t="s">
        <v>20</v>
      </c>
      <c r="C22" s="1539"/>
      <c r="D22" s="1547"/>
    </row>
    <row r="23" spans="2:5" ht="30" customHeight="1">
      <c r="B23" s="1545"/>
      <c r="C23" s="1538" t="s">
        <v>21</v>
      </c>
      <c r="D23" s="1544"/>
    </row>
    <row r="24" spans="2:5" ht="21.6">
      <c r="B24" s="1546" t="s">
        <v>22</v>
      </c>
      <c r="C24" s="1539"/>
      <c r="D24" s="1547"/>
    </row>
    <row r="25" spans="2:5" ht="45" customHeight="1">
      <c r="B25" s="1545"/>
      <c r="C25" s="1538" t="s">
        <v>23</v>
      </c>
      <c r="D25" s="1544"/>
    </row>
    <row r="26" spans="2:5" ht="21.6">
      <c r="B26" s="1546" t="s">
        <v>24</v>
      </c>
      <c r="C26" s="1539"/>
      <c r="D26" s="1547"/>
    </row>
    <row r="27" spans="2:5" ht="20.100000000000001" customHeight="1">
      <c r="B27" s="1545"/>
      <c r="C27" s="1538" t="s">
        <v>25</v>
      </c>
      <c r="D27" s="1544"/>
      <c r="E27" s="1860"/>
    </row>
    <row r="28" spans="2:5" ht="20.100000000000001" customHeight="1">
      <c r="B28" s="1545"/>
      <c r="C28" s="2052" t="s">
        <v>26</v>
      </c>
      <c r="D28" s="1544"/>
    </row>
    <row r="29" spans="2:5" ht="20.100000000000001" customHeight="1">
      <c r="B29" s="1545"/>
      <c r="C29" s="2052" t="s">
        <v>27</v>
      </c>
      <c r="D29" s="1544"/>
    </row>
    <row r="30" spans="2:5" ht="20.100000000000001"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00000000-0004-0000-0000-000000000000}"/>
    <hyperlink ref="C28" r:id="rId2" xr:uid="{00000000-0004-0000-0000-000001000000}"/>
    <hyperlink ref="C30" r:id="rId3" xr:uid="{00000000-0004-0000-0000-000002000000}"/>
    <hyperlink ref="C29" r:id="rId4" xr:uid="{00000000-0004-0000-0000-000003000000}"/>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7" zoomScaleNormal="100" zoomScaleSheetLayoutView="100" workbookViewId="0">
      <selection activeCell="L19" sqref="L19"/>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41</v>
      </c>
      <c r="C1" s="2164"/>
      <c r="D1" s="2165"/>
      <c r="E1" s="2165"/>
      <c r="F1" s="6"/>
      <c r="G1" s="6"/>
      <c r="S1" s="1970" t="str">
        <f>'Validation summary'!$B$2</f>
        <v>2024-25</v>
      </c>
      <c r="U1" s="319"/>
      <c r="AE1" s="319"/>
      <c r="AO1" s="319"/>
    </row>
    <row r="2" spans="2:55" s="1" customFormat="1" ht="10.199999999999999"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South Staffs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591</v>
      </c>
      <c r="AT6" s="2135" t="s">
        <v>592</v>
      </c>
      <c r="AU6" s="2135" t="s">
        <v>595</v>
      </c>
      <c r="AV6" s="2135" t="s">
        <v>594</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7.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597</v>
      </c>
      <c r="C9" s="308" t="s">
        <v>598</v>
      </c>
      <c r="D9" s="373" t="s">
        <v>599</v>
      </c>
      <c r="E9" s="2095"/>
      <c r="F9" s="2096"/>
      <c r="G9" s="2097"/>
      <c r="H9" s="352"/>
      <c r="I9" s="352"/>
      <c r="J9" s="352"/>
      <c r="K9" s="352"/>
      <c r="L9" s="352"/>
      <c r="N9" s="26"/>
      <c r="P9" s="292" t="s">
        <v>600</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601</v>
      </c>
      <c r="C10" s="308" t="s">
        <v>598</v>
      </c>
      <c r="D10" s="373" t="s">
        <v>599</v>
      </c>
      <c r="E10" s="2098"/>
      <c r="F10" s="2096"/>
      <c r="G10" s="2099"/>
      <c r="H10" s="353"/>
      <c r="I10" s="353"/>
      <c r="J10" s="353"/>
      <c r="K10" s="353"/>
      <c r="L10" s="353"/>
      <c r="N10" s="26"/>
      <c r="P10" s="292" t="s">
        <v>602</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178</v>
      </c>
      <c r="C11" s="308" t="s">
        <v>598</v>
      </c>
      <c r="D11" s="373" t="s">
        <v>599</v>
      </c>
      <c r="E11" s="2095"/>
      <c r="F11" s="2096"/>
      <c r="G11" s="2099"/>
      <c r="H11" s="353"/>
      <c r="I11" s="353"/>
      <c r="J11" s="353"/>
      <c r="K11" s="353"/>
      <c r="L11" s="353"/>
      <c r="N11" s="26"/>
      <c r="P11" s="292" t="s">
        <v>603</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604</v>
      </c>
      <c r="C12" s="308" t="s">
        <v>605</v>
      </c>
      <c r="D12" s="1301" t="s">
        <v>606</v>
      </c>
      <c r="E12" s="1969">
        <f>'3F.1'!E12+'3F.2'!E12</f>
        <v>1746.2359999999999</v>
      </c>
      <c r="F12" s="1837">
        <f>'3F.1'!F12+'3F.2'!F12</f>
        <v>240.42000000000002</v>
      </c>
      <c r="G12" s="1834">
        <f>IFERROR(ROUND((F12 / E12)*1000,1),"")</f>
        <v>137.69999999999999</v>
      </c>
      <c r="H12" s="356"/>
      <c r="I12" s="356"/>
      <c r="J12" s="356"/>
      <c r="K12" s="356"/>
      <c r="L12" s="356"/>
      <c r="N12" s="26"/>
      <c r="P12" s="292" t="s">
        <v>607</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608</v>
      </c>
      <c r="AU12" s="1472" t="s">
        <v>609</v>
      </c>
      <c r="AV12" s="1465" t="s">
        <v>610</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4">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6">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628</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38">
        <f>'3F.1'!D18+'3F.2'!D18</f>
        <v>90.6</v>
      </c>
      <c r="E18" s="1838">
        <f>'3F.1'!E18+'3F.2'!E18</f>
        <v>89.4</v>
      </c>
      <c r="F18" s="1838">
        <f>'3F.1'!F18+'3F.2'!F18</f>
        <v>84.8</v>
      </c>
      <c r="G18" s="1840">
        <f>IFERROR(ROUND(AVERAGE(D18:F18),1),"")</f>
        <v>88.3</v>
      </c>
      <c r="H18" s="1839">
        <f>'3F.1'!H18+'3F.2'!H18</f>
        <v>79</v>
      </c>
      <c r="I18" s="1839">
        <f>'3F.1'!I18+'3F.2'!I18</f>
        <v>79.099999999999994</v>
      </c>
      <c r="J18" s="1967">
        <f>'3F.1'!J18+'3F.2'!J18</f>
        <v>78.7</v>
      </c>
      <c r="K18" s="1845">
        <f>'3F.1'!K18+'3F.2'!K18</f>
        <v>74.5</v>
      </c>
      <c r="L18" s="1845">
        <f>'3F.1'!L18+'3F.2'!L18</f>
        <v>72</v>
      </c>
      <c r="M18" s="1965">
        <f>IFERROR(IF('Validation summary'!$B$2="2023-24",ROUND(AVERAGE($I18:$K18),1),IF('Validation summary'!$B$2="2024-25",ROUND(AVERAGE($J18:$L18),1),ROUND(AVERAGE($H18:$J18),1))),"")</f>
        <v>75.099999999999994</v>
      </c>
      <c r="N18" s="1841">
        <f>IFERROR((1-M18/G18)*100,"")</f>
        <v>14.949037372593432</v>
      </c>
      <c r="P18" s="292" t="s">
        <v>631</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632</v>
      </c>
      <c r="AW18" s="1514"/>
      <c r="AX18" s="1515" t="s">
        <v>633</v>
      </c>
      <c r="AY18" s="1514"/>
      <c r="AZ18" s="1514"/>
      <c r="BA18" s="1514"/>
      <c r="BB18" s="1513" t="s">
        <v>634</v>
      </c>
      <c r="BC18" s="1513" t="s">
        <v>161</v>
      </c>
    </row>
    <row r="19" spans="2:55" s="21" customFormat="1" ht="25.5" customHeight="1">
      <c r="B19" s="308" t="s">
        <v>604</v>
      </c>
      <c r="C19" s="308" t="s">
        <v>605</v>
      </c>
      <c r="D19" s="1838">
        <v>129.43815971495653</v>
      </c>
      <c r="E19" s="1838">
        <v>133.21915995509588</v>
      </c>
      <c r="F19" s="1838">
        <v>126.56198101580513</v>
      </c>
      <c r="G19" s="1840">
        <f>IFERROR(ROUND(AVERAGE(D19:F19),1),"")</f>
        <v>129.69999999999999</v>
      </c>
      <c r="H19" s="1839">
        <v>150.77173219124799</v>
      </c>
      <c r="I19" s="1839">
        <v>147.43507606363139</v>
      </c>
      <c r="J19" s="2117">
        <v>141.5</v>
      </c>
      <c r="K19" s="1981" t="str">
        <f>IF(OR('Validation summary'!$B$2="Select year",'Validation summary'!$B$2="2023-24"),$G$12,"Overtype with 2023-24 forecast")</f>
        <v>Overtype with 2023-24 forecast</v>
      </c>
      <c r="L19" s="1966">
        <f>$G$12</f>
        <v>137.69999999999999</v>
      </c>
      <c r="M19" s="1965">
        <f>IFERROR(IF('Validation summary'!$B$2="2023-24",ROUND(AVERAGE($I19:$K19),1),IF('Validation summary'!$B$2="2024-25",ROUND(AVERAGE($J19:$L19),1),ROUND(AVERAGE($H19:$J19),1))),"")</f>
        <v>139.6</v>
      </c>
      <c r="N19" s="1841">
        <f>IFERROR((1-M19/G19)*100,"")</f>
        <v>-7.6329992289899895</v>
      </c>
      <c r="P19" s="292" t="s">
        <v>635</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636</v>
      </c>
      <c r="AW19" s="1514"/>
      <c r="AX19" s="1515" t="s">
        <v>610</v>
      </c>
      <c r="AY19" s="1514"/>
      <c r="AZ19" s="1514"/>
      <c r="BA19" s="1514"/>
      <c r="BB19" s="1513" t="s">
        <v>637</v>
      </c>
      <c r="BC19" s="1513" t="s">
        <v>170</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591</v>
      </c>
      <c r="E22" s="2135" t="s">
        <v>638</v>
      </c>
      <c r="F22" s="2135" t="s">
        <v>639</v>
      </c>
      <c r="G22" s="2135" t="s">
        <v>640</v>
      </c>
      <c r="H22" s="2135" t="s">
        <v>641</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591</v>
      </c>
      <c r="AT22" s="2135" t="s">
        <v>638</v>
      </c>
      <c r="AU22" s="2135" t="s">
        <v>639</v>
      </c>
      <c r="AV22" s="2135" t="s">
        <v>640</v>
      </c>
      <c r="AW22" s="2135" t="s">
        <v>641</v>
      </c>
      <c r="AX22" s="1356"/>
      <c r="AY22" s="1356"/>
      <c r="AZ22" s="1356"/>
      <c r="BA22" s="1356"/>
      <c r="BB22" s="1356"/>
      <c r="BC22" s="1356"/>
    </row>
    <row r="23" spans="2:55" s="9" customFormat="1" ht="15.6">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2" customHeight="1">
      <c r="B24" s="309" t="s">
        <v>154</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73" t="s">
        <v>643</v>
      </c>
      <c r="E25" s="2085"/>
      <c r="F25" s="2100"/>
      <c r="G25" s="2101"/>
      <c r="H25" s="2102"/>
      <c r="I25" s="364"/>
      <c r="J25" s="364"/>
      <c r="K25" s="364"/>
      <c r="L25" s="364"/>
      <c r="M25" s="349"/>
      <c r="N25" s="26"/>
      <c r="P25" s="292" t="s">
        <v>644</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2"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2"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645</v>
      </c>
      <c r="AS28" s="2135" t="s">
        <v>646</v>
      </c>
      <c r="AT28" s="2135" t="s">
        <v>647</v>
      </c>
      <c r="AU28" s="1356"/>
      <c r="AV28" s="1356"/>
      <c r="AW28" s="1356"/>
      <c r="AX28" s="1356"/>
      <c r="AY28" s="1356"/>
      <c r="AZ28" s="1356"/>
      <c r="BA28" s="1356"/>
      <c r="BB28" s="1356"/>
      <c r="BC28" s="1356"/>
    </row>
    <row r="29" spans="2:55" s="9" customFormat="1" ht="15.6">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6">
      <c r="B30" s="309" t="s">
        <v>648</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184</v>
      </c>
      <c r="C31" s="2103"/>
      <c r="D31" s="2104"/>
      <c r="E31" s="2105"/>
      <c r="F31" s="255"/>
      <c r="G31" s="26"/>
      <c r="H31" s="26"/>
      <c r="I31" s="26"/>
      <c r="J31" s="26"/>
      <c r="K31" s="26"/>
      <c r="L31" s="26"/>
      <c r="M31" s="26"/>
      <c r="N31" s="26"/>
      <c r="P31" s="292" t="s">
        <v>649</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4">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650</v>
      </c>
      <c r="D34" s="2135" t="s">
        <v>651</v>
      </c>
      <c r="E34" s="2135" t="s">
        <v>652</v>
      </c>
      <c r="F34" s="2135" t="s">
        <v>653</v>
      </c>
      <c r="G34" s="2135" t="s">
        <v>654</v>
      </c>
      <c r="H34" s="2135" t="s">
        <v>655</v>
      </c>
      <c r="I34" s="2135" t="s">
        <v>656</v>
      </c>
      <c r="J34" s="2135" t="s">
        <v>657</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650</v>
      </c>
      <c r="AS34" s="2135" t="s">
        <v>651</v>
      </c>
      <c r="AT34" s="2135" t="s">
        <v>652</v>
      </c>
      <c r="AU34" s="2135" t="s">
        <v>653</v>
      </c>
      <c r="AV34" s="2135" t="s">
        <v>654</v>
      </c>
      <c r="AW34" s="2135" t="s">
        <v>655</v>
      </c>
      <c r="AX34" s="2135" t="s">
        <v>656</v>
      </c>
      <c r="AY34" s="2135" t="s">
        <v>657</v>
      </c>
    </row>
    <row r="35" spans="2:51" s="9" customFormat="1" ht="15.6">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7.6">
      <c r="B36" s="309" t="s">
        <v>658</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658</v>
      </c>
      <c r="C37" s="2095"/>
      <c r="D37" s="2096"/>
      <c r="E37" s="2106"/>
      <c r="F37" s="2096"/>
      <c r="G37" s="2101"/>
      <c r="H37" s="2106"/>
      <c r="I37" s="2101"/>
      <c r="J37" s="2106"/>
      <c r="P37" s="292" t="s">
        <v>659</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4">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4">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4">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7.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4">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5" zoomScaleNormal="100" zoomScaleSheetLayoutView="100" workbookViewId="0">
      <selection activeCell="M20" sqref="M20"/>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
      </c>
      <c r="D1" s="2167"/>
      <c r="E1" s="2167"/>
      <c r="F1" s="2167"/>
      <c r="G1" s="6"/>
      <c r="S1" s="1970" t="str">
        <f>'Validation summary'!$B$2</f>
        <v>2024-25</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South Staffs Water - South Staffs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v>1388.9649999999999</v>
      </c>
      <c r="F12" s="1843">
        <v>194.87</v>
      </c>
      <c r="G12" s="1844">
        <f>IFERROR(IF('Validation summary'!$B$3="South Staffs Water",ROUND((F12 / E12)*1000,1),""),"")</f>
        <v>140.30000000000001</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660</v>
      </c>
      <c r="AU12" s="1475" t="s">
        <v>661</v>
      </c>
      <c r="AV12" s="1476" t="s">
        <v>662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75</v>
      </c>
      <c r="E18" s="1845">
        <v>73.2</v>
      </c>
      <c r="F18" s="1845">
        <v>69.8</v>
      </c>
      <c r="G18" s="1846">
        <f>IFERROR(IF(OR('Validation summary'!$B$3="Northumbrian Water",'Validation summary'!$B$3="South Staffs Water"),ROUND(AVERAGE(D18:F18),1),""),"")</f>
        <v>72.7</v>
      </c>
      <c r="H18" s="1847">
        <v>65.900000000000006</v>
      </c>
      <c r="I18" s="1847">
        <v>66.599999999999994</v>
      </c>
      <c r="J18" s="1847">
        <v>65.3</v>
      </c>
      <c r="K18" s="1963">
        <v>61.3</v>
      </c>
      <c r="L18" s="1963">
        <v>58.8</v>
      </c>
      <c r="M18" s="1846">
        <f>IFERROR(IF(OR('Validation summary'!$B$3="Northumbrian Water",'Validation summary'!$B$3="South Staffs Water"),IF('Validation summary'!$B$2="2023-24",ROUND(AVERAGE($I18:$K18),1),IF('Validation summary'!$B$2="2024-25",ROUND(AVERAGE($J18:$L18),1),ROUND(AVERAGE($H18:$J18),1))),""),"")</f>
        <v>61.8</v>
      </c>
      <c r="N18" s="1846">
        <f>IFERROR(IF(OR('Validation summary'!$B$3="Northumbrian Water",'Validation summary'!$B$3="South Staffs Water"),(1-M18/G18)*100,""),"")</f>
        <v>14.993122420907845</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663</v>
      </c>
      <c r="AW18" s="1477"/>
      <c r="AX18" s="1479" t="s">
        <v>664</v>
      </c>
      <c r="AY18" s="1477"/>
      <c r="AZ18" s="1477"/>
      <c r="BA18" s="1477"/>
      <c r="BB18" s="1511" t="s">
        <v>665</v>
      </c>
      <c r="BC18" s="1511" t="s">
        <v>666</v>
      </c>
    </row>
    <row r="19" spans="2:55" s="21" customFormat="1" ht="25.5" customHeight="1">
      <c r="B19" s="308" t="s">
        <v>604</v>
      </c>
      <c r="C19" s="308" t="s">
        <v>605</v>
      </c>
      <c r="D19" s="1845">
        <v>127.5</v>
      </c>
      <c r="E19" s="1845">
        <v>131.6</v>
      </c>
      <c r="F19" s="1845">
        <v>126.5</v>
      </c>
      <c r="G19" s="1846">
        <f>IFERROR(IF('Validation summary'!$B$3="South Staffs Water",ROUND(AVERAGE(D19:F19),1),""),"")</f>
        <v>128.5</v>
      </c>
      <c r="H19" s="1845">
        <v>150.9</v>
      </c>
      <c r="I19" s="1845">
        <v>149</v>
      </c>
      <c r="J19" s="1963">
        <v>142.9</v>
      </c>
      <c r="K19" s="1963">
        <v>141.30000000000001</v>
      </c>
      <c r="L19" s="1962">
        <f>IF('Validation summary'!$B$3="South Staffs Water",$G$12,"")</f>
        <v>140.30000000000001</v>
      </c>
      <c r="M19" s="1846">
        <f>IFERROR(IF('Validation summary'!$B$3="South Staffs Water",IF('Validation summary'!$B$2="2023-24",ROUND(AVERAGE($I19:$K19),1),IF('Validation summary'!$B$2="2024-25",ROUND(AVERAGE($J19:$L19),1),ROUND(AVERAGE($H19:$J19),1))),""),"")</f>
        <v>141.5</v>
      </c>
      <c r="N19" s="1846">
        <f>IFERROR(IF('Validation summary'!$B$3="South Staffs Water",(1-M19/G19)*100,""),"")</f>
        <v>-10.116731517509736</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667</v>
      </c>
      <c r="AW19" s="1477"/>
      <c r="AX19" s="1480" t="s">
        <v>662</v>
      </c>
      <c r="AY19" s="1477"/>
      <c r="AZ19" s="1477"/>
      <c r="BA19" s="1477"/>
      <c r="BB19" s="1511" t="s">
        <v>668</v>
      </c>
      <c r="BC19" s="1511" t="s">
        <v>669</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2"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2"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7" zoomScaleNormal="100" zoomScaleSheetLayoutView="100" workbookViewId="0">
      <selection activeCell="L22" sqref="L22"/>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
      </c>
      <c r="D1" s="2167"/>
      <c r="E1" s="2167"/>
      <c r="F1" s="2167"/>
      <c r="G1" s="6"/>
      <c r="S1" s="1970" t="str">
        <f>'Validation summary'!$B$2</f>
        <v>2024-25</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South Staffs Water - Cambridge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v>357.27100000000002</v>
      </c>
      <c r="F12" s="1843">
        <v>45.55</v>
      </c>
      <c r="G12" s="1844">
        <f>IFERROR(IF('Validation summary'!$B$3="South Staffs Water",ROUND((F12 / E12)*1000,1),""),"")</f>
        <v>127.5</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670</v>
      </c>
      <c r="AU12" s="1475" t="s">
        <v>671</v>
      </c>
      <c r="AV12" s="1476" t="s">
        <v>672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15.6</v>
      </c>
      <c r="E18" s="1845">
        <v>16.2</v>
      </c>
      <c r="F18" s="1845">
        <v>15</v>
      </c>
      <c r="G18" s="1846">
        <f>IFERROR(IF(OR('Validation summary'!$B$3="Northumbrian Water",'Validation summary'!$B$3="South Staffs Water"),ROUND(AVERAGE(D18:F18),1),""),"")</f>
        <v>15.6</v>
      </c>
      <c r="H18" s="1847">
        <v>13.1</v>
      </c>
      <c r="I18" s="1847">
        <v>12.5</v>
      </c>
      <c r="J18" s="1847">
        <v>13.4</v>
      </c>
      <c r="K18" s="1963">
        <v>13.2</v>
      </c>
      <c r="L18" s="1963">
        <v>13.2</v>
      </c>
      <c r="M18" s="1846">
        <f>IFERROR(IF(OR('Validation summary'!$B$3="Northumbrian Water",'Validation summary'!$B$3="South Staffs Water"),IF('Validation summary'!$B$2="2023-24",ROUND(AVERAGE($I18:$K18),1),IF('Validation summary'!$B$2="2024-25",ROUND(AVERAGE($J18:$L18),1),ROUND(AVERAGE($H18:$J18),1))),""),"")</f>
        <v>13.3</v>
      </c>
      <c r="N18" s="1846">
        <f>IFERROR(IF(OR('Validation summary'!$B$3="Northumbrian Water",'Validation summary'!$B$3="South Staffs Water"),(1-M18/G18)*100,""),"")</f>
        <v>14.743589743589736</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673</v>
      </c>
      <c r="AW18" s="1477"/>
      <c r="AX18" s="1479" t="s">
        <v>674</v>
      </c>
      <c r="AY18" s="1477"/>
      <c r="AZ18" s="1477"/>
      <c r="BA18" s="1477"/>
      <c r="BB18" s="1511" t="s">
        <v>675</v>
      </c>
      <c r="BC18" s="1511" t="s">
        <v>165</v>
      </c>
    </row>
    <row r="19" spans="2:55" s="21" customFormat="1" ht="25.5" customHeight="1">
      <c r="B19" s="308" t="s">
        <v>604</v>
      </c>
      <c r="C19" s="308" t="s">
        <v>605</v>
      </c>
      <c r="D19" s="1845">
        <v>137.4</v>
      </c>
      <c r="E19" s="1845">
        <v>140</v>
      </c>
      <c r="F19" s="1845">
        <v>127</v>
      </c>
      <c r="G19" s="1846">
        <f>IFERROR(IF('Validation summary'!$B$3="South Staffs Water",ROUND(AVERAGE(D19:F19),1),""),"")</f>
        <v>134.80000000000001</v>
      </c>
      <c r="H19" s="1845">
        <v>150.4</v>
      </c>
      <c r="I19" s="1845">
        <v>141</v>
      </c>
      <c r="J19" s="1963">
        <v>135.9</v>
      </c>
      <c r="K19" s="1963">
        <v>127.5</v>
      </c>
      <c r="L19" s="1962">
        <f>IF('Validation summary'!$B$3="South Staffs Water",$G$12,"")</f>
        <v>127.5</v>
      </c>
      <c r="M19" s="1846">
        <f>IFERROR(IF('Validation summary'!$B$3="South Staffs Water",IF('Validation summary'!$B$2="2023-24",ROUND(AVERAGE($I19:$K19),1),IF('Validation summary'!$B$2="2024-25",ROUND(AVERAGE($J19:$L19),1),ROUND(AVERAGE($H19:$J19),1))),""),"")</f>
        <v>130.30000000000001</v>
      </c>
      <c r="N19" s="1846">
        <f>IFERROR(IF('Validation summary'!$B$3="South Staffs Water",(1-M19/G19)*100,""),"")</f>
        <v>3.3382789317507378</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676</v>
      </c>
      <c r="AW19" s="1477"/>
      <c r="AX19" s="1480" t="s">
        <v>672</v>
      </c>
      <c r="AY19" s="1477"/>
      <c r="AZ19" s="1477"/>
      <c r="BA19" s="1477"/>
      <c r="BB19" s="1511" t="s">
        <v>677</v>
      </c>
      <c r="BC19" s="1511" t="s">
        <v>174</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2"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2"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2"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46</v>
      </c>
      <c r="C1" s="2067" t="s">
        <v>116</v>
      </c>
      <c r="D1" s="6"/>
      <c r="F1" s="6"/>
      <c r="G1" s="6"/>
      <c r="H1" s="6"/>
      <c r="M1" s="1970" t="str">
        <f>'Validation summary'!$B$2</f>
        <v>2024-25</v>
      </c>
      <c r="V1" s="319"/>
      <c r="AB1" s="319"/>
      <c r="AH1" s="319"/>
    </row>
    <row r="2" spans="2:42" s="1" customFormat="1" ht="10.199999999999999"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South Staffs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4">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4">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591</v>
      </c>
      <c r="F6" s="2135" t="s">
        <v>638</v>
      </c>
      <c r="G6" s="2135" t="s">
        <v>678</v>
      </c>
      <c r="H6" s="2135" t="s">
        <v>679</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591</v>
      </c>
      <c r="AN6" s="2135" t="s">
        <v>638</v>
      </c>
      <c r="AO6" s="2135" t="s">
        <v>678</v>
      </c>
      <c r="AP6" s="2135" t="s">
        <v>679</v>
      </c>
    </row>
    <row r="7" spans="2:42" s="9" customFormat="1" ht="15.6">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680</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680</v>
      </c>
      <c r="AK8" s="285"/>
      <c r="AL8" s="284"/>
      <c r="AM8" s="284"/>
      <c r="AN8" s="284"/>
      <c r="AO8" s="284"/>
      <c r="AP8" s="284"/>
    </row>
    <row r="9" spans="2:42" s="21" customFormat="1" ht="55.2" customHeight="1">
      <c r="B9" s="308" t="s">
        <v>681</v>
      </c>
      <c r="C9" s="293" t="str">
        <f>IF(OR($J$3="Select company",'Validation summary'!$F$3="WoC"),"",VLOOKUP('3A'!$R$1,C_ISF,2,0))</f>
        <v/>
      </c>
      <c r="D9" s="308" t="s">
        <v>682</v>
      </c>
      <c r="E9" s="373" t="s">
        <v>683</v>
      </c>
      <c r="F9" s="2085"/>
      <c r="G9" s="2090"/>
      <c r="H9" s="2091"/>
      <c r="J9" s="292" t="s">
        <v>684</v>
      </c>
      <c r="L9" s="2083"/>
      <c r="M9" s="2084"/>
      <c r="N9" s="256"/>
      <c r="O9" s="2168"/>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81"/>
      <c r="AO9" s="1485"/>
      <c r="AP9" s="1462"/>
    </row>
    <row r="10" spans="2:42" s="21" customFormat="1" ht="55.2" customHeight="1">
      <c r="B10" s="308" t="s">
        <v>685</v>
      </c>
      <c r="C10" s="293" t="str">
        <f>IF(OR($J$3="Select company",'Validation summary'!$F$3="WoC"),"",VLOOKUP('3A'!$R$1,C_ISF,2,0))</f>
        <v/>
      </c>
      <c r="D10" s="308" t="s">
        <v>682</v>
      </c>
      <c r="E10" s="373" t="s">
        <v>683</v>
      </c>
      <c r="F10" s="2092"/>
      <c r="G10" s="2090"/>
      <c r="H10" s="2091"/>
      <c r="J10" s="292" t="s">
        <v>686</v>
      </c>
      <c r="L10" s="2083"/>
      <c r="M10" s="2084"/>
      <c r="N10" s="256"/>
      <c r="O10" s="2168"/>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81"/>
      <c r="AO10" s="1485"/>
      <c r="AP10" s="1462"/>
    </row>
    <row r="11" spans="2:42" s="21" customFormat="1" ht="55.2" customHeight="1">
      <c r="B11" s="308" t="s">
        <v>687</v>
      </c>
      <c r="C11" s="293" t="str">
        <f>IF(OR($J$3="Select company",'Validation summary'!$F$3="WoC"),"",VLOOKUP('3A'!$R$1,C_ISF,2,0))</f>
        <v/>
      </c>
      <c r="D11" s="308" t="s">
        <v>682</v>
      </c>
      <c r="E11" s="373" t="s">
        <v>683</v>
      </c>
      <c r="F11" s="2085"/>
      <c r="G11" s="2093"/>
      <c r="H11" s="2091"/>
      <c r="J11" s="292" t="s">
        <v>688</v>
      </c>
      <c r="L11" s="2083"/>
      <c r="M11" s="2084"/>
      <c r="N11" s="256"/>
      <c r="O11" s="2168"/>
      <c r="V11" s="1357"/>
      <c r="W11" s="325"/>
      <c r="X11" s="325"/>
      <c r="Y11" s="325"/>
      <c r="Z11" s="325"/>
      <c r="AA11" s="325"/>
      <c r="AB11" s="1357"/>
      <c r="AC11" s="329"/>
      <c r="AD11" s="329"/>
      <c r="AE11" s="329"/>
      <c r="AF11" s="325"/>
      <c r="AG11" s="329"/>
      <c r="AH11" s="1357"/>
      <c r="AJ11" s="308" t="str">
        <f t="shared" si="1"/>
        <v>Internal sewer flooding</v>
      </c>
      <c r="AK11" s="308" t="str">
        <f t="shared" si="0"/>
        <v/>
      </c>
      <c r="AL11" s="308" t="str">
        <f t="shared" si="0"/>
        <v>Number of internal sewer flooding incidents per 10,000 sewer connection</v>
      </c>
      <c r="AM11" s="373" t="str">
        <f t="shared" si="0"/>
        <v>Number of sewer connections</v>
      </c>
      <c r="AN11" s="1483"/>
      <c r="AO11" s="1484"/>
      <c r="AP11" s="1462"/>
    </row>
    <row r="12" spans="2:42" s="21" customFormat="1" ht="55.2" customHeight="1">
      <c r="B12" s="308" t="s">
        <v>689</v>
      </c>
      <c r="C12" s="293" t="str">
        <f>IF(OR($J$3="Select company",'Validation summary'!$F$3="WoC"),"",VLOOKUP('3A'!$R$1,C_PI,2,0))</f>
        <v/>
      </c>
      <c r="D12" s="308" t="s">
        <v>690</v>
      </c>
      <c r="E12" s="308" t="s">
        <v>691</v>
      </c>
      <c r="F12" s="2094"/>
      <c r="G12" s="2088"/>
      <c r="H12" s="2091"/>
      <c r="J12" s="292" t="s">
        <v>692</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
      </c>
      <c r="AL12" s="308" t="str">
        <f t="shared" si="0"/>
        <v>Pollution incidents per 10,000 km of sewer length</v>
      </c>
      <c r="AM12" s="373" t="str">
        <f t="shared" si="0"/>
        <v>Sewer length in km</v>
      </c>
      <c r="AN12" s="1483"/>
      <c r="AO12" s="1485"/>
      <c r="AP12" s="1462"/>
    </row>
    <row r="13" spans="2:42" s="21" customFormat="1" ht="55.2" customHeight="1">
      <c r="B13" s="308" t="s">
        <v>693</v>
      </c>
      <c r="C13" s="293" t="str">
        <f>IF(OR($J$3="Select company",'Validation summary'!$F$3="WoC"),"",VLOOKUP('3A'!$R$1,C_SC,2,0))</f>
        <v/>
      </c>
      <c r="D13" s="308" t="s">
        <v>694</v>
      </c>
      <c r="E13" s="373" t="s">
        <v>691</v>
      </c>
      <c r="F13" s="2085"/>
      <c r="G13" s="2090"/>
      <c r="H13" s="2091"/>
      <c r="J13" s="292" t="s">
        <v>695</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
      </c>
      <c r="AL13" s="308" t="str">
        <f t="shared" si="0"/>
        <v>Number of sewer collapses per 1,000 km of all sewers</v>
      </c>
      <c r="AM13" s="373" t="str">
        <f t="shared" si="0"/>
        <v>Sewer length in km</v>
      </c>
      <c r="AN13" s="1483"/>
      <c r="AO13" s="1485"/>
      <c r="AP13" s="1462"/>
    </row>
    <row r="14" spans="2:42" s="9" customFormat="1" ht="14.4">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4">
      <c r="B15" s="276" t="s">
        <v>299</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6">
      <c r="V16" s="1358"/>
      <c r="W16" s="334"/>
      <c r="X16" s="334"/>
      <c r="Y16" s="334"/>
      <c r="Z16" s="334"/>
      <c r="AA16" s="334"/>
      <c r="AB16" s="322"/>
      <c r="AC16" s="322"/>
      <c r="AD16" s="322"/>
      <c r="AE16" s="322"/>
      <c r="AF16" s="335"/>
      <c r="AG16" s="322"/>
      <c r="AH16" s="1358"/>
    </row>
    <row r="17" spans="2:34" ht="15.6">
      <c r="B17" s="1818" t="s">
        <v>300</v>
      </c>
      <c r="V17" s="1358"/>
      <c r="W17" s="334"/>
      <c r="X17" s="334"/>
      <c r="Y17" s="334"/>
      <c r="Z17" s="334"/>
      <c r="AA17" s="334"/>
      <c r="AB17" s="322"/>
      <c r="AC17" s="322"/>
      <c r="AD17" s="322"/>
      <c r="AE17" s="322"/>
      <c r="AF17" s="335"/>
      <c r="AG17" s="322"/>
      <c r="AH17" s="1358"/>
    </row>
    <row r="18" spans="2:34" ht="15.6">
      <c r="V18" s="1358"/>
      <c r="W18" s="334"/>
      <c r="X18" s="334"/>
      <c r="Y18" s="334"/>
      <c r="Z18" s="334"/>
      <c r="AA18" s="334"/>
      <c r="AB18" s="322"/>
      <c r="AC18" s="322"/>
      <c r="AD18" s="322"/>
      <c r="AE18" s="322"/>
      <c r="AF18" s="335"/>
      <c r="AG18" s="322"/>
      <c r="AH18" s="1358"/>
    </row>
    <row r="19" spans="2:34" ht="27.6">
      <c r="B19" s="1968" t="s">
        <v>301</v>
      </c>
      <c r="V19" s="1358"/>
      <c r="W19" s="334"/>
      <c r="X19" s="334"/>
      <c r="Y19" s="334"/>
      <c r="Z19" s="334"/>
      <c r="AA19" s="334"/>
      <c r="AB19" s="322"/>
      <c r="AC19" s="322"/>
      <c r="AD19" s="322"/>
      <c r="AE19" s="322"/>
      <c r="AF19" s="335"/>
      <c r="AG19" s="322"/>
      <c r="AH19" s="1358"/>
    </row>
    <row r="20" spans="2:34" ht="15.6">
      <c r="V20" s="1358"/>
      <c r="W20" s="334"/>
      <c r="X20" s="334"/>
      <c r="Y20" s="334"/>
      <c r="Z20" s="334"/>
      <c r="AA20" s="334"/>
      <c r="AB20" s="322"/>
      <c r="AC20" s="322"/>
      <c r="AD20" s="322"/>
      <c r="AE20" s="322"/>
      <c r="AF20" s="335"/>
      <c r="AG20" s="322"/>
      <c r="AH20" s="1358"/>
    </row>
    <row r="21" spans="2:34" ht="15.6">
      <c r="B21" s="1819" t="s">
        <v>302</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20" t="s">
        <v>303</v>
      </c>
    </row>
    <row r="24" spans="2:34"/>
    <row r="25" spans="2:34" ht="14.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G18" sqref="G18"/>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48</v>
      </c>
      <c r="C1" s="5"/>
      <c r="J1" s="1970" t="str">
        <f>'Validation summary'!$B$2</f>
        <v>2024-25</v>
      </c>
      <c r="V1" s="319"/>
      <c r="AB1" s="319"/>
      <c r="AH1" s="319"/>
    </row>
    <row r="2" spans="2:37" s="1" customFormat="1" ht="10.199999999999999" customHeight="1">
      <c r="B2" s="7"/>
      <c r="C2" s="7"/>
      <c r="V2" s="319"/>
      <c r="AB2" s="319"/>
      <c r="AH2" s="319"/>
    </row>
    <row r="3" spans="2:37" s="9" customFormat="1" ht="31.5" customHeight="1">
      <c r="B3" s="295" t="s">
        <v>696</v>
      </c>
      <c r="C3" s="295"/>
      <c r="D3" s="295"/>
      <c r="E3" s="295"/>
      <c r="F3" s="1671"/>
      <c r="G3" s="307" t="str">
        <f>'Validation summary'!$B$3</f>
        <v>South Staffs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697</v>
      </c>
      <c r="D6" s="280"/>
      <c r="E6" s="2135" t="s">
        <v>137</v>
      </c>
      <c r="F6" s="15"/>
      <c r="G6" s="1356"/>
      <c r="H6" s="1356"/>
      <c r="I6" s="2134" t="s">
        <v>138</v>
      </c>
      <c r="J6" s="2134" t="s">
        <v>139</v>
      </c>
      <c r="K6" s="1356"/>
      <c r="L6" s="1356"/>
      <c r="M6" s="1356"/>
      <c r="N6" s="1356"/>
      <c r="O6" s="1356"/>
      <c r="P6" s="1356"/>
      <c r="Q6" s="1356"/>
      <c r="R6" s="1356"/>
      <c r="S6" s="1356"/>
      <c r="T6" s="1356"/>
      <c r="U6" s="1356"/>
      <c r="V6" s="1357"/>
      <c r="W6" s="327" t="s">
        <v>698</v>
      </c>
      <c r="X6" s="1356"/>
      <c r="Y6" s="1356"/>
      <c r="Z6" s="1356"/>
      <c r="AA6" s="1356"/>
      <c r="AB6" s="1357"/>
      <c r="AC6" s="327" t="s">
        <v>699</v>
      </c>
      <c r="AD6" s="1356"/>
      <c r="AE6" s="327"/>
      <c r="AF6" s="327"/>
      <c r="AG6" s="1356"/>
      <c r="AH6" s="1357"/>
      <c r="AI6" s="1356"/>
      <c r="AJ6" s="2136" t="s">
        <v>129</v>
      </c>
      <c r="AK6" s="2135" t="s">
        <v>697</v>
      </c>
    </row>
    <row r="7" spans="2:37" s="9" customFormat="1" ht="15.6">
      <c r="B7" s="282"/>
      <c r="C7" s="2135" t="s">
        <v>700</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6">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701</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702</v>
      </c>
      <c r="C10" s="1829">
        <f>'Model outputs - Aggregate level'!$F40</f>
        <v>4.7468400000000001E-2</v>
      </c>
      <c r="D10" s="35"/>
      <c r="E10" s="292" t="s">
        <v>703</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704</v>
      </c>
    </row>
    <row r="11" spans="2:37" s="9" customFormat="1" ht="20.25" customHeight="1">
      <c r="B11" s="288" t="s">
        <v>705</v>
      </c>
      <c r="C11" s="1829">
        <f>'Model outputs - Aggregate level'!$F41</f>
        <v>0.68105159999999987</v>
      </c>
      <c r="D11" s="35"/>
      <c r="E11" s="292" t="s">
        <v>706</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707</v>
      </c>
    </row>
    <row r="12" spans="2:37" s="9" customFormat="1" ht="20.25" customHeight="1">
      <c r="B12" s="288" t="s">
        <v>708</v>
      </c>
      <c r="C12" s="1829">
        <f>'Model outputs - Aggregate level'!$F42</f>
        <v>0</v>
      </c>
      <c r="D12" s="35"/>
      <c r="E12" s="292" t="s">
        <v>709</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710</v>
      </c>
    </row>
    <row r="13" spans="2:37" s="9" customFormat="1" ht="20.25" customHeight="1">
      <c r="B13" s="288" t="s">
        <v>711</v>
      </c>
      <c r="C13" s="1829">
        <f>'Model outputs - Aggregate level'!$F43</f>
        <v>0</v>
      </c>
      <c r="D13" s="35"/>
      <c r="E13" s="292" t="s">
        <v>712</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713</v>
      </c>
    </row>
    <row r="14" spans="2:37" s="9" customFormat="1" ht="20.25" customHeight="1">
      <c r="B14" s="288" t="s">
        <v>714</v>
      </c>
      <c r="C14" s="1829">
        <f>'Model outputs - Aggregate level'!$F44</f>
        <v>0</v>
      </c>
      <c r="D14" s="35"/>
      <c r="E14" s="292" t="s">
        <v>715</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716</v>
      </c>
    </row>
    <row r="15" spans="2:37" s="9" customFormat="1" ht="20.25" customHeight="1">
      <c r="B15" s="288" t="s">
        <v>717</v>
      </c>
      <c r="C15" s="1829">
        <f>'Model outputs - Aggregate level'!$F45</f>
        <v>0</v>
      </c>
      <c r="D15" s="35"/>
      <c r="E15" s="292" t="s">
        <v>718</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719</v>
      </c>
    </row>
    <row r="16" spans="2:37" s="9" customFormat="1" ht="20.25" customHeight="1">
      <c r="B16" s="288" t="s">
        <v>720</v>
      </c>
      <c r="C16" s="1829">
        <f>'Model outputs - Aggregate level'!$F46</f>
        <v>0</v>
      </c>
      <c r="D16" s="35"/>
      <c r="E16" s="292" t="s">
        <v>721</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722</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723</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723</v>
      </c>
      <c r="AK18" s="12"/>
    </row>
    <row r="19" spans="2:37" s="9" customFormat="1" ht="20.25" customHeight="1">
      <c r="B19" s="288" t="s">
        <v>702</v>
      </c>
      <c r="C19" s="1829">
        <f>'Model outputs - Aggregate level'!$F49</f>
        <v>0</v>
      </c>
      <c r="D19" s="35"/>
      <c r="E19" s="292" t="s">
        <v>724</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725</v>
      </c>
    </row>
    <row r="20" spans="2:37" s="9" customFormat="1" ht="20.25" customHeight="1">
      <c r="B20" s="288" t="s">
        <v>705</v>
      </c>
      <c r="C20" s="1829">
        <f>'Model outputs - Aggregate level'!$F50</f>
        <v>-6.5846999999999998</v>
      </c>
      <c r="D20" s="35"/>
      <c r="E20" s="292" t="s">
        <v>726</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727</v>
      </c>
    </row>
    <row r="21" spans="2:37" s="9" customFormat="1" ht="20.25" customHeight="1">
      <c r="B21" s="288" t="s">
        <v>708</v>
      </c>
      <c r="C21" s="1829">
        <f>'Model outputs - Aggregate level'!$F51</f>
        <v>0</v>
      </c>
      <c r="D21" s="35"/>
      <c r="E21" s="292" t="s">
        <v>728</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729</v>
      </c>
    </row>
    <row r="22" spans="2:37" s="9" customFormat="1" ht="20.25" customHeight="1">
      <c r="B22" s="288" t="s">
        <v>711</v>
      </c>
      <c r="C22" s="1829">
        <f>'Model outputs - Aggregate level'!$F52</f>
        <v>0</v>
      </c>
      <c r="D22" s="35"/>
      <c r="E22" s="292" t="s">
        <v>730</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731</v>
      </c>
    </row>
    <row r="23" spans="2:37" s="9" customFormat="1" ht="20.25" customHeight="1">
      <c r="B23" s="288" t="s">
        <v>714</v>
      </c>
      <c r="C23" s="1829">
        <f>'Model outputs - Aggregate level'!$F53</f>
        <v>0</v>
      </c>
      <c r="D23" s="35"/>
      <c r="E23" s="292" t="s">
        <v>732</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733</v>
      </c>
    </row>
    <row r="24" spans="2:37" s="9" customFormat="1" ht="20.25" customHeight="1">
      <c r="B24" s="288" t="s">
        <v>717</v>
      </c>
      <c r="C24" s="1829">
        <f>'Model outputs - Aggregate level'!$F54</f>
        <v>0</v>
      </c>
      <c r="D24" s="35"/>
      <c r="E24" s="292" t="s">
        <v>734</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735</v>
      </c>
    </row>
    <row r="25" spans="2:37" s="9" customFormat="1" ht="20.25" customHeight="1">
      <c r="B25" s="288" t="s">
        <v>720</v>
      </c>
      <c r="C25" s="1829">
        <f>'Model outputs - Aggregate level'!$F55</f>
        <v>0</v>
      </c>
      <c r="D25" s="35"/>
      <c r="E25" s="292" t="s">
        <v>736</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737</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738</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738</v>
      </c>
      <c r="AK27" s="12"/>
    </row>
    <row r="28" spans="2:37" s="9" customFormat="1" ht="20.25" customHeight="1">
      <c r="B28" s="288" t="s">
        <v>702</v>
      </c>
      <c r="C28" s="1829">
        <f>'Model outputs - Aggregate level'!$F58</f>
        <v>0</v>
      </c>
      <c r="D28" s="35"/>
      <c r="E28" s="292" t="s">
        <v>739</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740</v>
      </c>
    </row>
    <row r="29" spans="2:37" s="9" customFormat="1" ht="20.25" customHeight="1">
      <c r="B29" s="288" t="s">
        <v>705</v>
      </c>
      <c r="C29" s="1829">
        <f>'Model outputs - Aggregate level'!$F59</f>
        <v>0</v>
      </c>
      <c r="D29" s="35"/>
      <c r="E29" s="292" t="s">
        <v>741</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742</v>
      </c>
    </row>
    <row r="30" spans="2:37" s="9" customFormat="1" ht="20.25" customHeight="1">
      <c r="B30" s="288" t="s">
        <v>708</v>
      </c>
      <c r="C30" s="1829">
        <f>'Model outputs - Aggregate level'!$F60</f>
        <v>0</v>
      </c>
      <c r="D30" s="35"/>
      <c r="E30" s="292" t="s">
        <v>743</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744</v>
      </c>
    </row>
    <row r="31" spans="2:37" s="9" customFormat="1" ht="20.25" customHeight="1">
      <c r="B31" s="288" t="s">
        <v>711</v>
      </c>
      <c r="C31" s="1829">
        <f>'Model outputs - Aggregate level'!$F61</f>
        <v>0</v>
      </c>
      <c r="D31" s="35"/>
      <c r="E31" s="292" t="s">
        <v>745</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746</v>
      </c>
    </row>
    <row r="32" spans="2:37" s="9" customFormat="1" ht="20.25" customHeight="1">
      <c r="B32" s="288" t="s">
        <v>714</v>
      </c>
      <c r="C32" s="1829">
        <f>'Model outputs - Aggregate level'!$F62</f>
        <v>0</v>
      </c>
      <c r="D32" s="35"/>
      <c r="E32" s="292" t="s">
        <v>747</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748</v>
      </c>
    </row>
    <row r="33" spans="2:37" s="9" customFormat="1" ht="20.25" customHeight="1">
      <c r="B33" s="288" t="s">
        <v>717</v>
      </c>
      <c r="C33" s="1829">
        <f>'Model outputs - Aggregate level'!$F63</f>
        <v>0</v>
      </c>
      <c r="D33" s="35"/>
      <c r="E33" s="292" t="s">
        <v>749</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750</v>
      </c>
    </row>
    <row r="34" spans="2:37" s="9" customFormat="1" ht="20.25" customHeight="1">
      <c r="B34" s="288" t="s">
        <v>720</v>
      </c>
      <c r="C34" s="1829">
        <f>'Model outputs - Aggregate level'!$F64</f>
        <v>0</v>
      </c>
      <c r="D34" s="1356"/>
      <c r="E34" s="292" t="s">
        <v>751</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752</v>
      </c>
    </row>
    <row r="35" spans="2:37" s="9" customFormat="1" ht="14.4">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4">
      <c r="B36" s="276" t="s">
        <v>299</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300</v>
      </c>
    </row>
    <row r="39" spans="2:37"/>
    <row r="40" spans="2:37">
      <c r="B40" s="1968" t="s">
        <v>301</v>
      </c>
    </row>
    <row r="41" spans="2:37"/>
    <row r="42" spans="2:37">
      <c r="B42" s="1819" t="s">
        <v>302</v>
      </c>
    </row>
    <row r="43" spans="2:37"/>
    <row r="44" spans="2:37">
      <c r="B44" s="1820" t="s">
        <v>303</v>
      </c>
    </row>
    <row r="45" spans="2:37"/>
    <row r="46" spans="2:37" ht="14.4">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3" t="s">
        <v>50</v>
      </c>
      <c r="C1" s="6"/>
      <c r="D1" s="2067" t="s">
        <v>116</v>
      </c>
      <c r="F1" s="2181"/>
      <c r="G1" s="2181"/>
      <c r="H1" s="2181"/>
      <c r="Q1" s="1970" t="str">
        <f>'Validation summary'!$B$2</f>
        <v>2024-25</v>
      </c>
      <c r="V1" s="319"/>
      <c r="AG1" s="319"/>
      <c r="AR1" s="319"/>
    </row>
    <row r="2" spans="2:56" s="1" customFormat="1" ht="10.199999999999999"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South Staffs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4">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645</v>
      </c>
      <c r="D6" s="2135" t="s">
        <v>646</v>
      </c>
      <c r="E6" s="2135" t="s">
        <v>647</v>
      </c>
      <c r="F6" s="283"/>
      <c r="G6" s="283"/>
      <c r="H6" s="283"/>
      <c r="I6" s="282"/>
      <c r="J6" s="282"/>
      <c r="K6" s="282"/>
      <c r="L6" s="282"/>
      <c r="M6" s="283"/>
      <c r="N6" s="2135" t="s">
        <v>137</v>
      </c>
      <c r="O6" s="1356"/>
      <c r="P6" s="2134" t="s">
        <v>138</v>
      </c>
      <c r="Q6" s="2134" t="s">
        <v>139</v>
      </c>
      <c r="R6" s="1356"/>
      <c r="S6" s="1356"/>
      <c r="T6" s="1356"/>
      <c r="U6" s="1356"/>
      <c r="V6" s="1357"/>
      <c r="W6" s="327" t="s">
        <v>753</v>
      </c>
      <c r="X6" s="1356"/>
      <c r="Y6" s="1356"/>
      <c r="Z6" s="1356"/>
      <c r="AA6" s="327"/>
      <c r="AB6" s="1356"/>
      <c r="AC6" s="1356"/>
      <c r="AD6" s="1356"/>
      <c r="AE6" s="1356"/>
      <c r="AF6" s="1356"/>
      <c r="AG6" s="1357"/>
      <c r="AH6" s="327" t="s">
        <v>143</v>
      </c>
      <c r="AI6" s="1356"/>
      <c r="AJ6" s="327" t="s">
        <v>754</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7.6">
      <c r="B8" s="309" t="s">
        <v>648</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648</v>
      </c>
      <c r="AU8" s="284"/>
      <c r="AV8" s="284"/>
      <c r="AW8" s="284"/>
      <c r="AX8" s="284"/>
      <c r="AY8" s="284"/>
      <c r="AZ8" s="284"/>
      <c r="BA8" s="284"/>
      <c r="BB8" s="284"/>
      <c r="BC8" s="284"/>
      <c r="BD8" s="282"/>
    </row>
    <row r="9" spans="2:56" s="21" customFormat="1" ht="25.5" customHeight="1">
      <c r="B9" s="308" t="s">
        <v>755</v>
      </c>
      <c r="C9" s="2085"/>
      <c r="D9" s="2086"/>
      <c r="E9" s="2087"/>
      <c r="H9" s="26"/>
      <c r="I9" s="26"/>
      <c r="J9" s="26"/>
      <c r="K9" s="26"/>
      <c r="L9" s="26"/>
      <c r="N9" s="292" t="s">
        <v>756</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4">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757</v>
      </c>
      <c r="D12" s="2135" t="s">
        <v>758</v>
      </c>
      <c r="E12" s="2135" t="s">
        <v>759</v>
      </c>
      <c r="F12" s="2135" t="s">
        <v>760</v>
      </c>
      <c r="G12" s="2135" t="s">
        <v>761</v>
      </c>
      <c r="H12" s="2135" t="s">
        <v>762</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6">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763</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764</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764</v>
      </c>
      <c r="AU14" s="284"/>
      <c r="AV14" s="284"/>
      <c r="AW14" s="284"/>
      <c r="AX14" s="284"/>
      <c r="AY14" s="284"/>
      <c r="AZ14" s="284"/>
      <c r="BA14" s="1353"/>
      <c r="BB14" s="1353"/>
      <c r="BC14" s="1353"/>
      <c r="BD14" s="1353"/>
    </row>
    <row r="15" spans="2:56" s="21" customFormat="1" ht="31.5" customHeight="1">
      <c r="B15" s="308" t="s">
        <v>764</v>
      </c>
      <c r="C15" s="2086"/>
      <c r="D15" s="2086"/>
      <c r="E15" s="2086"/>
      <c r="F15" s="2086"/>
      <c r="G15" s="2086"/>
      <c r="H15" s="2086"/>
      <c r="I15" s="26"/>
      <c r="J15" s="26"/>
      <c r="K15" s="26"/>
      <c r="L15" s="26"/>
      <c r="N15" s="292" t="s">
        <v>765</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4">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766</v>
      </c>
      <c r="D18" s="2159" t="s">
        <v>767</v>
      </c>
      <c r="E18" s="2159" t="s">
        <v>768</v>
      </c>
      <c r="F18" s="2159" t="s">
        <v>769</v>
      </c>
      <c r="G18" s="2159" t="s">
        <v>770</v>
      </c>
      <c r="H18" s="2159" t="s">
        <v>771</v>
      </c>
      <c r="I18" s="2159" t="s">
        <v>772</v>
      </c>
      <c r="J18" s="2159" t="s">
        <v>773</v>
      </c>
      <c r="K18" s="2159"/>
      <c r="L18" s="2159"/>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0" t="str">
        <f>J18</f>
        <v>Vulnerability risk grade</v>
      </c>
      <c r="BC18" s="2171"/>
      <c r="BD18" s="2172"/>
    </row>
    <row r="19" spans="2:56" s="9" customFormat="1" ht="30" customHeight="1">
      <c r="B19" s="2159"/>
      <c r="C19" s="2159"/>
      <c r="D19" s="2159"/>
      <c r="E19" s="2159"/>
      <c r="F19" s="2159"/>
      <c r="G19" s="2159"/>
      <c r="H19" s="2159"/>
      <c r="I19" s="2159"/>
      <c r="J19" s="2135" t="s">
        <v>774</v>
      </c>
      <c r="K19" s="2135" t="s">
        <v>775</v>
      </c>
      <c r="L19" s="2135" t="s">
        <v>776</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169"/>
      <c r="AU19" s="2169"/>
      <c r="AV19" s="2169"/>
      <c r="AW19" s="2169"/>
      <c r="AX19" s="2169"/>
      <c r="AY19" s="2169"/>
      <c r="AZ19" s="2169"/>
      <c r="BA19" s="2169"/>
      <c r="BB19" s="2136" t="str">
        <f t="shared" ref="BB19:BD19" si="3">J19</f>
        <v>Low</v>
      </c>
      <c r="BC19" s="2136" t="str">
        <f t="shared" si="3"/>
        <v>Medium</v>
      </c>
      <c r="BD19" s="2136" t="str">
        <f t="shared" si="3"/>
        <v>High</v>
      </c>
    </row>
    <row r="20" spans="2:56" s="9" customFormat="1" ht="34.5" customHeight="1">
      <c r="B20" s="2159"/>
      <c r="C20" s="2159"/>
      <c r="D20" s="2159"/>
      <c r="E20" s="2159"/>
      <c r="F20" s="2159"/>
      <c r="G20" s="2159"/>
      <c r="H20" s="2159"/>
      <c r="I20" s="2159"/>
      <c r="J20" s="2159" t="s">
        <v>777</v>
      </c>
      <c r="K20" s="2159"/>
      <c r="L20" s="2159"/>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163"/>
      <c r="AU20" s="2163"/>
      <c r="AV20" s="2163"/>
      <c r="AW20" s="2163"/>
      <c r="AX20" s="2163"/>
      <c r="AY20" s="2163"/>
      <c r="AZ20" s="2163"/>
      <c r="BA20" s="2163"/>
      <c r="BB20" s="2170" t="str">
        <f>J20</f>
        <v>Percentage of total population served</v>
      </c>
      <c r="BC20" s="2171"/>
      <c r="BD20" s="2172"/>
    </row>
    <row r="21" spans="2:56" s="9" customFormat="1" ht="15.6">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778</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778</v>
      </c>
      <c r="AU22" s="284"/>
      <c r="AV22" s="284"/>
      <c r="AW22" s="284"/>
      <c r="AX22" s="284"/>
      <c r="AY22" s="284"/>
      <c r="AZ22" s="284"/>
      <c r="BA22" s="284"/>
      <c r="BB22" s="284"/>
      <c r="BC22" s="284"/>
      <c r="BD22" s="284"/>
    </row>
    <row r="23" spans="2:56" s="21" customFormat="1" ht="33" customHeight="1">
      <c r="B23" s="308" t="s">
        <v>778</v>
      </c>
      <c r="C23" s="2088"/>
      <c r="D23" s="2088"/>
      <c r="E23" s="2087"/>
      <c r="F23" s="2088"/>
      <c r="G23" s="2087"/>
      <c r="H23" s="2088"/>
      <c r="I23" s="2087"/>
      <c r="J23" s="2089"/>
      <c r="K23" s="2089"/>
      <c r="L23" s="2089"/>
      <c r="N23" s="292" t="s">
        <v>779</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780</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693</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693</v>
      </c>
      <c r="AU28" s="23"/>
      <c r="AV28" s="32"/>
      <c r="AW28" s="32"/>
      <c r="AX28" s="32"/>
      <c r="AY28" s="32"/>
      <c r="AZ28" s="32"/>
      <c r="BA28" s="1353"/>
      <c r="BB28" s="1353"/>
      <c r="BC28" s="1353"/>
      <c r="BD28" s="1353"/>
    </row>
    <row r="29" spans="2:56" s="21" customFormat="1" ht="24.75" customHeight="1">
      <c r="B29" s="308" t="s">
        <v>693</v>
      </c>
      <c r="C29" s="2088"/>
      <c r="D29" s="33"/>
      <c r="E29" s="33"/>
      <c r="F29" s="33"/>
      <c r="G29" s="33"/>
      <c r="H29" s="33"/>
      <c r="I29" s="26"/>
      <c r="J29" s="1353"/>
      <c r="K29" s="1353"/>
      <c r="L29" s="1353"/>
      <c r="N29" s="292" t="s">
        <v>781</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2"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4">
      <c r="B31" s="276" t="s">
        <v>299</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173" t="s">
        <v>300</v>
      </c>
      <c r="C33" s="2174"/>
    </row>
    <row r="34" spans="2:3"/>
    <row r="35" spans="2:3">
      <c r="B35" s="2175" t="s">
        <v>301</v>
      </c>
      <c r="C35" s="2176"/>
    </row>
    <row r="36" spans="2:3"/>
    <row r="37" spans="2:3">
      <c r="B37" s="2177" t="s">
        <v>302</v>
      </c>
      <c r="C37" s="2178"/>
    </row>
    <row r="38" spans="2:3"/>
    <row r="39" spans="2:3">
      <c r="B39" s="2179" t="s">
        <v>303</v>
      </c>
      <c r="C39" s="2180"/>
    </row>
    <row r="40" spans="2:3"/>
    <row r="41" spans="2:3" ht="14.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3.2" zeroHeight="1"/>
  <cols>
    <col min="1" max="1" width="28.19921875" style="169" bestFit="1" customWidth="1"/>
    <col min="2" max="2" width="104.19921875" style="169" customWidth="1"/>
    <col min="3" max="3" width="23.09765625" style="169" customWidth="1"/>
    <col min="4" max="4" width="17.8984375" style="169" customWidth="1"/>
    <col min="5" max="5" width="9.09765625" style="169" customWidth="1"/>
    <col min="6" max="6" width="9.09765625" style="169" hidden="1"/>
    <col min="7" max="16381" width="0" style="169" hidden="1"/>
    <col min="16382" max="16384" width="9.09765625" style="169" hidden="1"/>
  </cols>
  <sheetData>
    <row r="1" spans="1:6" s="164" customFormat="1" ht="48"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21.6">
      <c r="A3" s="399" t="s">
        <v>782</v>
      </c>
      <c r="B3" s="400" t="s">
        <v>783</v>
      </c>
      <c r="C3" s="167"/>
      <c r="D3" s="167"/>
      <c r="E3" s="167"/>
      <c r="F3" s="167"/>
    </row>
    <row r="4" spans="1:6" s="168" customFormat="1" ht="21.6">
      <c r="A4" s="399" t="s">
        <v>784</v>
      </c>
      <c r="B4" s="2079">
        <v>1.1100000000000001</v>
      </c>
      <c r="C4" s="167"/>
      <c r="D4" s="167"/>
      <c r="E4" s="167"/>
      <c r="F4" s="167"/>
    </row>
    <row r="5" spans="1:6" s="168" customFormat="1" ht="21.6">
      <c r="A5" s="399" t="s">
        <v>785</v>
      </c>
      <c r="B5" s="400" t="str">
        <f>B3</f>
        <v>For Business Plan use_PR19IPD01_ ODI-performance-model-v1.11.xlsx</v>
      </c>
      <c r="C5" s="167"/>
      <c r="D5" s="167"/>
      <c r="E5" s="167"/>
      <c r="F5" s="167"/>
    </row>
    <row r="6" spans="1:6" s="168" customFormat="1" ht="21.6">
      <c r="A6" s="399" t="s">
        <v>786</v>
      </c>
      <c r="B6" s="1979">
        <v>45149</v>
      </c>
      <c r="C6" s="167"/>
      <c r="D6" s="167"/>
      <c r="E6" s="167"/>
      <c r="F6" s="167"/>
    </row>
    <row r="7" spans="1:6" s="168" customFormat="1" ht="21.6">
      <c r="A7" s="399" t="s">
        <v>787</v>
      </c>
      <c r="B7" s="399" t="s">
        <v>788</v>
      </c>
      <c r="C7" s="167"/>
      <c r="D7" s="167"/>
      <c r="E7" s="167"/>
      <c r="F7" s="167"/>
    </row>
    <row r="8" spans="1:6" s="168" customFormat="1" ht="21.6">
      <c r="A8" s="399" t="s">
        <v>789</v>
      </c>
      <c r="B8" s="1858" t="s">
        <v>790</v>
      </c>
      <c r="C8" s="167"/>
      <c r="D8" s="167"/>
      <c r="E8" s="167"/>
      <c r="F8" s="167"/>
    </row>
    <row r="9" spans="1:6" s="168" customFormat="1" ht="3.75" customHeight="1">
      <c r="A9" s="167"/>
      <c r="B9" s="167"/>
      <c r="C9" s="167"/>
      <c r="D9" s="167"/>
      <c r="E9" s="167"/>
      <c r="F9" s="167"/>
    </row>
    <row r="10" spans="1:6"/>
    <row r="11" spans="1:6" ht="175.5" customHeight="1">
      <c r="A11" s="414" t="s">
        <v>791</v>
      </c>
      <c r="B11" s="2182" t="s">
        <v>792</v>
      </c>
      <c r="C11" s="2182"/>
      <c r="D11" s="2182"/>
    </row>
    <row r="12" spans="1:6" ht="29.25" customHeight="1">
      <c r="A12" s="414" t="s">
        <v>793</v>
      </c>
      <c r="B12" s="1978"/>
      <c r="C12" s="1980"/>
      <c r="D12" s="1980"/>
    </row>
    <row r="13" spans="1:6" ht="188.25" customHeight="1">
      <c r="A13" s="414" t="s">
        <v>794</v>
      </c>
      <c r="B13" s="2183" t="s">
        <v>795</v>
      </c>
      <c r="C13" s="2183"/>
      <c r="D13" s="2183"/>
    </row>
    <row r="14" spans="1:6" ht="129" customHeight="1">
      <c r="A14" s="414"/>
      <c r="B14" s="2183" t="s">
        <v>796</v>
      </c>
      <c r="C14" s="2183"/>
      <c r="D14" s="2183"/>
    </row>
    <row r="15" spans="1:6" ht="188.25" customHeight="1">
      <c r="A15" s="414"/>
      <c r="B15" s="2185" t="s">
        <v>797</v>
      </c>
      <c r="C15" s="2185"/>
      <c r="D15" s="2185"/>
    </row>
    <row r="16" spans="1:6" ht="60" customHeight="1">
      <c r="A16" s="414"/>
      <c r="B16" s="2183" t="s">
        <v>798</v>
      </c>
      <c r="C16" s="2183"/>
      <c r="D16" s="2183"/>
    </row>
    <row r="17" spans="1:1021 1025:2045 2049:3069 3073:4093 4097:5117 5121:6141 6145:7165 7169:8189 8193:9213 9217:10237 10241:11261 11265:12285 12289:13309 13313:14333 14337:15357 15361:16381" s="171" customFormat="1" ht="21.6">
      <c r="A17" s="403"/>
      <c r="B17" s="1367"/>
      <c r="C17" s="1367"/>
      <c r="D17" s="1367"/>
    </row>
    <row r="18" spans="1:1021 1025:2045 2049:3069 3073:4093 4097:5117 5121:6141 6145:7165 7169:8189 8193:9213 9217:10237 10241:11261 11265:12285 12289:13309 13313:14333 14337:15357 15361:16381" s="171" customFormat="1" ht="30" customHeight="1">
      <c r="A18" s="414" t="s">
        <v>799</v>
      </c>
      <c r="B18" s="2182" t="s">
        <v>800</v>
      </c>
      <c r="C18" s="2182"/>
      <c r="D18" s="2182"/>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8">
      <c r="A20" s="1531" t="s">
        <v>801</v>
      </c>
      <c r="B20" s="1532" t="s">
        <v>802</v>
      </c>
      <c r="C20" s="1532" t="s">
        <v>803</v>
      </c>
      <c r="D20" s="169"/>
    </row>
    <row r="21" spans="1:1021 1025:2045 2049:3069 3073:4093 4097:5117 5121:6141 6145:7165 7169:8189 8193:9213 9217:10237 10241:11261 11265:12285 12289:13309 13313:14333 14337:15357 15361:16381" s="171" customFormat="1" ht="42.75" customHeight="1">
      <c r="A21" s="408" t="s">
        <v>804</v>
      </c>
      <c r="B21" s="408" t="s">
        <v>805</v>
      </c>
      <c r="C21" s="408" t="s">
        <v>806</v>
      </c>
      <c r="D21" s="169"/>
    </row>
    <row r="22" spans="1:1021 1025:2045 2049:3069 3073:4093 4097:5117 5121:6141 6145:7165 7169:8189 8193:9213 9217:10237 10241:11261 11265:12285 12289:13309 13313:14333 14337:15357 15361:16381" s="171" customFormat="1" ht="13.8">
      <c r="A22" s="413" t="s">
        <v>807</v>
      </c>
      <c r="B22" s="413" t="s">
        <v>808</v>
      </c>
      <c r="C22" s="413" t="s">
        <v>809</v>
      </c>
      <c r="D22" s="169"/>
    </row>
    <row r="23" spans="1:1021 1025:2045 2049:3069 3073:4093 4097:5117 5121:6141 6145:7165 7169:8189 8193:9213 9217:10237 10241:11261 11265:12285 12289:13309 13313:14333 14337:15357 15361:16381" s="171" customFormat="1" ht="27.6">
      <c r="A23" s="413" t="s">
        <v>810</v>
      </c>
      <c r="B23" s="413" t="s">
        <v>811</v>
      </c>
      <c r="C23" s="413" t="s">
        <v>812</v>
      </c>
      <c r="D23" s="169"/>
    </row>
    <row r="24" spans="1:1021 1025:2045 2049:3069 3073:4093 4097:5117 5121:6141 6145:7165 7169:8189 8193:9213 9217:10237 10241:11261 11265:12285 12289:13309 13313:14333 14337:15357 15361:16381" s="171" customFormat="1" ht="27.6">
      <c r="A24" s="413" t="s">
        <v>807</v>
      </c>
      <c r="B24" s="413" t="s">
        <v>813</v>
      </c>
      <c r="C24" s="413" t="s">
        <v>814</v>
      </c>
      <c r="D24" s="169"/>
    </row>
    <row r="25" spans="1:1021 1025:2045 2049:3069 3073:4093 4097:5117 5121:6141 6145:7165 7169:8189 8193:9213 9217:10237 10241:11261 11265:12285 12289:13309 13313:14333 14337:15357 15361:16381" s="171" customFormat="1" ht="44.25" customHeight="1">
      <c r="A25" s="413" t="s">
        <v>807</v>
      </c>
      <c r="B25" s="413" t="s">
        <v>815</v>
      </c>
      <c r="C25" s="413" t="s">
        <v>812</v>
      </c>
      <c r="D25" s="169"/>
    </row>
    <row r="26" spans="1:1021 1025:2045 2049:3069 3073:4093 4097:5117 5121:6141 6145:7165 7169:8189 8193:9213 9217:10237 10241:11261 11265:12285 12289:13309 13313:14333 14337:15357 15361:16381" s="171" customFormat="1" ht="27.6">
      <c r="A26" s="413" t="s">
        <v>810</v>
      </c>
      <c r="B26" s="413" t="s">
        <v>816</v>
      </c>
      <c r="C26" s="413" t="s">
        <v>817</v>
      </c>
      <c r="D26" s="169"/>
    </row>
    <row r="27" spans="1:1021 1025:2045 2049:3069 3073:4093 4097:5117 5121:6141 6145:7165 7169:8189 8193:9213 9217:10237 10241:11261 11265:12285 12289:13309 13313:14333 14337:15357 15361:16381" s="171" customFormat="1" ht="82.8">
      <c r="A27" s="413" t="s">
        <v>807</v>
      </c>
      <c r="B27" s="413" t="s">
        <v>818</v>
      </c>
      <c r="C27" s="413" t="s">
        <v>817</v>
      </c>
      <c r="D27" s="169"/>
    </row>
    <row r="28" spans="1:1021 1025:2045 2049:3069 3073:4093 4097:5117 5121:6141 6145:7165 7169:8189 8193:9213 9217:10237 10241:11261 11265:12285 12289:13309 13313:14333 14337:15357 15361:16381" s="171" customFormat="1" ht="13.8">
      <c r="A28" s="413" t="s">
        <v>810</v>
      </c>
      <c r="B28" s="413" t="s">
        <v>819</v>
      </c>
      <c r="C28" s="413" t="s">
        <v>812</v>
      </c>
      <c r="D28" s="169"/>
    </row>
    <row r="29" spans="1:1021 1025:2045 2049:3069 3073:4093 4097:5117 5121:6141 6145:7165 7169:8189 8193:9213 9217:10237 10241:11261 11265:12285 12289:13309 13313:14333 14337:15357 15361:16381" s="171" customFormat="1" ht="27.6">
      <c r="A29" s="413" t="s">
        <v>810</v>
      </c>
      <c r="B29" s="413" t="s">
        <v>820</v>
      </c>
      <c r="C29" s="413" t="s">
        <v>817</v>
      </c>
      <c r="D29" s="169"/>
    </row>
    <row r="30" spans="1:1021 1025:2045 2049:3069 3073:4093 4097:5117 5121:6141 6145:7165 7169:8189 8193:9213 9217:10237 10241:11261 11265:12285 12289:13309 13313:14333 14337:15357 15361:16381" s="171" customFormat="1" ht="41.4">
      <c r="A30" s="413" t="s">
        <v>807</v>
      </c>
      <c r="B30" s="413" t="s">
        <v>821</v>
      </c>
      <c r="C30" s="413" t="s">
        <v>822</v>
      </c>
      <c r="D30" s="169"/>
    </row>
    <row r="31" spans="1:1021 1025:2045 2049:3069 3073:4093 4097:5117 5121:6141 6145:7165 7169:8189 8193:9213 9217:10237 10241:11261 11265:12285 12289:13309 13313:14333 14337:15357 15361:16381" s="171" customFormat="1" ht="27.6">
      <c r="A31" s="412" t="s">
        <v>807</v>
      </c>
      <c r="B31" s="412" t="s">
        <v>823</v>
      </c>
      <c r="C31" s="412" t="s">
        <v>824</v>
      </c>
      <c r="D31" s="169"/>
    </row>
    <row r="32" spans="1:1021 1025:2045 2049:3069 3073:4093 4097:5117 5121:6141 6145:7165 7169:8189 8193:9213 9217:10237 10241:11261 11265:12285 12289:13309 13313:14333 14337:15357 15361:16381" s="171" customFormat="1" ht="13.8">
      <c r="A32" s="409" t="s">
        <v>825</v>
      </c>
      <c r="B32" s="409" t="s">
        <v>826</v>
      </c>
      <c r="C32" s="409" t="s">
        <v>824</v>
      </c>
      <c r="D32" s="169"/>
    </row>
    <row r="33" spans="1:16384" s="171" customFormat="1" ht="87.75" customHeight="1">
      <c r="A33" s="409" t="s">
        <v>810</v>
      </c>
      <c r="B33" s="409" t="s">
        <v>827</v>
      </c>
      <c r="C33" s="409" t="s">
        <v>812</v>
      </c>
      <c r="D33" s="169"/>
    </row>
    <row r="34" spans="1:16384" s="171" customFormat="1" ht="13.8">
      <c r="A34" s="409" t="s">
        <v>825</v>
      </c>
      <c r="B34" s="409" t="s">
        <v>828</v>
      </c>
      <c r="C34" s="409" t="s">
        <v>829</v>
      </c>
      <c r="D34" s="169"/>
    </row>
    <row r="35" spans="1:16384" s="171" customFormat="1" ht="41.4">
      <c r="A35" s="409" t="s">
        <v>810</v>
      </c>
      <c r="B35" s="409" t="s">
        <v>830</v>
      </c>
      <c r="C35" s="409" t="s">
        <v>831</v>
      </c>
      <c r="D35" s="169"/>
    </row>
    <row r="36" spans="1:16384" s="171" customFormat="1" ht="41.25" customHeight="1">
      <c r="A36" s="409" t="s">
        <v>810</v>
      </c>
      <c r="B36" s="409" t="s">
        <v>832</v>
      </c>
      <c r="C36" s="409" t="s">
        <v>831</v>
      </c>
      <c r="D36" s="169"/>
    </row>
    <row r="37" spans="1:16384" s="171" customFormat="1" ht="13.8">
      <c r="A37" s="410" t="s">
        <v>807</v>
      </c>
      <c r="B37" s="410" t="s">
        <v>833</v>
      </c>
      <c r="C37" s="410" t="s">
        <v>834</v>
      </c>
      <c r="D37" s="169"/>
    </row>
    <row r="38" spans="1:16384" s="171" customFormat="1" ht="41.4">
      <c r="A38" s="410" t="s">
        <v>825</v>
      </c>
      <c r="B38" s="410" t="s">
        <v>835</v>
      </c>
      <c r="C38" s="410" t="s">
        <v>822</v>
      </c>
      <c r="D38" s="169"/>
    </row>
    <row r="39" spans="1:16384" s="171" customFormat="1" ht="13.8">
      <c r="A39" s="1333" t="s">
        <v>807</v>
      </c>
      <c r="B39" s="1333" t="s">
        <v>836</v>
      </c>
      <c r="C39" s="1333" t="s">
        <v>824</v>
      </c>
      <c r="D39" s="169"/>
    </row>
    <row r="40" spans="1:16384" s="171" customFormat="1" ht="13.8">
      <c r="A40" s="1333" t="s">
        <v>810</v>
      </c>
      <c r="B40" s="1333" t="s">
        <v>837</v>
      </c>
      <c r="C40" s="1333" t="s">
        <v>824</v>
      </c>
      <c r="D40" s="169"/>
    </row>
    <row r="41" spans="1:16384" s="171" customFormat="1" ht="13.8">
      <c r="A41" s="1333" t="s">
        <v>825</v>
      </c>
      <c r="B41" s="1333" t="s">
        <v>838</v>
      </c>
      <c r="C41" s="1333" t="s">
        <v>824</v>
      </c>
      <c r="D41" s="169"/>
    </row>
    <row r="42" spans="1:16384" s="171" customFormat="1" ht="82.8">
      <c r="A42" s="1333" t="s">
        <v>807</v>
      </c>
      <c r="B42" s="1333" t="s">
        <v>839</v>
      </c>
      <c r="C42" s="1333" t="s">
        <v>812</v>
      </c>
      <c r="D42" s="169"/>
    </row>
    <row r="43" spans="1:16384" s="171" customFormat="1" ht="13.8">
      <c r="A43" s="1333" t="s">
        <v>825</v>
      </c>
      <c r="B43" s="1333" t="s">
        <v>840</v>
      </c>
      <c r="C43" s="1333" t="s">
        <v>841</v>
      </c>
      <c r="D43" s="169"/>
    </row>
    <row r="44" spans="1:16384" s="171" customFormat="1" ht="55.2">
      <c r="A44" s="1333" t="s">
        <v>807</v>
      </c>
      <c r="B44" s="1333" t="s">
        <v>842</v>
      </c>
      <c r="C44" s="1333" t="s">
        <v>843</v>
      </c>
      <c r="D44" s="169"/>
    </row>
    <row r="45" spans="1:16384" s="171" customFormat="1" ht="27.6">
      <c r="A45" s="1333" t="s">
        <v>807</v>
      </c>
      <c r="B45" s="1333" t="s">
        <v>844</v>
      </c>
      <c r="C45" s="1502" t="s">
        <v>845</v>
      </c>
      <c r="D45" s="169"/>
    </row>
    <row r="46" spans="1:16384" s="171" customFormat="1" ht="27.6">
      <c r="A46" s="1333" t="s">
        <v>825</v>
      </c>
      <c r="B46" s="1333" t="s">
        <v>846</v>
      </c>
      <c r="C46" s="1503" t="s">
        <v>847</v>
      </c>
      <c r="D46" s="169"/>
    </row>
    <row r="47" spans="1:16384" s="1787" customFormat="1" ht="27.6">
      <c r="A47" s="1333" t="s">
        <v>810</v>
      </c>
      <c r="B47" s="1333" t="s">
        <v>848</v>
      </c>
      <c r="C47" s="1503" t="s">
        <v>849</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8">
      <c r="A48" s="1333" t="s">
        <v>810</v>
      </c>
      <c r="B48" s="1333" t="s">
        <v>850</v>
      </c>
      <c r="C48" s="1502" t="s">
        <v>849</v>
      </c>
      <c r="D48" s="169"/>
    </row>
    <row r="49" spans="1:4" s="171" customFormat="1" ht="57.75" customHeight="1">
      <c r="A49" s="1973" t="s">
        <v>807</v>
      </c>
      <c r="B49" s="1973" t="s">
        <v>851</v>
      </c>
      <c r="C49" s="1973" t="s">
        <v>852</v>
      </c>
      <c r="D49" s="169"/>
    </row>
    <row r="50" spans="1:4" s="171" customFormat="1" ht="169.5" customHeight="1">
      <c r="A50" s="1973" t="s">
        <v>810</v>
      </c>
      <c r="B50" s="1973" t="s">
        <v>853</v>
      </c>
      <c r="C50" s="1973" t="s">
        <v>812</v>
      </c>
      <c r="D50" s="169"/>
    </row>
    <row r="51" spans="1:4" s="171" customFormat="1" ht="41.4">
      <c r="A51" s="1973" t="s">
        <v>825</v>
      </c>
      <c r="B51" s="1973" t="s">
        <v>854</v>
      </c>
      <c r="C51" s="1973" t="s">
        <v>812</v>
      </c>
      <c r="D51" s="169"/>
    </row>
    <row r="52" spans="1:4" s="171" customFormat="1" ht="69">
      <c r="A52" s="1973" t="s">
        <v>810</v>
      </c>
      <c r="B52" s="1973" t="s">
        <v>855</v>
      </c>
      <c r="C52" s="1973" t="s">
        <v>831</v>
      </c>
      <c r="D52" s="169"/>
    </row>
    <row r="53" spans="1:4" s="171" customFormat="1" ht="82.5" customHeight="1">
      <c r="A53" s="1973" t="s">
        <v>807</v>
      </c>
      <c r="B53" s="1973" t="s">
        <v>856</v>
      </c>
      <c r="C53" s="1973" t="s">
        <v>831</v>
      </c>
      <c r="D53" s="169"/>
    </row>
    <row r="54" spans="1:4" s="171" customFormat="1" ht="69.45" customHeight="1">
      <c r="A54" s="1973" t="s">
        <v>810</v>
      </c>
      <c r="B54" s="1973" t="s">
        <v>857</v>
      </c>
      <c r="C54" s="1973" t="s">
        <v>858</v>
      </c>
      <c r="D54" s="169"/>
    </row>
    <row r="55" spans="1:4" s="171" customFormat="1" ht="27.6">
      <c r="A55" s="1973" t="s">
        <v>825</v>
      </c>
      <c r="B55" s="1973" t="s">
        <v>859</v>
      </c>
      <c r="C55" s="1973" t="s">
        <v>860</v>
      </c>
      <c r="D55" s="169"/>
    </row>
    <row r="56" spans="1:4" s="171" customFormat="1" ht="27.6">
      <c r="A56" s="1973" t="s">
        <v>825</v>
      </c>
      <c r="B56" s="1973" t="s">
        <v>861</v>
      </c>
      <c r="C56" s="1973" t="s">
        <v>860</v>
      </c>
      <c r="D56" s="169"/>
    </row>
    <row r="57" spans="1:4" s="171" customFormat="1" ht="41.4">
      <c r="A57" s="1973" t="s">
        <v>807</v>
      </c>
      <c r="B57" s="1973" t="s">
        <v>862</v>
      </c>
      <c r="C57" s="1973" t="s">
        <v>860</v>
      </c>
      <c r="D57" s="169"/>
    </row>
    <row r="58" spans="1:4" s="171" customFormat="1" ht="27.6">
      <c r="A58" s="1973" t="s">
        <v>810</v>
      </c>
      <c r="B58" s="1973" t="s">
        <v>863</v>
      </c>
      <c r="C58" s="1973" t="s">
        <v>864</v>
      </c>
      <c r="D58" s="169"/>
    </row>
    <row r="59" spans="1:4" s="171" customFormat="1" ht="40.950000000000003" customHeight="1">
      <c r="A59" s="2118" t="s">
        <v>810</v>
      </c>
      <c r="B59" s="2118" t="s">
        <v>865</v>
      </c>
      <c r="C59" s="2118" t="s">
        <v>824</v>
      </c>
      <c r="D59" s="169"/>
    </row>
    <row r="60" spans="1:4" s="171" customFormat="1" ht="124.2">
      <c r="A60" s="2118" t="s">
        <v>810</v>
      </c>
      <c r="B60" s="2118" t="s">
        <v>866</v>
      </c>
      <c r="C60" s="2118" t="s">
        <v>812</v>
      </c>
      <c r="D60" s="169"/>
    </row>
    <row r="61" spans="1:4" s="171" customFormat="1" ht="13.8">
      <c r="A61" s="2118" t="s">
        <v>825</v>
      </c>
      <c r="B61" s="2118" t="s">
        <v>867</v>
      </c>
      <c r="C61" s="2118" t="s">
        <v>812</v>
      </c>
      <c r="D61" s="169"/>
    </row>
    <row r="62" spans="1:4" s="171" customFormat="1" ht="82.8">
      <c r="A62" s="2118" t="s">
        <v>807</v>
      </c>
      <c r="B62" s="2118" t="s">
        <v>868</v>
      </c>
      <c r="C62" s="2118" t="s">
        <v>831</v>
      </c>
      <c r="D62" s="169"/>
    </row>
    <row r="63" spans="1:4" s="171" customFormat="1" ht="55.2">
      <c r="A63" s="2118" t="s">
        <v>825</v>
      </c>
      <c r="B63" s="2118" t="s">
        <v>869</v>
      </c>
      <c r="C63" s="2118" t="s">
        <v>847</v>
      </c>
      <c r="D63" s="169"/>
    </row>
    <row r="64" spans="1:4" s="171" customFormat="1" ht="27.6">
      <c r="A64" s="2118" t="s">
        <v>807</v>
      </c>
      <c r="B64" s="2118" t="s">
        <v>870</v>
      </c>
      <c r="C64" s="2118" t="s">
        <v>847</v>
      </c>
      <c r="D64" s="169"/>
    </row>
    <row r="65" spans="1:6" s="171" customFormat="1" ht="13.8">
      <c r="A65" s="2118"/>
      <c r="B65" s="2118"/>
      <c r="C65" s="2118"/>
      <c r="D65" s="169"/>
    </row>
    <row r="66" spans="1:6" s="171" customFormat="1" ht="13.8">
      <c r="A66" s="2118"/>
      <c r="B66" s="2118"/>
      <c r="C66" s="2118"/>
      <c r="D66" s="169"/>
    </row>
    <row r="67" spans="1:6" s="171" customFormat="1" ht="13.8">
      <c r="A67" s="2118"/>
      <c r="B67" s="2118"/>
      <c r="C67" s="2118"/>
      <c r="D67" s="169"/>
    </row>
    <row r="68" spans="1:6" s="171" customFormat="1" ht="13.8">
      <c r="A68" s="2119"/>
      <c r="B68" s="2119"/>
      <c r="C68" s="2119"/>
      <c r="D68" s="169"/>
    </row>
    <row r="69" spans="1:6">
      <c r="A69" s="170"/>
      <c r="B69" s="170"/>
    </row>
    <row r="70" spans="1:6" ht="45" customHeight="1">
      <c r="A70" s="401" t="s">
        <v>871</v>
      </c>
      <c r="B70" s="2184" t="s">
        <v>872</v>
      </c>
      <c r="C70" s="2184"/>
    </row>
    <row r="71" spans="1:6" ht="21">
      <c r="A71" s="402"/>
      <c r="B71" s="170"/>
    </row>
    <row r="72" spans="1:6" ht="21.6">
      <c r="A72" s="401" t="s">
        <v>873</v>
      </c>
      <c r="B72" s="405" t="s">
        <v>874</v>
      </c>
      <c r="C72" s="171"/>
    </row>
    <row r="73" spans="1:6">
      <c r="A73" s="170"/>
      <c r="B73" s="170"/>
    </row>
    <row r="74" spans="1:6"/>
    <row r="75" spans="1:6" s="166" customFormat="1" ht="21">
      <c r="A75" s="411" t="s">
        <v>875</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00000000-0004-0000-1000-000000000000}"/>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3.2" zeroHeight="1"/>
  <cols>
    <col min="1" max="4" width="2.3984375" style="166" customWidth="1"/>
    <col min="5" max="5" width="40.8984375" style="166" customWidth="1"/>
    <col min="6" max="6" width="2.3984375" style="166" customWidth="1"/>
    <col min="7" max="7" width="32.09765625" style="166" customWidth="1"/>
    <col min="8" max="8" width="2.3984375" style="166" customWidth="1"/>
    <col min="9" max="9" width="37.5" style="166" customWidth="1"/>
    <col min="10" max="10" width="2.3984375" style="166" customWidth="1"/>
    <col min="11" max="11" width="22.19921875" style="166" customWidth="1"/>
    <col min="12" max="16384" width="9.09765625" style="166" hidden="1"/>
  </cols>
  <sheetData>
    <row r="1" spans="1:11" ht="47.4">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1.6">
      <c r="A3" s="427" t="s">
        <v>876</v>
      </c>
      <c r="I3" s="175"/>
      <c r="K3" s="175"/>
    </row>
    <row r="4" spans="1:11" s="169" customFormat="1"/>
    <row r="5" spans="1:11" s="169" customFormat="1" ht="21">
      <c r="B5" s="428" t="s">
        <v>877</v>
      </c>
    </row>
    <row r="6" spans="1:11" s="169" customFormat="1" ht="13.8">
      <c r="E6" s="415" t="s">
        <v>878</v>
      </c>
      <c r="F6" s="406"/>
      <c r="G6" s="406" t="s">
        <v>879</v>
      </c>
    </row>
    <row r="7" spans="1:11" s="169" customFormat="1" ht="13.8">
      <c r="E7" s="406"/>
      <c r="F7" s="406"/>
      <c r="G7" s="406"/>
    </row>
    <row r="8" spans="1:11" s="169" customFormat="1" ht="13.8">
      <c r="E8" s="416" t="s">
        <v>880</v>
      </c>
      <c r="F8" s="406"/>
      <c r="G8" s="406" t="s">
        <v>881</v>
      </c>
    </row>
    <row r="9" spans="1:11" s="169" customFormat="1" ht="13.8">
      <c r="E9" s="406"/>
      <c r="F9" s="406"/>
      <c r="G9" s="406"/>
    </row>
    <row r="10" spans="1:11" s="169" customFormat="1" ht="13.8">
      <c r="E10" s="417" t="s">
        <v>882</v>
      </c>
      <c r="F10" s="406"/>
      <c r="G10" s="406" t="s">
        <v>883</v>
      </c>
    </row>
    <row r="11" spans="1:11" s="169" customFormat="1" ht="13.8">
      <c r="E11" s="406"/>
      <c r="F11" s="406"/>
      <c r="G11" s="406"/>
    </row>
    <row r="12" spans="1:11" s="169" customFormat="1" ht="13.8">
      <c r="E12" s="406" t="s">
        <v>884</v>
      </c>
      <c r="F12" s="406"/>
      <c r="G12" s="406"/>
    </row>
    <row r="13" spans="1:11" s="169" customFormat="1" ht="13.8">
      <c r="E13" s="406" t="s">
        <v>885</v>
      </c>
      <c r="F13" s="406"/>
      <c r="G13" s="406"/>
    </row>
    <row r="14" spans="1:11" s="169" customFormat="1" ht="13.8">
      <c r="E14" s="406"/>
      <c r="F14" s="406"/>
      <c r="G14" s="406"/>
    </row>
    <row r="15" spans="1:11" s="169" customFormat="1" ht="13.8">
      <c r="E15" s="418" t="s">
        <v>886</v>
      </c>
      <c r="F15" s="406"/>
      <c r="G15" s="406" t="s">
        <v>887</v>
      </c>
    </row>
    <row r="16" spans="1:11" s="169" customFormat="1" ht="13.8">
      <c r="E16" s="406"/>
      <c r="F16" s="406"/>
      <c r="G16" s="406"/>
    </row>
    <row r="17" spans="1:7" s="169" customFormat="1" ht="21">
      <c r="B17" s="428" t="s">
        <v>888</v>
      </c>
      <c r="E17" s="406"/>
      <c r="F17" s="406"/>
      <c r="G17" s="406"/>
    </row>
    <row r="18" spans="1:7" s="169" customFormat="1" ht="13.8">
      <c r="E18" s="419" t="s">
        <v>889</v>
      </c>
      <c r="F18" s="406"/>
      <c r="G18" s="406" t="s">
        <v>890</v>
      </c>
    </row>
    <row r="19" spans="1:7" s="169" customFormat="1" ht="13.8">
      <c r="E19" s="406"/>
      <c r="F19" s="406"/>
      <c r="G19" s="406"/>
    </row>
    <row r="20" spans="1:7" s="169" customFormat="1" ht="13.8">
      <c r="E20" s="420" t="s">
        <v>891</v>
      </c>
      <c r="F20" s="406"/>
      <c r="G20" s="406" t="s">
        <v>892</v>
      </c>
    </row>
    <row r="21" spans="1:7" s="169" customFormat="1" ht="13.8">
      <c r="E21" s="406"/>
      <c r="F21" s="406"/>
      <c r="G21" s="406"/>
    </row>
    <row r="22" spans="1:7" s="169" customFormat="1" ht="21">
      <c r="B22" s="428" t="s">
        <v>893</v>
      </c>
      <c r="E22" s="406"/>
      <c r="F22" s="406"/>
      <c r="G22" s="406"/>
    </row>
    <row r="23" spans="1:7" s="169" customFormat="1" ht="13.8">
      <c r="E23" s="421" t="s">
        <v>894</v>
      </c>
      <c r="F23" s="406"/>
      <c r="G23" s="406" t="s">
        <v>895</v>
      </c>
    </row>
    <row r="24" spans="1:7" s="169" customFormat="1" ht="13.8">
      <c r="E24" s="406"/>
      <c r="F24" s="406"/>
      <c r="G24" s="406"/>
    </row>
    <row r="25" spans="1:7" s="169" customFormat="1" ht="13.8">
      <c r="E25" s="422" t="s">
        <v>896</v>
      </c>
      <c r="F25" s="406"/>
      <c r="G25" s="406" t="s">
        <v>897</v>
      </c>
    </row>
    <row r="26" spans="1:7" s="169" customFormat="1" ht="13.8">
      <c r="E26" s="406"/>
      <c r="F26" s="406"/>
      <c r="G26" s="406"/>
    </row>
    <row r="27" spans="1:7" s="169" customFormat="1" ht="13.8">
      <c r="E27" s="406"/>
      <c r="F27" s="406"/>
      <c r="G27" s="406"/>
    </row>
    <row r="28" spans="1:7" s="169" customFormat="1" ht="21.6">
      <c r="A28" s="427" t="s">
        <v>898</v>
      </c>
      <c r="E28" s="406"/>
      <c r="F28" s="406"/>
      <c r="G28" s="406"/>
    </row>
    <row r="29" spans="1:7" s="169" customFormat="1" ht="13.8">
      <c r="E29" s="406"/>
      <c r="F29" s="406"/>
      <c r="G29" s="406"/>
    </row>
    <row r="30" spans="1:7" s="169" customFormat="1" ht="13.8">
      <c r="E30" s="423"/>
      <c r="F30" s="406"/>
      <c r="G30" s="406" t="s">
        <v>899</v>
      </c>
    </row>
    <row r="31" spans="1:7" s="169" customFormat="1" ht="13.8">
      <c r="E31" s="406"/>
      <c r="F31" s="406"/>
      <c r="G31" s="406"/>
    </row>
    <row r="32" spans="1:7" s="169" customFormat="1" ht="13.8">
      <c r="E32" s="424"/>
      <c r="F32" s="406"/>
      <c r="G32" s="406" t="s">
        <v>900</v>
      </c>
    </row>
    <row r="33" spans="1:11" s="169" customFormat="1" ht="13.8">
      <c r="E33" s="406"/>
      <c r="F33" s="406"/>
      <c r="G33" s="406"/>
    </row>
    <row r="34" spans="1:11" s="169" customFormat="1" ht="13.8">
      <c r="E34" s="425"/>
      <c r="F34" s="406"/>
      <c r="G34" s="406" t="s">
        <v>901</v>
      </c>
    </row>
    <row r="35" spans="1:11" s="169" customFormat="1" ht="13.8">
      <c r="E35" s="406"/>
      <c r="F35" s="406"/>
      <c r="G35" s="406"/>
    </row>
    <row r="36" spans="1:11" s="169" customFormat="1" ht="13.8">
      <c r="E36" s="426"/>
      <c r="F36" s="406"/>
      <c r="G36" s="406" t="s">
        <v>902</v>
      </c>
    </row>
    <row r="37" spans="1:11" s="169" customFormat="1"/>
    <row r="38" spans="1:11" s="169" customFormat="1"/>
    <row r="39" spans="1:11" ht="21">
      <c r="A39" s="411" t="s">
        <v>875</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5" customHeight="1" zeroHeight="1"/>
  <cols>
    <col min="1" max="1" width="2.3984375" style="189" customWidth="1"/>
    <col min="2" max="2" width="33.8984375" style="189" bestFit="1" customWidth="1"/>
    <col min="3" max="3" width="3.19921875" style="189" customWidth="1"/>
    <col min="4" max="4" width="55.59765625" style="189" customWidth="1"/>
    <col min="5" max="5" width="3.19921875" style="189" customWidth="1"/>
    <col min="6" max="6" width="55.59765625" style="189" customWidth="1"/>
    <col min="7" max="7" width="2.8984375" style="189" customWidth="1"/>
    <col min="8" max="8" width="55.59765625" style="189" customWidth="1"/>
    <col min="9" max="9" width="2.8984375" style="189" customWidth="1"/>
    <col min="10" max="10" width="37.59765625" style="189" customWidth="1"/>
    <col min="11" max="11" width="25.8984375" style="189" customWidth="1"/>
    <col min="12" max="12" width="58.59765625" style="189" hidden="1" customWidth="1"/>
    <col min="13" max="16384" width="8.3984375" style="189" hidden="1"/>
  </cols>
  <sheetData>
    <row r="1" spans="1:13" s="178" customFormat="1" ht="4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3.2"/>
    <row r="3" spans="1:13" s="179" customFormat="1" ht="13.8">
      <c r="A3" s="431"/>
      <c r="B3" s="431" t="s">
        <v>903</v>
      </c>
      <c r="C3" s="431"/>
      <c r="D3" s="431" t="s">
        <v>904</v>
      </c>
      <c r="E3" s="431"/>
      <c r="F3" s="431" t="s">
        <v>905</v>
      </c>
      <c r="G3" s="431"/>
      <c r="H3" s="431" t="s">
        <v>906</v>
      </c>
      <c r="J3" s="180"/>
    </row>
    <row r="4" spans="1:13" s="179" customFormat="1" ht="13.8">
      <c r="A4" s="431"/>
      <c r="B4" s="431"/>
      <c r="C4" s="431"/>
      <c r="D4" s="431"/>
      <c r="E4" s="431"/>
      <c r="F4" s="431"/>
      <c r="G4" s="431"/>
      <c r="H4" s="431"/>
      <c r="J4" s="180"/>
    </row>
    <row r="5" spans="1:13" s="182" customFormat="1" ht="13.8">
      <c r="A5" s="431"/>
      <c r="B5" s="432" t="s">
        <v>907</v>
      </c>
      <c r="C5" s="431"/>
      <c r="D5" s="433" t="s">
        <v>834</v>
      </c>
      <c r="E5" s="431"/>
      <c r="F5" s="434" t="s">
        <v>841</v>
      </c>
      <c r="G5" s="431"/>
      <c r="H5" s="435" t="s">
        <v>831</v>
      </c>
      <c r="I5" s="179"/>
      <c r="J5" s="181"/>
      <c r="K5" s="179"/>
    </row>
    <row r="6" spans="1:13" s="179" customFormat="1" ht="13.8">
      <c r="A6" s="431"/>
      <c r="B6" s="431" t="s">
        <v>908</v>
      </c>
      <c r="C6" s="431"/>
      <c r="D6" s="2186" t="s">
        <v>909</v>
      </c>
      <c r="E6" s="431"/>
      <c r="F6" s="2186" t="s">
        <v>910</v>
      </c>
      <c r="G6" s="431"/>
      <c r="H6" s="431" t="s">
        <v>911</v>
      </c>
      <c r="J6" s="180"/>
    </row>
    <row r="7" spans="1:13" s="179" customFormat="1" ht="13.8">
      <c r="A7" s="431"/>
      <c r="B7" s="431"/>
      <c r="C7" s="431"/>
      <c r="D7" s="2187"/>
      <c r="E7" s="431"/>
      <c r="F7" s="2187"/>
      <c r="G7" s="431"/>
      <c r="H7" s="431"/>
      <c r="J7" s="180"/>
    </row>
    <row r="8" spans="1:13" s="182" customFormat="1" ht="13.8">
      <c r="A8" s="431"/>
      <c r="B8" s="432" t="s">
        <v>912</v>
      </c>
      <c r="C8" s="431"/>
      <c r="D8" s="433" t="s">
        <v>913</v>
      </c>
      <c r="E8" s="431"/>
      <c r="F8" s="434" t="s">
        <v>812</v>
      </c>
      <c r="G8" s="431"/>
      <c r="H8" s="435" t="s">
        <v>858</v>
      </c>
      <c r="I8" s="179"/>
      <c r="J8" s="181"/>
      <c r="K8" s="179"/>
    </row>
    <row r="9" spans="1:13" s="179" customFormat="1" ht="13.8">
      <c r="A9" s="431"/>
      <c r="B9" s="431" t="s">
        <v>914</v>
      </c>
      <c r="C9" s="431"/>
      <c r="D9" s="2186" t="s">
        <v>909</v>
      </c>
      <c r="E9" s="431"/>
      <c r="F9" s="431" t="s">
        <v>915</v>
      </c>
      <c r="G9" s="431"/>
      <c r="H9" s="2186" t="s">
        <v>916</v>
      </c>
      <c r="J9" s="180"/>
    </row>
    <row r="10" spans="1:13" s="179" customFormat="1" ht="13.8">
      <c r="A10" s="431"/>
      <c r="B10" s="431"/>
      <c r="C10" s="431"/>
      <c r="D10" s="2187"/>
      <c r="E10" s="431"/>
      <c r="F10" s="436"/>
      <c r="G10" s="431"/>
      <c r="H10" s="2187"/>
      <c r="J10" s="180"/>
    </row>
    <row r="11" spans="1:13" s="182" customFormat="1" ht="13.8">
      <c r="A11" s="431"/>
      <c r="B11" s="432" t="s">
        <v>917</v>
      </c>
      <c r="C11" s="431"/>
      <c r="D11" s="433" t="s">
        <v>918</v>
      </c>
      <c r="E11" s="431"/>
      <c r="F11" s="434" t="s">
        <v>849</v>
      </c>
      <c r="G11" s="431"/>
      <c r="H11" s="435" t="s">
        <v>847</v>
      </c>
      <c r="I11" s="179"/>
      <c r="J11" s="179"/>
      <c r="K11" s="179"/>
    </row>
    <row r="12" spans="1:13" s="179" customFormat="1" ht="13.8">
      <c r="A12" s="431"/>
      <c r="B12" s="431" t="s">
        <v>919</v>
      </c>
      <c r="C12" s="431"/>
      <c r="D12" s="431" t="s">
        <v>920</v>
      </c>
      <c r="E12" s="431"/>
      <c r="F12" s="431" t="s">
        <v>921</v>
      </c>
      <c r="G12" s="431"/>
      <c r="H12" s="2186" t="s">
        <v>922</v>
      </c>
    </row>
    <row r="13" spans="1:13" s="179" customFormat="1" ht="13.8">
      <c r="A13" s="431"/>
      <c r="B13" s="431"/>
      <c r="C13" s="431"/>
      <c r="D13" s="431"/>
      <c r="E13" s="431"/>
      <c r="F13" s="431"/>
      <c r="G13" s="431"/>
      <c r="H13" s="2187"/>
    </row>
    <row r="14" spans="1:13" s="182" customFormat="1" ht="13.8">
      <c r="A14" s="431"/>
      <c r="B14" s="437" t="s">
        <v>923</v>
      </c>
      <c r="C14" s="431"/>
      <c r="D14" s="433" t="s">
        <v>924</v>
      </c>
      <c r="E14" s="431"/>
      <c r="F14" s="434" t="s">
        <v>925</v>
      </c>
      <c r="G14" s="431"/>
      <c r="H14" s="435" t="s">
        <v>864</v>
      </c>
      <c r="I14" s="179"/>
      <c r="J14" s="179"/>
      <c r="K14" s="179"/>
    </row>
    <row r="15" spans="1:13" s="179" customFormat="1" ht="13.8">
      <c r="A15" s="431"/>
      <c r="B15" s="431" t="s">
        <v>926</v>
      </c>
      <c r="C15" s="431"/>
      <c r="D15" s="431" t="s">
        <v>927</v>
      </c>
      <c r="E15" s="431"/>
      <c r="F15" s="431" t="s">
        <v>928</v>
      </c>
      <c r="G15" s="431"/>
      <c r="H15" s="431" t="s">
        <v>929</v>
      </c>
    </row>
    <row r="16" spans="1:13" s="179" customFormat="1" ht="13.8">
      <c r="A16" s="431"/>
      <c r="B16" s="431"/>
      <c r="C16" s="431"/>
      <c r="D16" s="431" t="s">
        <v>930</v>
      </c>
      <c r="E16" s="431"/>
      <c r="F16" s="431"/>
      <c r="G16" s="431"/>
      <c r="H16" s="431"/>
    </row>
    <row r="17" spans="1:13" s="179" customFormat="1" ht="13.8">
      <c r="A17" s="431"/>
      <c r="B17" s="431"/>
      <c r="C17" s="431"/>
      <c r="D17" s="431" t="s">
        <v>931</v>
      </c>
      <c r="E17" s="431"/>
      <c r="F17" s="431"/>
      <c r="G17" s="431"/>
      <c r="H17" s="435" t="s">
        <v>932</v>
      </c>
    </row>
    <row r="18" spans="1:13" s="179" customFormat="1" ht="13.8">
      <c r="A18" s="431"/>
      <c r="B18" s="431"/>
      <c r="C18" s="431"/>
      <c r="D18" s="431"/>
      <c r="E18" s="431"/>
      <c r="F18" s="431"/>
      <c r="G18" s="431"/>
      <c r="H18" s="431" t="s">
        <v>933</v>
      </c>
    </row>
    <row r="19" spans="1:13" s="179" customFormat="1" ht="13.8">
      <c r="A19" s="431"/>
      <c r="B19" s="431"/>
      <c r="C19" s="431"/>
      <c r="D19" s="431"/>
      <c r="E19" s="431"/>
      <c r="F19" s="431"/>
      <c r="G19" s="431"/>
      <c r="H19" s="431" t="s">
        <v>934</v>
      </c>
    </row>
    <row r="20" spans="1:13" s="179" customFormat="1" ht="13.2">
      <c r="H20" s="180"/>
    </row>
    <row r="21" spans="1:13" s="188" customFormat="1" ht="21">
      <c r="A21" s="430" t="s">
        <v>935</v>
      </c>
      <c r="B21" s="184"/>
      <c r="C21" s="185"/>
      <c r="D21" s="186"/>
      <c r="E21" s="186"/>
      <c r="F21" s="187"/>
      <c r="G21" s="187"/>
      <c r="H21" s="187"/>
      <c r="I21" s="187"/>
      <c r="J21" s="187"/>
      <c r="K21" s="187"/>
      <c r="L21" s="187"/>
      <c r="M21" s="187"/>
    </row>
    <row r="22" spans="1:13" ht="13.2"/>
    <row r="55" ht="12.45" customHeight="1"/>
    <row r="56" ht="12.45" customHeight="1"/>
    <row r="65" ht="12.45" customHeight="1"/>
    <row r="66" ht="12.45" customHeight="1"/>
    <row r="67" ht="12.45" customHeight="1"/>
    <row r="68" ht="12.45" customHeight="1"/>
    <row r="69" ht="12.45" customHeight="1"/>
    <row r="70" ht="12.45" customHeight="1"/>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2.45" customHeight="1"/>
    <row r="145" ht="12.45" customHeight="1"/>
    <row r="146" ht="12.45" customHeight="1"/>
    <row r="147" ht="12.45" customHeight="1"/>
    <row r="148" ht="12.45" customHeight="1"/>
    <row r="149" ht="12.45" customHeight="1"/>
    <row r="150" ht="12.45" customHeight="1"/>
    <row r="151" ht="12.45" customHeight="1"/>
    <row r="152" ht="12.45" customHeight="1"/>
    <row r="153" ht="12.45" customHeight="1"/>
    <row r="154" ht="12.45" customHeight="1"/>
    <row r="155" ht="12.45" customHeight="1"/>
    <row r="156" ht="12.45"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30.75" customHeight="1">
      <c r="B1" s="2054" t="s">
        <v>29</v>
      </c>
      <c r="C1" s="2055"/>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7" customHeight="1" thickBot="1"/>
    <row r="18" spans="2:3" ht="16.2" thickBot="1">
      <c r="B18" s="273" t="s">
        <v>53</v>
      </c>
      <c r="C18" s="273" t="s">
        <v>54</v>
      </c>
    </row>
    <row r="19" spans="2:3" ht="16.2" thickBot="1">
      <c r="B19" s="274" t="s">
        <v>55</v>
      </c>
      <c r="C19" s="42" t="s">
        <v>56</v>
      </c>
    </row>
    <row r="20" spans="2:3" ht="31.8" thickBot="1">
      <c r="B20" s="274" t="s">
        <v>55</v>
      </c>
      <c r="C20" s="42" t="s">
        <v>57</v>
      </c>
    </row>
    <row r="21" spans="2:3" ht="16.2" thickBot="1">
      <c r="B21" s="274" t="s">
        <v>58</v>
      </c>
      <c r="C21" s="42" t="s">
        <v>56</v>
      </c>
    </row>
    <row r="22" spans="2:3" ht="16.2" thickBot="1">
      <c r="B22" s="274" t="s">
        <v>59</v>
      </c>
      <c r="C22" s="42" t="s">
        <v>56</v>
      </c>
    </row>
    <row r="23" spans="2:3" ht="31.8" thickBot="1">
      <c r="B23" s="274" t="s">
        <v>60</v>
      </c>
      <c r="C23" s="42" t="s">
        <v>61</v>
      </c>
    </row>
    <row r="24" spans="2:3" ht="16.2" thickBot="1">
      <c r="B24" s="274" t="s">
        <v>62</v>
      </c>
      <c r="C24" s="42" t="s">
        <v>63</v>
      </c>
    </row>
    <row r="25" spans="2:3" ht="31.8" thickBot="1">
      <c r="B25" s="274" t="s">
        <v>64</v>
      </c>
      <c r="C25" s="42" t="s">
        <v>65</v>
      </c>
    </row>
    <row r="26" spans="2:3" ht="16.2" thickBot="1">
      <c r="B26" s="274" t="s">
        <v>64</v>
      </c>
      <c r="C26" s="42" t="s">
        <v>66</v>
      </c>
    </row>
    <row r="27" spans="2:3" ht="16.2" thickBot="1">
      <c r="B27" s="274" t="s">
        <v>64</v>
      </c>
      <c r="C27" s="42" t="s">
        <v>67</v>
      </c>
    </row>
    <row r="28" spans="2:3" ht="16.2" thickBot="1">
      <c r="B28" s="274" t="s">
        <v>64</v>
      </c>
      <c r="C28" s="42" t="s">
        <v>68</v>
      </c>
    </row>
    <row r="29" spans="2:3" ht="47.4" thickBot="1">
      <c r="B29" s="274" t="s">
        <v>64</v>
      </c>
      <c r="C29" s="42" t="s">
        <v>69</v>
      </c>
    </row>
    <row r="30" spans="2:3" ht="47.4" thickBot="1">
      <c r="B30" s="274" t="s">
        <v>64</v>
      </c>
      <c r="C30" s="42" t="s">
        <v>70</v>
      </c>
    </row>
    <row r="31" spans="2:3" ht="31.8" thickBot="1">
      <c r="B31" s="274" t="s">
        <v>71</v>
      </c>
      <c r="C31" s="42" t="s">
        <v>72</v>
      </c>
    </row>
    <row r="32" spans="2:3" ht="31.8" thickBot="1">
      <c r="B32" s="274" t="s">
        <v>64</v>
      </c>
      <c r="C32" s="42" t="s">
        <v>73</v>
      </c>
    </row>
    <row r="33" spans="2:3" ht="31.8" thickBot="1">
      <c r="B33" s="274" t="s">
        <v>64</v>
      </c>
      <c r="C33" s="42" t="s">
        <v>74</v>
      </c>
    </row>
    <row r="34" spans="2:3" ht="31.8" thickBot="1">
      <c r="B34" s="274" t="s">
        <v>64</v>
      </c>
      <c r="C34" s="42" t="s">
        <v>75</v>
      </c>
    </row>
    <row r="35" spans="2:3" ht="16.2" thickBot="1">
      <c r="B35" s="1432" t="s">
        <v>60</v>
      </c>
      <c r="C35" s="1433" t="s">
        <v>76</v>
      </c>
    </row>
    <row r="36" spans="2:3" ht="63" thickBot="1">
      <c r="B36" s="1432" t="s">
        <v>64</v>
      </c>
      <c r="C36" s="1433" t="s">
        <v>77</v>
      </c>
    </row>
    <row r="37" spans="2:3" ht="31.8" thickBot="1">
      <c r="B37" s="1432" t="s">
        <v>64</v>
      </c>
      <c r="C37" s="1433" t="s">
        <v>78</v>
      </c>
    </row>
    <row r="38" spans="2:3" ht="63" thickBot="1">
      <c r="B38" s="1432" t="s">
        <v>79</v>
      </c>
      <c r="C38" s="1433" t="s">
        <v>80</v>
      </c>
    </row>
    <row r="39" spans="2:3" ht="31.8" thickBot="1">
      <c r="B39" s="1779" t="s">
        <v>64</v>
      </c>
      <c r="C39" s="1780" t="s">
        <v>81</v>
      </c>
    </row>
    <row r="40" spans="2:3" ht="16.2" thickBot="1">
      <c r="B40" s="1933" t="s">
        <v>82</v>
      </c>
      <c r="C40" s="1934" t="s">
        <v>83</v>
      </c>
    </row>
    <row r="41" spans="2:3" ht="16.2" thickBot="1">
      <c r="B41" s="1933" t="s">
        <v>64</v>
      </c>
      <c r="C41" s="1934" t="s">
        <v>84</v>
      </c>
    </row>
    <row r="42" spans="2:3" ht="63" thickBot="1">
      <c r="B42" s="1933" t="s">
        <v>64</v>
      </c>
      <c r="C42" s="1934" t="s">
        <v>85</v>
      </c>
    </row>
    <row r="43" spans="2:3" ht="31.8" thickBot="1">
      <c r="B43" s="2041" t="s">
        <v>60</v>
      </c>
      <c r="C43" s="2042" t="s">
        <v>86</v>
      </c>
    </row>
    <row r="44" spans="2:3" ht="16.2" thickBot="1">
      <c r="B44" s="2039" t="s">
        <v>87</v>
      </c>
      <c r="C44" s="2040" t="s">
        <v>88</v>
      </c>
    </row>
    <row r="45" spans="2:3" ht="31.8" thickBot="1">
      <c r="B45" s="2041" t="s">
        <v>87</v>
      </c>
      <c r="C45" s="2042" t="s">
        <v>89</v>
      </c>
    </row>
    <row r="46" spans="2:3" ht="31.8" thickBot="1">
      <c r="B46" s="2041" t="s">
        <v>87</v>
      </c>
      <c r="C46" s="2042" t="s">
        <v>90</v>
      </c>
    </row>
    <row r="47" spans="2:3" ht="16.2" thickBot="1">
      <c r="B47" s="2041" t="s">
        <v>55</v>
      </c>
      <c r="C47" s="2042" t="s">
        <v>91</v>
      </c>
    </row>
    <row r="48" spans="2:3" ht="31.8" thickBot="1">
      <c r="B48" s="2041" t="s">
        <v>92</v>
      </c>
      <c r="C48" s="2042" t="s">
        <v>93</v>
      </c>
    </row>
    <row r="49" spans="2:3" ht="31.8" thickBot="1">
      <c r="B49" s="2041" t="s">
        <v>94</v>
      </c>
      <c r="C49" s="2042" t="s">
        <v>95</v>
      </c>
    </row>
    <row r="50" spans="2:3" ht="16.2" thickBot="1">
      <c r="B50" s="2041" t="s">
        <v>94</v>
      </c>
      <c r="C50" s="2042" t="s">
        <v>96</v>
      </c>
    </row>
    <row r="51" spans="2:3" ht="31.8" thickBot="1">
      <c r="B51" s="2041" t="s">
        <v>97</v>
      </c>
      <c r="C51" s="2042" t="s">
        <v>98</v>
      </c>
    </row>
    <row r="52" spans="2:3" ht="31.8" thickBot="1">
      <c r="B52" s="2065" t="s">
        <v>99</v>
      </c>
      <c r="C52" s="2066" t="s">
        <v>100</v>
      </c>
    </row>
    <row r="53" spans="2:3" ht="31.8" thickBot="1">
      <c r="B53" s="2065" t="s">
        <v>101</v>
      </c>
      <c r="C53" s="2066" t="s">
        <v>102</v>
      </c>
    </row>
    <row r="54" spans="2:3" ht="16.2" thickBot="1">
      <c r="B54" s="2065"/>
      <c r="C54" s="2066"/>
    </row>
    <row r="55" spans="2:3" ht="16.2" thickBot="1">
      <c r="B55" s="2065"/>
      <c r="C55" s="2066"/>
    </row>
    <row r="56" spans="2:3" ht="16.2" thickBot="1">
      <c r="B56" s="2065"/>
      <c r="C56" s="2066"/>
    </row>
    <row r="57" spans="2:3" ht="16.2" thickBot="1">
      <c r="B57" s="2065"/>
      <c r="C57" s="2066"/>
    </row>
    <row r="58" spans="2:3" ht="16.2" thickBot="1">
      <c r="B58" s="2065"/>
      <c r="C58" s="2066"/>
    </row>
    <row r="59" spans="2:3" ht="16.2" thickBot="1">
      <c r="B59" s="2065"/>
      <c r="C59" s="2066"/>
    </row>
    <row r="60" spans="2:3" ht="16.2" thickBot="1">
      <c r="B60" s="2065"/>
      <c r="C60" s="2066"/>
    </row>
    <row r="61" spans="2:3" ht="16.2" thickBot="1">
      <c r="B61" s="2065"/>
      <c r="C61" s="2066"/>
    </row>
    <row r="62" spans="2:3" ht="15.6">
      <c r="B62" s="1507"/>
      <c r="C62" s="1508"/>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pageSetUpPr fitToPage="1"/>
  </sheetPr>
  <dimension ref="A1:Z32"/>
  <sheetViews>
    <sheetView zoomScaleNormal="100" zoomScaleSheetLayoutView="80" workbookViewId="0">
      <selection activeCell="B22" sqref="B22"/>
    </sheetView>
  </sheetViews>
  <sheetFormatPr defaultColWidth="9" defaultRowHeight="13.2"/>
  <cols>
    <col min="1" max="1" width="13.5" style="188" customWidth="1"/>
    <col min="2" max="2" width="16.59765625" style="188" customWidth="1"/>
    <col min="3" max="4" width="9" style="188"/>
    <col min="5" max="5" width="9" style="188" customWidth="1"/>
    <col min="6" max="6" width="20.09765625" style="188" bestFit="1" customWidth="1"/>
    <col min="7" max="7" width="13.59765625" style="188" customWidth="1"/>
    <col min="8" max="8" width="10.8984375" style="188" customWidth="1"/>
    <col min="9" max="9" width="8.09765625" style="188" customWidth="1"/>
    <col min="10" max="10" width="11.69921875" style="188" bestFit="1" customWidth="1"/>
    <col min="11" max="11" width="51.59765625" style="188" bestFit="1" customWidth="1"/>
    <col min="12" max="12" width="9.8984375" style="188" customWidth="1"/>
    <col min="13" max="13" width="9.19921875" style="188" customWidth="1"/>
    <col min="14" max="14" width="14.09765625" style="188" customWidth="1"/>
    <col min="15" max="15" width="9" style="188"/>
    <col min="16" max="16" width="12.69921875" style="188" customWidth="1"/>
    <col min="17" max="23" width="14.59765625" style="188" customWidth="1"/>
    <col min="24" max="25" width="9" style="188"/>
    <col min="26" max="26" width="18" style="188" customWidth="1"/>
    <col min="27" max="16384" width="9" style="188"/>
  </cols>
  <sheetData>
    <row r="1" spans="1:26" s="178" customFormat="1" ht="27.6">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South Staffs Water</v>
      </c>
    </row>
    <row r="3" spans="1:26" ht="66">
      <c r="A3" s="190" t="s">
        <v>936</v>
      </c>
      <c r="B3" s="190" t="s">
        <v>937</v>
      </c>
      <c r="C3" s="190" t="s">
        <v>938</v>
      </c>
      <c r="D3" s="190"/>
      <c r="E3" s="190" t="s">
        <v>939</v>
      </c>
      <c r="F3" s="190" t="s">
        <v>940</v>
      </c>
      <c r="G3" s="190" t="s">
        <v>941</v>
      </c>
      <c r="H3" s="190" t="s">
        <v>942</v>
      </c>
      <c r="I3" s="190" t="s">
        <v>943</v>
      </c>
      <c r="J3" s="190" t="s">
        <v>944</v>
      </c>
      <c r="K3" s="190" t="s">
        <v>945</v>
      </c>
      <c r="L3" s="190" t="s">
        <v>946</v>
      </c>
      <c r="M3" s="190" t="s">
        <v>947</v>
      </c>
      <c r="N3" s="190" t="s">
        <v>948</v>
      </c>
      <c r="P3" s="190" t="s">
        <v>936</v>
      </c>
      <c r="Q3" s="248" t="s">
        <v>949</v>
      </c>
      <c r="R3" s="248" t="s">
        <v>950</v>
      </c>
      <c r="S3" s="248" t="s">
        <v>951</v>
      </c>
      <c r="T3" s="248" t="s">
        <v>952</v>
      </c>
      <c r="U3" s="248" t="s">
        <v>953</v>
      </c>
      <c r="V3" s="248" t="s">
        <v>954</v>
      </c>
      <c r="W3" s="248" t="s">
        <v>955</v>
      </c>
      <c r="X3" s="248" t="s">
        <v>956</v>
      </c>
      <c r="Z3" s="190" t="s">
        <v>957</v>
      </c>
    </row>
    <row r="4" spans="1:26">
      <c r="A4" s="191" t="s">
        <v>104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958</v>
      </c>
      <c r="B5" s="191" t="s">
        <v>106</v>
      </c>
      <c r="C5" s="257" t="s">
        <v>959</v>
      </c>
      <c r="D5" s="191" t="s">
        <v>960</v>
      </c>
      <c r="E5" s="191" t="s">
        <v>961</v>
      </c>
      <c r="F5" s="191" t="s">
        <v>293</v>
      </c>
      <c r="G5" s="191" t="s">
        <v>962</v>
      </c>
      <c r="H5" s="191" t="s">
        <v>963</v>
      </c>
      <c r="I5" s="191" t="s">
        <v>964</v>
      </c>
      <c r="J5" s="191" t="s">
        <v>965</v>
      </c>
      <c r="K5" s="191" t="s">
        <v>148</v>
      </c>
      <c r="L5" s="191" t="b">
        <v>1</v>
      </c>
      <c r="M5" s="191" t="s">
        <v>966</v>
      </c>
      <c r="N5" s="191" t="s">
        <v>967</v>
      </c>
      <c r="P5" s="191" t="s">
        <v>968</v>
      </c>
      <c r="Q5" s="249">
        <v>87</v>
      </c>
      <c r="R5" s="249">
        <v>82</v>
      </c>
      <c r="S5" s="249">
        <v>41</v>
      </c>
      <c r="T5" s="249">
        <v>77</v>
      </c>
      <c r="U5" s="249">
        <v>72</v>
      </c>
      <c r="V5" s="249">
        <v>92</v>
      </c>
      <c r="W5" s="249">
        <v>67</v>
      </c>
      <c r="X5" s="249">
        <v>62</v>
      </c>
      <c r="Z5" s="191" t="s">
        <v>969</v>
      </c>
    </row>
    <row r="6" spans="1:26">
      <c r="A6" s="191" t="s">
        <v>970</v>
      </c>
      <c r="B6" s="191" t="s">
        <v>971</v>
      </c>
      <c r="C6" s="191" t="s">
        <v>972</v>
      </c>
      <c r="D6" s="191" t="s">
        <v>960</v>
      </c>
      <c r="E6" s="191" t="s">
        <v>973</v>
      </c>
      <c r="F6" s="191" t="s">
        <v>974</v>
      </c>
      <c r="G6" s="191">
        <v>1</v>
      </c>
      <c r="H6" s="191" t="s">
        <v>975</v>
      </c>
      <c r="I6" s="191" t="s">
        <v>976</v>
      </c>
      <c r="J6" s="191" t="s">
        <v>977</v>
      </c>
      <c r="K6" s="191" t="s">
        <v>154</v>
      </c>
      <c r="L6" s="191" t="b">
        <v>0</v>
      </c>
      <c r="M6" s="191" t="s">
        <v>978</v>
      </c>
      <c r="N6" s="191" t="s">
        <v>979</v>
      </c>
      <c r="P6" s="191" t="s">
        <v>980</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981</v>
      </c>
      <c r="C7" s="191" t="s">
        <v>982</v>
      </c>
      <c r="D7" s="191" t="s">
        <v>960</v>
      </c>
      <c r="E7" s="257" t="s">
        <v>959</v>
      </c>
      <c r="F7" s="191" t="s">
        <v>983</v>
      </c>
      <c r="G7" s="191">
        <v>2</v>
      </c>
      <c r="H7" s="191" t="s">
        <v>984</v>
      </c>
      <c r="I7" s="191" t="s">
        <v>893</v>
      </c>
      <c r="J7" s="191" t="s">
        <v>893</v>
      </c>
      <c r="K7" s="191" t="s">
        <v>629</v>
      </c>
      <c r="L7" s="191"/>
      <c r="M7" s="191"/>
      <c r="N7" s="191"/>
      <c r="P7" s="191" t="s">
        <v>985</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986</v>
      </c>
      <c r="C8" s="191" t="s">
        <v>969</v>
      </c>
      <c r="D8" s="191" t="s">
        <v>960</v>
      </c>
      <c r="E8" s="192"/>
      <c r="F8" s="191" t="s">
        <v>987</v>
      </c>
      <c r="G8" s="191">
        <v>3</v>
      </c>
      <c r="H8" s="191" t="s">
        <v>988</v>
      </c>
      <c r="I8" s="193"/>
      <c r="J8" s="194"/>
      <c r="K8" s="191" t="s">
        <v>604</v>
      </c>
      <c r="L8" s="194"/>
      <c r="M8" s="194"/>
      <c r="N8" s="194"/>
      <c r="P8" s="191" t="s">
        <v>958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989</v>
      </c>
      <c r="C9" s="191" t="s">
        <v>990</v>
      </c>
      <c r="D9" s="191" t="s">
        <v>960</v>
      </c>
      <c r="E9" s="192"/>
      <c r="F9" s="191" t="s">
        <v>991</v>
      </c>
      <c r="G9" s="191">
        <v>4</v>
      </c>
      <c r="H9" s="192"/>
      <c r="K9" s="191" t="s">
        <v>178</v>
      </c>
      <c r="P9" s="191" t="s">
        <v>970</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992</v>
      </c>
      <c r="C10" s="191" t="s">
        <v>993</v>
      </c>
      <c r="D10" s="191" t="s">
        <v>960</v>
      </c>
      <c r="E10" s="192"/>
      <c r="F10" s="191" t="s">
        <v>994</v>
      </c>
      <c r="G10" s="191">
        <v>5</v>
      </c>
      <c r="H10" s="192"/>
      <c r="K10" s="191" t="s">
        <v>184</v>
      </c>
      <c r="Z10" s="191"/>
    </row>
    <row r="11" spans="1:26">
      <c r="A11" s="196"/>
      <c r="B11" s="191" t="s">
        <v>995</v>
      </c>
      <c r="C11" s="191" t="s">
        <v>996</v>
      </c>
      <c r="D11" s="191" t="s">
        <v>960</v>
      </c>
      <c r="E11" s="192"/>
      <c r="F11" s="191" t="s">
        <v>997</v>
      </c>
      <c r="G11" s="191">
        <v>6</v>
      </c>
      <c r="H11" s="192"/>
      <c r="K11" s="191" t="s">
        <v>499</v>
      </c>
      <c r="Z11" s="191"/>
    </row>
    <row r="12" spans="1:26">
      <c r="A12" s="196"/>
      <c r="B12" s="191" t="s">
        <v>998</v>
      </c>
      <c r="C12" s="191" t="s">
        <v>999</v>
      </c>
      <c r="D12" s="191" t="s">
        <v>960</v>
      </c>
      <c r="E12" s="192"/>
      <c r="F12" s="191" t="s">
        <v>1000</v>
      </c>
      <c r="G12" s="191" t="s">
        <v>1001</v>
      </c>
      <c r="H12" s="192"/>
      <c r="K12" s="191" t="s">
        <v>687</v>
      </c>
      <c r="Z12" s="191"/>
    </row>
    <row r="13" spans="1:26">
      <c r="A13" s="196"/>
      <c r="B13" s="191" t="s">
        <v>1002</v>
      </c>
      <c r="C13" s="191" t="s">
        <v>1003</v>
      </c>
      <c r="D13" s="191" t="s">
        <v>960</v>
      </c>
      <c r="E13" s="192"/>
      <c r="F13" s="191" t="s">
        <v>1004</v>
      </c>
      <c r="G13" s="191" t="s">
        <v>1005</v>
      </c>
      <c r="H13" s="192"/>
      <c r="K13" s="191" t="s">
        <v>1006</v>
      </c>
      <c r="Z13" s="191"/>
    </row>
    <row r="14" spans="1:26">
      <c r="A14" s="196"/>
      <c r="B14" s="191" t="s">
        <v>1007</v>
      </c>
      <c r="C14" s="191" t="s">
        <v>1008</v>
      </c>
      <c r="D14" s="191" t="s">
        <v>960</v>
      </c>
      <c r="E14" s="192"/>
      <c r="F14" s="191" t="s">
        <v>1009</v>
      </c>
      <c r="G14" s="191" t="s">
        <v>1010</v>
      </c>
      <c r="H14" s="192"/>
      <c r="K14" s="191" t="s">
        <v>778</v>
      </c>
      <c r="Z14" s="191"/>
    </row>
    <row r="15" spans="1:26">
      <c r="A15" s="196"/>
      <c r="B15" s="191" t="s">
        <v>1011</v>
      </c>
      <c r="C15" s="191" t="s">
        <v>1012</v>
      </c>
      <c r="D15" s="191" t="s">
        <v>960</v>
      </c>
      <c r="E15" s="192"/>
      <c r="F15" s="191" t="s">
        <v>1013</v>
      </c>
      <c r="K15" s="191" t="s">
        <v>693</v>
      </c>
      <c r="Z15" s="191"/>
    </row>
    <row r="16" spans="1:26">
      <c r="A16" s="196"/>
      <c r="B16" s="191" t="s">
        <v>1014</v>
      </c>
      <c r="C16" s="191" t="s">
        <v>1015</v>
      </c>
      <c r="D16" s="191" t="s">
        <v>960</v>
      </c>
      <c r="E16" s="192"/>
      <c r="F16" s="191" t="s">
        <v>630</v>
      </c>
      <c r="K16" s="191" t="s">
        <v>1016</v>
      </c>
      <c r="Z16" s="191"/>
    </row>
    <row r="17" spans="1:26">
      <c r="A17" s="196"/>
      <c r="B17" s="191" t="s">
        <v>1017</v>
      </c>
      <c r="C17" s="191" t="s">
        <v>1018</v>
      </c>
      <c r="D17" s="191" t="s">
        <v>1019</v>
      </c>
      <c r="E17" s="192"/>
      <c r="F17" s="191" t="s">
        <v>1020</v>
      </c>
      <c r="K17" s="191"/>
      <c r="Z17" s="191"/>
    </row>
    <row r="18" spans="1:26">
      <c r="A18" s="196"/>
      <c r="B18" s="191" t="s">
        <v>1021</v>
      </c>
      <c r="C18" s="191" t="s">
        <v>1022</v>
      </c>
      <c r="D18" s="191" t="s">
        <v>1019</v>
      </c>
      <c r="E18" s="192"/>
      <c r="F18" s="191" t="s">
        <v>1023</v>
      </c>
      <c r="K18" s="191" t="s">
        <v>1024</v>
      </c>
      <c r="Z18" s="191"/>
    </row>
    <row r="19" spans="1:26">
      <c r="A19" s="196"/>
      <c r="B19" s="191" t="s">
        <v>1025</v>
      </c>
      <c r="C19" s="191" t="s">
        <v>1026</v>
      </c>
      <c r="D19" s="191" t="s">
        <v>1019</v>
      </c>
      <c r="E19" s="192"/>
      <c r="F19" s="191" t="s">
        <v>141</v>
      </c>
      <c r="K19" s="191" t="s">
        <v>1027</v>
      </c>
      <c r="Z19" s="191"/>
    </row>
    <row r="20" spans="1:26">
      <c r="A20" s="196"/>
      <c r="B20" s="191" t="s">
        <v>1028</v>
      </c>
      <c r="C20" s="191" t="s">
        <v>1029</v>
      </c>
      <c r="D20" s="191" t="s">
        <v>1019</v>
      </c>
      <c r="E20" s="192"/>
      <c r="F20" s="191" t="s">
        <v>1030</v>
      </c>
      <c r="K20" s="191" t="s">
        <v>1031</v>
      </c>
      <c r="Z20" s="191"/>
    </row>
    <row r="21" spans="1:26">
      <c r="A21" s="196"/>
      <c r="B21" s="191" t="s">
        <v>1032</v>
      </c>
      <c r="C21" s="191" t="s">
        <v>1033</v>
      </c>
      <c r="D21" s="191" t="s">
        <v>1019</v>
      </c>
      <c r="E21" s="192"/>
      <c r="F21" s="191" t="s">
        <v>1034</v>
      </c>
      <c r="K21" s="197"/>
      <c r="Z21" s="191"/>
    </row>
    <row r="22" spans="1:26">
      <c r="B22" s="191" t="s">
        <v>1035</v>
      </c>
      <c r="C22" s="191" t="s">
        <v>1036</v>
      </c>
      <c r="D22" s="191" t="s">
        <v>1019</v>
      </c>
      <c r="F22" s="191" t="s">
        <v>1037</v>
      </c>
      <c r="Z22" s="191"/>
    </row>
    <row r="23" spans="1:26">
      <c r="F23" s="191" t="s">
        <v>1038</v>
      </c>
      <c r="Z23" s="1396"/>
    </row>
    <row r="24" spans="1:26">
      <c r="F24" s="191" t="s">
        <v>1039</v>
      </c>
      <c r="Z24" s="1396"/>
    </row>
    <row r="25" spans="1:26">
      <c r="F25" s="191" t="s">
        <v>1040</v>
      </c>
      <c r="Z25" s="1396"/>
    </row>
    <row r="26" spans="1:26">
      <c r="F26" s="191" t="s">
        <v>1041</v>
      </c>
      <c r="Z26" s="1396"/>
    </row>
    <row r="27" spans="1:26">
      <c r="F27" s="191" t="s">
        <v>1042</v>
      </c>
    </row>
    <row r="28" spans="1:26">
      <c r="F28" s="191" t="s">
        <v>1043</v>
      </c>
    </row>
    <row r="29" spans="1:26">
      <c r="F29" s="191" t="s">
        <v>1044</v>
      </c>
    </row>
    <row r="30" spans="1:26" ht="12" customHeight="1"/>
    <row r="31" spans="1:26" ht="12" customHeight="1"/>
    <row r="32" spans="1:26">
      <c r="A32" s="183" t="s">
        <v>935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S32"/>
  <sheetViews>
    <sheetView showGridLines="0" tabSelected="1" zoomScaleNormal="100" zoomScaleSheetLayoutView="80" workbookViewId="0">
      <selection activeCell="F21" sqref="F21"/>
    </sheetView>
  </sheetViews>
  <sheetFormatPr defaultColWidth="8.59765625" defaultRowHeight="13.2"/>
  <cols>
    <col min="1" max="4" width="1.59765625" style="206" customWidth="1"/>
    <col min="5" max="5" width="45.59765625" style="206" customWidth="1"/>
    <col min="6" max="8" width="15.59765625" style="206" customWidth="1"/>
    <col min="9" max="9" width="2.59765625" style="206" customWidth="1"/>
    <col min="10" max="16384" width="8.59765625" style="206"/>
  </cols>
  <sheetData>
    <row r="1" spans="1:19" s="200" customFormat="1" ht="45">
      <c r="A1" s="438" t="str">
        <f ca="1" xml:space="preserve"> RIGHT(CELL("filename", $A$1), LEN(CELL("filename", $A$1)) - SEARCH("]", CELL("filename", $A$1)))</f>
        <v>InpCompany</v>
      </c>
      <c r="B1" s="438"/>
      <c r="C1" s="438"/>
      <c r="D1" s="439"/>
      <c r="E1" s="439"/>
      <c r="F1" s="439"/>
      <c r="G1" s="439"/>
      <c r="H1" s="440" t="str">
        <f>InpCompany!F5</f>
        <v>South Staffs Water</v>
      </c>
      <c r="I1" s="199"/>
    </row>
    <row r="2" spans="1:19" s="201" customFormat="1" ht="21">
      <c r="F2" s="442" t="s">
        <v>1045</v>
      </c>
      <c r="G2" s="442" t="s">
        <v>131</v>
      </c>
      <c r="H2" s="442" t="s">
        <v>1046</v>
      </c>
    </row>
    <row r="3" spans="1:19" s="205" customFormat="1" ht="21">
      <c r="A3" s="441" t="s">
        <v>890</v>
      </c>
      <c r="B3" s="202"/>
      <c r="C3" s="203"/>
      <c r="D3" s="204"/>
      <c r="E3" s="204"/>
      <c r="F3" s="204"/>
      <c r="G3" s="204"/>
      <c r="H3" s="204"/>
    </row>
    <row r="5" spans="1:19" s="201" customFormat="1" ht="13.8">
      <c r="B5" s="444"/>
      <c r="C5" s="444"/>
      <c r="D5" s="444"/>
      <c r="E5" s="444" t="s">
        <v>937</v>
      </c>
      <c r="F5" s="445" t="str">
        <f>'Validation summary'!$B$3</f>
        <v>South Staffs Water</v>
      </c>
      <c r="G5" s="446"/>
      <c r="H5" s="444"/>
      <c r="J5" s="206"/>
      <c r="K5" s="206"/>
      <c r="L5" s="206"/>
      <c r="M5" s="206"/>
      <c r="N5" s="206"/>
      <c r="O5" s="206"/>
      <c r="P5" s="206"/>
      <c r="Q5" s="206"/>
      <c r="R5" s="206"/>
      <c r="S5" s="206"/>
    </row>
    <row r="6" spans="1:19" s="201" customFormat="1" ht="13.8">
      <c r="B6" s="444"/>
      <c r="C6" s="444"/>
      <c r="D6" s="444"/>
      <c r="E6" s="444" t="s">
        <v>1047</v>
      </c>
      <c r="F6" s="444" t="str">
        <f>INDEX(Validation!$C$5:$C$22, MATCH($F$5, Validation!$B$5:$B$22, 0))</f>
        <v>SSC</v>
      </c>
      <c r="G6" s="446"/>
      <c r="H6" s="444"/>
      <c r="J6" s="206"/>
      <c r="K6" s="206"/>
      <c r="L6" s="206"/>
      <c r="M6" s="206"/>
      <c r="N6" s="206"/>
      <c r="O6" s="206"/>
      <c r="P6" s="206"/>
      <c r="Q6" s="206"/>
      <c r="R6" s="206"/>
      <c r="S6" s="206"/>
    </row>
    <row r="7" spans="1:19" ht="13.8">
      <c r="B7" s="446"/>
      <c r="C7" s="446"/>
      <c r="D7" s="446"/>
      <c r="E7" s="446"/>
      <c r="F7" s="446"/>
      <c r="G7" s="446"/>
      <c r="H7" s="446"/>
    </row>
    <row r="8" spans="1:19" ht="13.8">
      <c r="B8" s="446"/>
      <c r="C8" s="446"/>
      <c r="D8" s="446"/>
      <c r="E8" s="446" t="s">
        <v>936</v>
      </c>
      <c r="F8" s="445" t="str">
        <f>'Validation summary'!$B$2</f>
        <v>2024-25</v>
      </c>
      <c r="G8" s="446" t="s">
        <v>1048</v>
      </c>
      <c r="H8" s="447"/>
      <c r="I8" s="207"/>
    </row>
    <row r="9" spans="1:19" ht="13.8">
      <c r="B9" s="446"/>
      <c r="C9" s="446"/>
      <c r="D9" s="446"/>
      <c r="E9" s="446"/>
      <c r="F9" s="446"/>
      <c r="G9" s="448"/>
      <c r="H9" s="448"/>
      <c r="I9" s="208"/>
    </row>
    <row r="10" spans="1:19" ht="13.8">
      <c r="B10" s="446"/>
      <c r="C10" s="446"/>
      <c r="D10" s="446"/>
      <c r="E10" s="446" t="s">
        <v>1049</v>
      </c>
      <c r="F10" s="449" t="s">
        <v>1050</v>
      </c>
      <c r="G10" s="446" t="s">
        <v>1048</v>
      </c>
      <c r="H10" s="448"/>
      <c r="I10" s="208"/>
    </row>
    <row r="11" spans="1:19" ht="13.8">
      <c r="B11" s="446"/>
      <c r="C11" s="446"/>
      <c r="D11" s="446"/>
      <c r="E11" s="446" t="s">
        <v>1051</v>
      </c>
      <c r="F11" s="446" t="str">
        <f>"£m ("&amp;F10&amp;" prices)"</f>
        <v>£m (2017-18 prices)</v>
      </c>
      <c r="G11" s="446" t="s">
        <v>1052</v>
      </c>
      <c r="H11" s="448"/>
      <c r="I11" s="208"/>
    </row>
    <row r="12" spans="1:19" ht="13.8">
      <c r="B12" s="446"/>
      <c r="C12" s="446"/>
      <c r="D12" s="446"/>
      <c r="E12" s="446"/>
      <c r="F12" s="446"/>
      <c r="G12" s="446"/>
      <c r="H12" s="446"/>
    </row>
    <row r="13" spans="1:19" ht="21">
      <c r="C13" s="443" t="s">
        <v>1053</v>
      </c>
    </row>
    <row r="14" spans="1:19" ht="13.8">
      <c r="B14" s="446"/>
      <c r="C14" s="446"/>
      <c r="D14" s="446"/>
      <c r="E14" s="446"/>
      <c r="F14" s="446"/>
      <c r="G14" s="446"/>
      <c r="H14" s="446"/>
    </row>
    <row r="15" spans="1:19" ht="13.8">
      <c r="B15" s="446"/>
      <c r="C15" s="446"/>
      <c r="D15" s="446"/>
      <c r="E15" s="446" t="s">
        <v>1054</v>
      </c>
      <c r="F15" s="1992">
        <f>[1]Update!$Q$174</f>
        <v>22.361010573575918</v>
      </c>
      <c r="G15" s="446" t="str">
        <f>$F$11</f>
        <v>£m (2017-18 prices)</v>
      </c>
      <c r="H15" s="446"/>
    </row>
    <row r="16" spans="1:19" ht="13.8">
      <c r="B16" s="446"/>
      <c r="C16" s="446"/>
      <c r="D16" s="446"/>
      <c r="E16" s="446" t="s">
        <v>1055</v>
      </c>
      <c r="F16" s="1992">
        <f>[1]Update!$Q$354</f>
        <v>409.69928423121155</v>
      </c>
      <c r="G16" s="446" t="str">
        <f>$F$11</f>
        <v>£m (2017-18 prices)</v>
      </c>
      <c r="H16" s="446"/>
    </row>
    <row r="17" spans="1:8" ht="13.8">
      <c r="B17" s="446"/>
      <c r="C17" s="446"/>
      <c r="D17" s="446"/>
      <c r="E17" s="446" t="s">
        <v>1056</v>
      </c>
      <c r="F17" s="450">
        <f>SUM(F15:F16)</f>
        <v>432.06029480478747</v>
      </c>
      <c r="G17" s="446" t="str">
        <f>$F$11</f>
        <v>£m (2017-18 prices)</v>
      </c>
      <c r="H17" s="446"/>
    </row>
    <row r="18" spans="1:8" ht="13.8">
      <c r="B18" s="446"/>
      <c r="C18" s="446"/>
      <c r="D18" s="446"/>
      <c r="E18" s="446"/>
      <c r="F18" s="450"/>
      <c r="G18" s="446"/>
      <c r="H18" s="446"/>
    </row>
    <row r="19" spans="1:8" ht="13.8">
      <c r="B19" s="446"/>
      <c r="C19" s="446"/>
      <c r="D19" s="446"/>
      <c r="E19" s="446" t="s">
        <v>1057</v>
      </c>
      <c r="F19" s="1992">
        <v>0</v>
      </c>
      <c r="G19" s="446" t="str">
        <f>$F$11</f>
        <v>£m (2017-18 prices)</v>
      </c>
      <c r="H19" s="446"/>
    </row>
    <row r="20" spans="1:8" ht="13.8">
      <c r="B20" s="446"/>
      <c r="C20" s="446"/>
      <c r="D20" s="446"/>
      <c r="E20" s="446" t="s">
        <v>1058</v>
      </c>
      <c r="F20" s="1992">
        <v>0</v>
      </c>
      <c r="G20" s="446" t="str">
        <f>$F$11</f>
        <v>£m (2017-18 prices)</v>
      </c>
      <c r="H20" s="446"/>
    </row>
    <row r="21" spans="1:8" ht="13.8">
      <c r="B21" s="446"/>
      <c r="C21" s="446"/>
      <c r="D21" s="446"/>
      <c r="E21" s="446" t="s">
        <v>1059</v>
      </c>
      <c r="F21" s="450">
        <f>SUM(F19:F20)</f>
        <v>0</v>
      </c>
      <c r="G21" s="446" t="str">
        <f>$F$11</f>
        <v>£m (2017-18 prices)</v>
      </c>
      <c r="H21" s="446"/>
    </row>
    <row r="22" spans="1:8" ht="13.8">
      <c r="B22" s="446"/>
      <c r="C22" s="446"/>
      <c r="D22" s="446"/>
      <c r="E22" s="446"/>
      <c r="F22" s="446"/>
      <c r="G22" s="446"/>
      <c r="H22" s="446"/>
    </row>
    <row r="23" spans="1:8" ht="13.8">
      <c r="B23" s="446"/>
      <c r="C23" s="446"/>
      <c r="D23" s="451" t="s">
        <v>948</v>
      </c>
      <c r="E23" s="446"/>
      <c r="F23" s="446"/>
      <c r="G23" s="446"/>
      <c r="H23" s="446"/>
    </row>
    <row r="24" spans="1:8" ht="13.8">
      <c r="B24" s="446"/>
      <c r="C24" s="446"/>
      <c r="D24" s="446"/>
      <c r="E24" s="446" t="s">
        <v>1060</v>
      </c>
      <c r="F24" s="452">
        <v>0.4</v>
      </c>
      <c r="G24" s="446" t="s">
        <v>1061</v>
      </c>
      <c r="H24" s="446"/>
    </row>
    <row r="25" spans="1:8" ht="13.8">
      <c r="B25" s="446"/>
      <c r="C25" s="446"/>
      <c r="D25" s="446"/>
      <c r="E25" s="446" t="s">
        <v>1062</v>
      </c>
      <c r="F25" s="452">
        <v>0.01</v>
      </c>
      <c r="G25" s="446" t="s">
        <v>1061</v>
      </c>
      <c r="H25" s="446"/>
    </row>
    <row r="27" spans="1:8" ht="21">
      <c r="C27" s="443" t="s">
        <v>1063</v>
      </c>
    </row>
    <row r="28" spans="1:8" ht="13.8">
      <c r="C28" s="209"/>
      <c r="D28" s="446"/>
      <c r="E28" s="446"/>
      <c r="F28" s="446"/>
      <c r="G28" s="446"/>
      <c r="H28" s="446"/>
    </row>
    <row r="29" spans="1:8" ht="13.8">
      <c r="A29" s="207"/>
      <c r="D29" s="446"/>
      <c r="E29" s="446" t="s">
        <v>1064</v>
      </c>
      <c r="F29" s="452">
        <v>0.5</v>
      </c>
      <c r="G29" s="446" t="s">
        <v>1061</v>
      </c>
      <c r="H29" s="446"/>
    </row>
    <row r="30" spans="1:8" ht="13.8">
      <c r="A30" s="211">
        <f>SUM(F30*100)</f>
        <v>3</v>
      </c>
      <c r="D30" s="446"/>
      <c r="E30" s="446" t="s">
        <v>1065</v>
      </c>
      <c r="F30" s="452">
        <v>0.03</v>
      </c>
      <c r="G30" s="446" t="s">
        <v>1061</v>
      </c>
      <c r="H30" s="446"/>
    </row>
    <row r="31" spans="1:8" ht="13.8">
      <c r="D31" s="446"/>
      <c r="E31" s="446"/>
      <c r="F31" s="446"/>
      <c r="G31" s="446"/>
      <c r="H31" s="446"/>
    </row>
    <row r="32" spans="1:8" ht="21">
      <c r="A32" s="430" t="s">
        <v>935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16" width="28.59765625" style="393" customWidth="1"/>
    <col min="17"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8">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467">
        <f>IF('3A'!$F9="","",'3A'!$F9)</f>
        <v>1.2</v>
      </c>
      <c r="K7" s="468">
        <f>IF('3A'!$F10="","",'3A'!$F10)</f>
        <v>2.5347222222222221E-3</v>
      </c>
      <c r="L7" s="469">
        <f>IF('3A'!$F11="","",'3A'!$F11)</f>
        <v>14.993122420907845</v>
      </c>
      <c r="M7" s="469">
        <f>IF('3A'!$F12="","",'3A'!$F12)</f>
        <v>14.743589743589736</v>
      </c>
      <c r="N7" s="469">
        <f>IF('3A'!$F13="","",'3A'!$F13)</f>
        <v>-10.116731517509736</v>
      </c>
      <c r="O7" s="469">
        <f>IF('3A'!$F14="","",'3A'!$F14)</f>
        <v>3.3382789317507378</v>
      </c>
      <c r="P7" s="469">
        <f>IF('3A'!$F15="","",'3A'!$F15)</f>
        <v>122.4</v>
      </c>
      <c r="Q7" s="470">
        <f>IF('3A'!$F16="","",'3A'!$F16)</f>
        <v>1.47</v>
      </c>
      <c r="R7" s="471">
        <f>IF(ISBLANK('3A'!$F19),"",'3A'!$F19)</f>
        <v>58000</v>
      </c>
      <c r="S7" s="472">
        <f>IF(ISBLANK('3A'!$F20),"",'3A'!$F20)</f>
        <v>5</v>
      </c>
      <c r="T7" s="472">
        <f>IF(ISBLANK('3A'!$F21),"",'3A'!$F21)</f>
        <v>6000</v>
      </c>
      <c r="U7" s="471">
        <f>IF(ISBLANK('3A'!$F22),"",'3A'!$F22)</f>
        <v>0</v>
      </c>
      <c r="V7" s="472">
        <f>IF(ISBLANK('3A'!$F23),"",'3A'!$F23)</f>
        <v>783.3</v>
      </c>
      <c r="W7" s="472">
        <f>IF(ISBLANK('3A'!$F24),"",'3A'!$F24)</f>
        <v>0.6</v>
      </c>
      <c r="X7" s="472">
        <f>IF(ISBLANK('3A'!$F25),"",'3A'!$F25)</f>
        <v>4</v>
      </c>
      <c r="Y7" s="472">
        <f>IF(ISBLANK('3A'!$F26),"",'3A'!$F26)</f>
        <v>100</v>
      </c>
      <c r="Z7" s="472">
        <f>IF(ISBLANK('3A'!$F27),"",'3A'!$F27)</f>
        <v>100</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8">
      <c r="A8" s="444"/>
      <c r="B8" s="444"/>
      <c r="C8" s="444"/>
      <c r="D8" s="444"/>
      <c r="E8" s="444" t="s">
        <v>1074</v>
      </c>
      <c r="F8" s="444"/>
      <c r="G8" s="444" t="s">
        <v>1075</v>
      </c>
      <c r="H8" s="444"/>
      <c r="I8" s="444"/>
      <c r="J8" s="479"/>
      <c r="K8" s="479"/>
      <c r="L8" s="1332">
        <f>IF(OR('3A'!$R$1="NES",'3A'!$R$1="SSC"),'3F.1'!$G$18,'3F'!$G$18)</f>
        <v>72.7</v>
      </c>
      <c r="M8" s="1332">
        <f>IF(OR('3A'!$R$1="NES",'3A'!$R$1="SSC"),'3F.2'!$G$18,"")</f>
        <v>15.6</v>
      </c>
      <c r="N8" s="1332">
        <f>IF('3A'!$R$1="SSC",'3F.1'!$G$19,'3F'!$G$19)</f>
        <v>128.5</v>
      </c>
      <c r="O8" s="1332">
        <f>IF('3A'!$R$1="SSC",'3F.2'!$G$19,"")</f>
        <v>134.80000000000001</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8">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425</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8">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491" t="str">
        <f>'3A'!$C$9</f>
        <v>PR19SSC_D1</v>
      </c>
      <c r="K16" s="491" t="str">
        <f>'3A'!$C$10</f>
        <v>PR19SSC_D2</v>
      </c>
      <c r="L16" s="491" t="str">
        <f>'3A'!$C$11</f>
        <v>PR19SSC_C1</v>
      </c>
      <c r="M16" s="491" t="str">
        <f>'3A'!$C$12</f>
        <v>PR19SSC_C2</v>
      </c>
      <c r="N16" s="491" t="str">
        <f>'3A'!$C$13</f>
        <v>PR19SSC_C3</v>
      </c>
      <c r="O16" s="491" t="str">
        <f>'3A'!$C$14</f>
        <v>PR19SSC_C4</v>
      </c>
      <c r="P16" s="491" t="str">
        <f>'3A'!$C$15</f>
        <v>PR19SSC_D4</v>
      </c>
      <c r="Q16" s="492" t="str">
        <f>'3A'!$C$16</f>
        <v>PR19SSC_D5</v>
      </c>
      <c r="R16" s="491" t="str">
        <f>'3A'!$C$19</f>
        <v>PR19SSC_B1</v>
      </c>
      <c r="S16" s="491" t="str">
        <f>'3A'!$C$20</f>
        <v>PR19SSC_B2</v>
      </c>
      <c r="T16" s="491" t="str">
        <f>'3A'!$C$21</f>
        <v>PR19SSC_B3</v>
      </c>
      <c r="U16" s="491" t="str">
        <f>'3A'!$C$22</f>
        <v>PR19SSC_C5</v>
      </c>
      <c r="V16" s="491" t="str">
        <f>'3A'!$C$23</f>
        <v>PR19SSC_C7</v>
      </c>
      <c r="W16" s="491" t="str">
        <f>'3A'!$C$24</f>
        <v>PR19SSC_D6</v>
      </c>
      <c r="X16" s="491" t="str">
        <f>'3A'!$C$25</f>
        <v>PR19SSC_D7</v>
      </c>
      <c r="Y16" s="491" t="str">
        <f>'3A'!$C$26</f>
        <v>PR19SSC_D8</v>
      </c>
      <c r="Z16" s="491" t="str">
        <f>'3A'!$C$27</f>
        <v>PR19SSC_E2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7.6">
      <c r="A17" s="493"/>
      <c r="B17" s="493"/>
      <c r="C17" s="493"/>
      <c r="D17" s="493"/>
      <c r="E17" s="493" t="s">
        <v>1079</v>
      </c>
      <c r="F17" s="493"/>
      <c r="G17" s="493" t="s">
        <v>1052</v>
      </c>
      <c r="H17" s="493"/>
      <c r="I17" s="493"/>
      <c r="J17" s="494" t="str">
        <f>'3A'!$B$9</f>
        <v>Water quality compliance (CRI)</v>
      </c>
      <c r="K17" s="494" t="str">
        <f>'3A'!$B$10</f>
        <v>Water supply interruptions</v>
      </c>
      <c r="L17" s="494" t="str">
        <f>'3A'!$B$11</f>
        <v>Leakage South Staffs region</v>
      </c>
      <c r="M17" s="494" t="str">
        <f>'3A'!$B$12</f>
        <v>Leakage Cambridge region</v>
      </c>
      <c r="N17" s="494" t="str">
        <f>'3A'!$B$13</f>
        <v>Per capita consumption South Staffs region</v>
      </c>
      <c r="O17" s="494" t="str">
        <f>'3A'!$B$14</f>
        <v>Per capita consumption Cambridge region</v>
      </c>
      <c r="P17" s="494" t="str">
        <f>'3A'!$B$15</f>
        <v>Mains repairs</v>
      </c>
      <c r="Q17" s="495" t="str">
        <f>'3A'!$B$16</f>
        <v>Unplanned outage</v>
      </c>
      <c r="R17" s="494" t="str">
        <f>'3A'!$B$19</f>
        <v>Financial support</v>
      </c>
      <c r="S17" s="494" t="str">
        <f>'3A'!$B$20</f>
        <v>Extra Care assistance</v>
      </c>
      <c r="T17" s="494" t="str">
        <f>'3A'!$B$21</f>
        <v>Education activity</v>
      </c>
      <c r="U17" s="494" t="str">
        <f>'3A'!$B$22</f>
        <v>Environmentally sensitive water abstraction</v>
      </c>
      <c r="V17" s="494" t="str">
        <f>'3A'!$B$23</f>
        <v>Protecting wildlife, plants, habitats and catchments</v>
      </c>
      <c r="W17" s="494" t="str">
        <f>'3A'!$B$24</f>
        <v>Customer contact about water quality</v>
      </c>
      <c r="X17" s="494" t="str">
        <f>'3A'!$B$25</f>
        <v>Visible leak repair time</v>
      </c>
      <c r="Y17" s="494" t="str">
        <f>'3A'!$B$26</f>
        <v>Water treatment works delivery programme</v>
      </c>
      <c r="Z17" s="494" t="str">
        <f>'3A'!$B$27</f>
        <v>Residential void properties and gap sites</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8">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8">
      <c r="A19" s="444"/>
      <c r="B19" s="444"/>
      <c r="C19" s="444"/>
      <c r="D19" s="444"/>
      <c r="E19" s="444" t="s">
        <v>1080</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8">
      <c r="A20" s="444"/>
      <c r="B20" s="444"/>
      <c r="C20" s="444"/>
      <c r="D20" s="444"/>
      <c r="E20" s="444" t="s">
        <v>1081</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8">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8">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8">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8">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8">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8">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8">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8">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8">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8">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8">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xml:space="preserve">%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number</v>
      </c>
      <c r="V31" s="499" t="str">
        <f t="shared" si="1"/>
        <v>nr</v>
      </c>
      <c r="W31" s="499" t="str">
        <f t="shared" si="1"/>
        <v>nr</v>
      </c>
      <c r="X31" s="499" t="str">
        <f t="shared" si="1"/>
        <v>text</v>
      </c>
      <c r="Y31" s="499" t="str">
        <f t="shared" si="1"/>
        <v>%</v>
      </c>
      <c r="Z31" s="499" t="str">
        <f t="shared" si="1"/>
        <v>%</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8">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8">
      <c r="A33" s="444"/>
      <c r="B33" s="444"/>
      <c r="C33" s="444"/>
      <c r="D33" s="444"/>
      <c r="E33" s="444" t="s">
        <v>943</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Revenue</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8">
      <c r="A34" s="444"/>
      <c r="B34" s="444"/>
      <c r="C34" s="444"/>
      <c r="D34" s="444"/>
      <c r="E34" s="444" t="s">
        <v>944</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End of period</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8">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8">
      <c r="A36" s="444"/>
      <c r="B36" s="444"/>
      <c r="C36" s="444"/>
      <c r="D36" s="444"/>
      <c r="E36" s="444" t="s">
        <v>1089</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8">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8">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Up</v>
      </c>
      <c r="P38" s="504" t="str">
        <f t="shared" si="9"/>
        <v>Down</v>
      </c>
      <c r="Q38" s="505" t="str">
        <f t="shared" si="9"/>
        <v>Down</v>
      </c>
      <c r="R38" s="504" t="str">
        <f t="shared" ref="R38:AK38" si="10">IF(R$16="","",IF(INDEX(App1data,MATCH(R$16,App1IDnrs,0),23)="","",INDEX(App1data,MATCH(R$16,App1IDnrs,0),23)))</f>
        <v>Up</v>
      </c>
      <c r="S38" s="504" t="str">
        <f t="shared" si="10"/>
        <v>Up</v>
      </c>
      <c r="T38" s="504" t="str">
        <f t="shared" si="10"/>
        <v>Up</v>
      </c>
      <c r="U38" s="504" t="str">
        <f t="shared" si="10"/>
        <v>Down</v>
      </c>
      <c r="V38" s="504" t="str">
        <f t="shared" si="10"/>
        <v>Up</v>
      </c>
      <c r="W38" s="504" t="str">
        <f t="shared" si="10"/>
        <v>Down</v>
      </c>
      <c r="X38" s="504" t="str">
        <f t="shared" si="10"/>
        <v>Down</v>
      </c>
      <c r="Y38" s="504" t="str">
        <f t="shared" si="10"/>
        <v>Up</v>
      </c>
      <c r="Z38" s="504" t="str">
        <f t="shared" si="10"/>
        <v>Up</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8">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8">
      <c r="A40" s="444"/>
      <c r="B40" s="444"/>
      <c r="C40" s="444"/>
      <c r="D40" s="444"/>
      <c r="E40" s="444" t="s">
        <v>132</v>
      </c>
      <c r="F40" s="444"/>
      <c r="G40" s="444" t="s">
        <v>410</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f t="shared" si="12"/>
        <v>1</v>
      </c>
      <c r="P40" s="504">
        <f t="shared" si="12"/>
        <v>1</v>
      </c>
      <c r="Q40" s="505">
        <f t="shared" si="12"/>
        <v>2</v>
      </c>
      <c r="R40" s="504">
        <f t="shared" ref="R40:AK40" si="13">IF(R$16="","",IF(INDEX(App1data,MATCH(R$16,App1IDnrs,0),22)="","",INDEX(App1data,MATCH(R$16,App1IDnrs,0),22)))</f>
        <v>0</v>
      </c>
      <c r="S40" s="504">
        <f t="shared" si="13"/>
        <v>1</v>
      </c>
      <c r="T40" s="504">
        <f t="shared" si="13"/>
        <v>0</v>
      </c>
      <c r="U40" s="504">
        <f t="shared" si="13"/>
        <v>2</v>
      </c>
      <c r="V40" s="504">
        <f t="shared" si="13"/>
        <v>1</v>
      </c>
      <c r="W40" s="504">
        <f t="shared" si="13"/>
        <v>2</v>
      </c>
      <c r="X40" s="504">
        <f t="shared" si="13"/>
        <v>0</v>
      </c>
      <c r="Y40" s="504">
        <f t="shared" si="13"/>
        <v>1</v>
      </c>
      <c r="Z40" s="504">
        <f t="shared" si="13"/>
        <v>0</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8">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8">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8">
      <c r="A43" s="444"/>
      <c r="B43" s="444"/>
      <c r="C43" s="444"/>
      <c r="D43" s="444"/>
      <c r="E43" s="444" t="s">
        <v>949</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1.7592592592592592E-3</v>
      </c>
      <c r="L43" s="1235">
        <f>IF(L$16="","",IF(INDEX(App1bdata,MATCH(L$16,App1bIDnrs,0),VLOOKUP(InpCompany!$F$8,ProfileInps,2,0))="","",INDEX(App1bdata,MATCH(L$16,App1bIDnrs,0),VLOOKUP(InpCompany!$F$8,ProfileInps,2,0))))</f>
        <v>19.2</v>
      </c>
      <c r="M43" s="1235">
        <f>IF(M$16="","",IF(INDEX(App1bdata,MATCH(M$16,App1bIDnrs,0),VLOOKUP(InpCompany!$F$8,ProfileInps,2,0))="","",INDEX(App1bdata,MATCH(M$16,App1bIDnrs,0),VLOOKUP(InpCompany!$F$8,ProfileInps,2,0))))</f>
        <v>19.5</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104.4</v>
      </c>
      <c r="Q43" s="509">
        <f>IF(Q$16="","",IF(INDEX(App1bdata,MATCH(Q$16,App1bIDnrs,0),VLOOKUP(InpCompany!$F$8,ProfileInps,2,0))="","",INDEX(App1bdata,MATCH(Q$16,App1bIDnrs,0),VLOOKUP(InpCompany!$F$8,ProfileInps,2,0))))</f>
        <v>1.64</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f>IF(T$16="","",IF(INDEX(App1data,MATCH(T$16,App1IDnrs,0),VLOOKUP(InpCompany!$F$8,ProfileInps,2,0))="","",INDEX(App1data,MATCH(T$16,App1IDnrs,0),VLOOKUP(InpCompany!$F$8,ProfileInps,2,0))))</f>
        <v>7000</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725</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8">
      <c r="A44" s="444"/>
      <c r="B44" s="444"/>
      <c r="C44" s="444"/>
      <c r="D44" s="444"/>
      <c r="E44" s="444" t="s">
        <v>950</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8">
      <c r="A45" s="444"/>
      <c r="B45" s="444"/>
      <c r="C45" s="444"/>
      <c r="D45" s="444"/>
      <c r="E45" s="444" t="s">
        <v>951</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15</v>
      </c>
      <c r="M45" s="1235">
        <f>IF(M$16="","",IF(INDEX(App1bdata,MATCH(M$16,App1bIDnrs,0),VLOOKUP(InpCompany!$F$8,ProfileInps,4,0))="","",INDEX(App1bdata,MATCH(M$16,App1bIDnrs,0),VLOOKUP(InpCompany!$F$8,ProfileInps,4,0))))</f>
        <v>13.8</v>
      </c>
      <c r="N45" s="1235">
        <f>IF(N$16="","",IF(INDEX(App1bdata,MATCH(N$16,App1bIDnrs,0),VLOOKUP(InpCompany!$F$8,ProfileInps,4,0))="","",INDEX(App1bdata,MATCH(N$16,App1bIDnrs,0),VLOOKUP(InpCompany!$F$8,ProfileInps,4,0))))</f>
        <v>1</v>
      </c>
      <c r="O45" s="1235">
        <f>IF(O$16="","",IF(INDEX(App1bdata,MATCH(O$16,App1bIDnrs,0),VLOOKUP(InpCompany!$F$8,ProfileInps,4,0))="","",INDEX(App1bdata,MATCH(O$16,App1bIDnrs,0),VLOOKUP(InpCompany!$F$8,ProfileInps,4,0))))</f>
        <v>6.3</v>
      </c>
      <c r="P45" s="507">
        <f>IF(P$16="","",IF(INDEX(App1bdata,MATCH(P$16,App1bIDnrs,0),VLOOKUP(InpCompany!$F$8,ProfileInps,4,0))="","",INDEX(App1bdata,MATCH(P$16,App1bIDnrs,0),VLOOKUP(InpCompany!$F$8,ProfileInps,4,0))))</f>
        <v>122.4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40000</v>
      </c>
      <c r="S45" s="507">
        <f>IF(S$16="","",IF(INDEX(App1data,MATCH(S$16,App1IDnrs,0),VLOOKUP(InpCompany!$F$8,ProfileInps,4,0))="","",INDEX(App1data,MATCH(S$16,App1IDnrs,0),VLOOKUP(InpCompany!$F$8,ProfileInps,4,0))))</f>
        <v>5</v>
      </c>
      <c r="T45" s="507">
        <f>IF(T$16="","",IF(INDEX(App1data,MATCH(T$16,App1IDnrs,0),VLOOKUP(InpCompany!$F$8,ProfileInps,4,0))="","",INDEX(App1data,MATCH(T$16,App1IDnrs,0),VLOOKUP(InpCompany!$F$8,ProfileInps,4,0))))</f>
        <v>6000</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690</v>
      </c>
      <c r="W45" s="507">
        <f>IF(W$16="","",IF(INDEX(App1data,MATCH(W$16,App1IDnrs,0),VLOOKUP(InpCompany!$F$8,ProfileInps,4,0))="","",INDEX(App1data,MATCH(W$16,App1IDnrs,0),VLOOKUP(InpCompany!$F$8,ProfileInps,4,0))))</f>
        <v>0.76</v>
      </c>
      <c r="X45" s="507">
        <f>IF(X$16="","",IF(INDEX(App1data,MATCH(X$16,App1IDnrs,0),VLOOKUP(InpCompany!$F$8,ProfileInps,4,0))="","",INDEX(App1data,MATCH(X$16,App1IDnrs,0),VLOOKUP(InpCompany!$F$8,ProfileInps,4,0))))</f>
        <v>4</v>
      </c>
      <c r="Y45" s="507">
        <f>IF(Y$16="","",IF(INDEX(App1data,MATCH(Y$16,App1IDnrs,0),VLOOKUP(InpCompany!$F$8,ProfileInps,4,0))="","",INDEX(App1data,MATCH(Y$16,App1IDnrs,0),VLOOKUP(InpCompany!$F$8,ProfileInps,4,0))))</f>
        <v>100</v>
      </c>
      <c r="Z45" s="507">
        <f>IF(Z$16="","",IF(INDEX(App1data,MATCH(Z$16,App1IDnrs,0),VLOOKUP(InpCompany!$F$8,ProfileInps,4,0))="","",INDEX(App1data,MATCH(Z$16,App1IDnrs,0),VLOOKUP(InpCompany!$F$8,ProfileInps,4,0))))</f>
        <v>100</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8">
      <c r="A46" s="444"/>
      <c r="B46" s="444"/>
      <c r="C46" s="444"/>
      <c r="D46" s="444"/>
      <c r="E46" s="444" t="s">
        <v>952</v>
      </c>
      <c r="F46" s="444"/>
      <c r="G46" s="444" t="s">
        <v>1073</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8">
      <c r="A47" s="444"/>
      <c r="B47" s="444"/>
      <c r="C47" s="444"/>
      <c r="D47" s="444"/>
      <c r="E47" s="444" t="s">
        <v>953</v>
      </c>
      <c r="F47" s="444"/>
      <c r="G47" s="444" t="s">
        <v>1073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8.6805555555555594E-3</v>
      </c>
      <c r="L47" s="1235">
        <f>IF(L$16="","",IF(INDEX(App1bdata,MATCH(L$16,App1bIDnrs,0),VLOOKUP(InpCompany!$F$8,ProfileInps,6,0))="","",INDEX(App1bdata,MATCH(L$16,App1bIDnrs,0),VLOOKUP(InpCompany!$F$8,ProfileInps,6,0))))</f>
        <v>-5</v>
      </c>
      <c r="M47" s="1235">
        <f>IF(M$16="","",IF(INDEX(App1bdata,MATCH(M$16,App1bIDnrs,0),VLOOKUP(InpCompany!$F$8,ProfileInps,6,0))="","",INDEX(App1bdata,MATCH(M$16,App1bIDnrs,0),VLOOKUP(InpCompany!$F$8,ProfileInps,6,0))))</f>
        <v>-5</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150</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8">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8">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0.19700000000000001</v>
      </c>
      <c r="L49" s="510">
        <f t="shared" si="15"/>
        <v>0.19600000000000001</v>
      </c>
      <c r="M49" s="510">
        <f t="shared" si="15"/>
        <v>0.21099999999999999</v>
      </c>
      <c r="N49" s="510">
        <f t="shared" si="15"/>
        <v>0.125</v>
      </c>
      <c r="O49" s="510">
        <f t="shared" si="15"/>
        <v>2.1000000000000001E-2</v>
      </c>
      <c r="P49" s="510">
        <f t="shared" si="15"/>
        <v>1.9E-2</v>
      </c>
      <c r="Q49" s="511">
        <f t="shared" si="15"/>
        <v>0.36199999999999999</v>
      </c>
      <c r="R49" s="510" t="str">
        <f t="shared" ref="R49:AK49" si="16">IF(R$16="","",IF(INDEX(App1data,MATCH(R$16,App1IDnrs,0),101)="","",INDEX(App1data,MATCH(R$16,App1IDnrs,0),101)))</f>
        <v/>
      </c>
      <c r="S49" s="510" t="str">
        <f t="shared" si="16"/>
        <v/>
      </c>
      <c r="T49" s="510">
        <f t="shared" si="16"/>
        <v>7.9999999999999996E-6</v>
      </c>
      <c r="U49" s="510">
        <f t="shared" si="16"/>
        <v>4.9099999999999998E-2</v>
      </c>
      <c r="V49" s="510">
        <f t="shared" si="16"/>
        <v>1.25E-3</v>
      </c>
      <c r="W49" s="510">
        <f t="shared" si="16"/>
        <v>0.90200000000000002</v>
      </c>
      <c r="X49" s="510">
        <f t="shared" si="16"/>
        <v>6.8000000000000005E-2</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8">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-0.26700000000000002</v>
      </c>
      <c r="K50" s="510">
        <f t="shared" si="18"/>
        <v>-0.19700000000000001</v>
      </c>
      <c r="L50" s="510">
        <f t="shared" si="18"/>
        <v>-0.23499999999999999</v>
      </c>
      <c r="M50" s="510">
        <f t="shared" si="18"/>
        <v>-0.254</v>
      </c>
      <c r="N50" s="510">
        <f t="shared" si="18"/>
        <v>-0.16900000000000001</v>
      </c>
      <c r="O50" s="510">
        <f t="shared" si="18"/>
        <v>-2.5000000000000001E-2</v>
      </c>
      <c r="P50" s="510">
        <f t="shared" si="18"/>
        <v>-5.6000000000000001E-2</v>
      </c>
      <c r="Q50" s="511">
        <f t="shared" si="18"/>
        <v>-0.54700000000000004</v>
      </c>
      <c r="R50" s="510">
        <f t="shared" ref="R50:AK50" si="19">IF(R$16="","",IF(INDEX(App1data,MATCH(R$16,App1IDnrs,0),97)="","",INDEX(App1data,MATCH(R$16,App1IDnrs,0),97)))</f>
        <v>-6.0000000000000002E-6</v>
      </c>
      <c r="S50" s="510">
        <f t="shared" si="19"/>
        <v>-3.2231999999999997E-2</v>
      </c>
      <c r="T50" s="510">
        <f t="shared" si="19"/>
        <v>-1.5E-5</v>
      </c>
      <c r="U50" s="510">
        <f t="shared" si="19"/>
        <v>-9.8199999999999996E-2</v>
      </c>
      <c r="V50" s="510">
        <f t="shared" si="19"/>
        <v>-2.5000000000000001E-3</v>
      </c>
      <c r="W50" s="510">
        <f t="shared" si="19"/>
        <v>-1.083</v>
      </c>
      <c r="X50" s="510">
        <f t="shared" si="19"/>
        <v>-0.129</v>
      </c>
      <c r="Y50" s="510">
        <f t="shared" si="19"/>
        <v>-5.8200000000000002E-2</v>
      </c>
      <c r="Z50" s="510">
        <f t="shared" si="19"/>
        <v>-6.7450000000000001E-3</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8">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8">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8">
      <c r="A53" s="444"/>
      <c r="B53" s="444"/>
      <c r="C53" s="444"/>
      <c r="D53" s="444"/>
      <c r="E53" s="444" t="s">
        <v>1096</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8">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8">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8">
      <c r="A56" s="444"/>
      <c r="B56" s="444"/>
      <c r="C56" s="444"/>
      <c r="D56" s="444"/>
      <c r="E56" s="444" t="s">
        <v>954</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8">
      <c r="A57" s="444"/>
      <c r="B57" s="444"/>
      <c r="C57" s="444"/>
      <c r="D57" s="444"/>
      <c r="E57" s="444" t="s">
        <v>955</v>
      </c>
      <c r="F57" s="444"/>
      <c r="G57" s="444" t="s">
        <v>1073</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8">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8">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8">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8">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8">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8">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8">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8">
      <c r="A65" s="444"/>
      <c r="B65" s="444"/>
      <c r="C65" s="444"/>
      <c r="D65" s="444"/>
      <c r="E65" s="444" t="s">
        <v>1104</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8">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8">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8">
      <c r="A68" s="444"/>
      <c r="B68" s="444"/>
      <c r="C68" s="444"/>
      <c r="D68" s="444"/>
      <c r="E68" s="444" t="s">
        <v>1106</v>
      </c>
      <c r="F68" s="444"/>
      <c r="G68" s="444" t="s">
        <v>1061</v>
      </c>
      <c r="H68" s="444"/>
      <c r="I68" s="444"/>
      <c r="J68" s="522">
        <f t="shared" ref="J68:Q68" si="27">IF(J$16="","",INDEX(App1bdata,MATCH(J$16,App1bIDnrs,0),7))</f>
        <v>0</v>
      </c>
      <c r="K68" s="522">
        <f t="shared" si="27"/>
        <v>0</v>
      </c>
      <c r="L68" s="522">
        <f t="shared" si="27"/>
        <v>0</v>
      </c>
      <c r="M68" s="522">
        <f t="shared" si="27"/>
        <v>0</v>
      </c>
      <c r="N68" s="522">
        <f t="shared" si="27"/>
        <v>0</v>
      </c>
      <c r="O68" s="522">
        <f t="shared" si="27"/>
        <v>0</v>
      </c>
      <c r="P68" s="522">
        <f t="shared" si="27"/>
        <v>0</v>
      </c>
      <c r="Q68" s="523">
        <f t="shared" si="27"/>
        <v>0.10100000000000001</v>
      </c>
      <c r="R68" s="524">
        <f t="shared" ref="R68:AK68" si="28">IF(R$16="","",INDEX(App1data,MATCH(R$16,App1IDnrs,0),7))</f>
        <v>0</v>
      </c>
      <c r="S68" s="524">
        <f t="shared" si="28"/>
        <v>0</v>
      </c>
      <c r="T68" s="524">
        <f t="shared" si="28"/>
        <v>8.1000000000000003E-2</v>
      </c>
      <c r="U68" s="524">
        <f t="shared" si="28"/>
        <v>1</v>
      </c>
      <c r="V68" s="524">
        <f t="shared" si="28"/>
        <v>0.5</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8">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f t="shared" si="30"/>
        <v>1</v>
      </c>
      <c r="N69" s="522">
        <f t="shared" si="30"/>
        <v>1</v>
      </c>
      <c r="O69" s="522">
        <f t="shared" si="30"/>
        <v>1</v>
      </c>
      <c r="P69" s="522">
        <f t="shared" si="30"/>
        <v>1</v>
      </c>
      <c r="Q69" s="523">
        <f t="shared" si="30"/>
        <v>0.89900000000000002</v>
      </c>
      <c r="R69" s="524">
        <f t="shared" ref="R69:AK69" si="31">IF(R$16="","",INDEX(App1data,MATCH(R$16,App1IDnrs,0),8))</f>
        <v>0</v>
      </c>
      <c r="S69" s="524">
        <f t="shared" si="31"/>
        <v>0</v>
      </c>
      <c r="T69" s="524">
        <f t="shared" si="31"/>
        <v>0.91900000000000004</v>
      </c>
      <c r="U69" s="524">
        <f t="shared" si="31"/>
        <v>0</v>
      </c>
      <c r="V69" s="524">
        <f t="shared" si="31"/>
        <v>0.5</v>
      </c>
      <c r="W69" s="524">
        <f t="shared" si="31"/>
        <v>1</v>
      </c>
      <c r="X69" s="524">
        <f t="shared" si="31"/>
        <v>1</v>
      </c>
      <c r="Y69" s="524">
        <f t="shared" si="31"/>
        <v>1</v>
      </c>
      <c r="Z69" s="524">
        <f t="shared" si="31"/>
        <v>0</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8">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8">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8">
      <c r="A72" s="444"/>
      <c r="B72" s="444"/>
      <c r="C72" s="444"/>
      <c r="D72" s="444"/>
      <c r="E72" s="444" t="s">
        <v>1110</v>
      </c>
      <c r="F72" s="444"/>
      <c r="G72" s="444" t="s">
        <v>1061</v>
      </c>
      <c r="H72" s="444"/>
      <c r="I72" s="444"/>
      <c r="J72" s="522">
        <f t="shared" ref="J72:Q72" si="39">IF(J$16="","",INDEX(App1bdata,MATCH(J$16,App1bIDnrs,0),11))</f>
        <v>0</v>
      </c>
      <c r="K72" s="522">
        <f t="shared" si="39"/>
        <v>0</v>
      </c>
      <c r="L72" s="522">
        <f t="shared" si="39"/>
        <v>0</v>
      </c>
      <c r="M72" s="522">
        <f t="shared" si="39"/>
        <v>0</v>
      </c>
      <c r="N72" s="522">
        <f t="shared" si="39"/>
        <v>0</v>
      </c>
      <c r="O72" s="522">
        <f t="shared" si="39"/>
        <v>0</v>
      </c>
      <c r="P72" s="522">
        <f t="shared" si="39"/>
        <v>0</v>
      </c>
      <c r="Q72" s="523">
        <f t="shared" si="39"/>
        <v>0</v>
      </c>
      <c r="R72" s="524">
        <f t="shared" ref="R72:AK72" si="40">IF(R$16="","",INDEX(App1data,MATCH(R$16,App1IDnrs,0),11))</f>
        <v>1</v>
      </c>
      <c r="S72" s="524">
        <f t="shared" si="40"/>
        <v>1</v>
      </c>
      <c r="T72" s="524">
        <f t="shared" si="40"/>
        <v>0</v>
      </c>
      <c r="U72" s="524">
        <f t="shared" si="40"/>
        <v>0</v>
      </c>
      <c r="V72" s="524">
        <f t="shared" si="40"/>
        <v>0</v>
      </c>
      <c r="W72" s="524">
        <f t="shared" si="40"/>
        <v>0</v>
      </c>
      <c r="X72" s="524">
        <f t="shared" si="40"/>
        <v>0</v>
      </c>
      <c r="Y72" s="524">
        <f t="shared" si="40"/>
        <v>0</v>
      </c>
      <c r="Z72" s="524">
        <f t="shared" si="40"/>
        <v>1</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8">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8">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8">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935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500-000000000000}">
      <formula1>J49&lt;0</formula1>
    </dataValidation>
    <dataValidation type="custom" allowBlank="1" showInputMessage="1" showErrorMessage="1" sqref="J63:BS63 K49:BS49" xr:uid="{00000000-0002-0000-1500-000001000000}">
      <formula1>J49&gt;0</formula1>
    </dataValidation>
    <dataValidation type="list" allowBlank="1" showInputMessage="1" showErrorMessage="1" sqref="J19:BS20 J53:BS53 J65:BS65 J36:BS36" xr:uid="{00000000-0002-0000-1500-000002000000}">
      <formula1>"TRUE, FALSE"</formula1>
    </dataValidation>
    <dataValidation type="custom" allowBlank="1" showInputMessage="1" showErrorMessage="1" sqref="J27:BS29" xr:uid="{00000000-0002-0000-1500-000003000000}">
      <formula1>J27&lt;=0</formula1>
    </dataValidation>
    <dataValidation type="custom" allowBlank="1" showInputMessage="1" showErrorMessage="1" sqref="J23:BS25" xr:uid="{00000000-0002-0000-15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14" customWidth="1"/>
    <col min="56" max="71" width="25.59765625" style="214" hidden="1" customWidth="1" outlineLevel="1"/>
    <col min="72" max="72" width="8.59765625" style="214" hidden="1" customWidth="1" collapsed="1"/>
    <col min="73" max="16384" width="8.59765625" style="214" hidden="1"/>
  </cols>
  <sheetData>
    <row r="1" spans="1:110" s="261" customFormat="1" ht="4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8">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8">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8">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8">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8">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8">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8">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8">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8">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8">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8">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8">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8">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8">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PR19SSC_D1</v>
      </c>
      <c r="K16" s="535" t="str">
        <f>IF(Company_PC_inputs!K16="","",Company_PC_inputs!K16)</f>
        <v>PR19SSC_D2</v>
      </c>
      <c r="L16" s="535" t="str">
        <f>IF(Company_PC_inputs!L16="","",Company_PC_inputs!L16)</f>
        <v>PR19SSC_C1</v>
      </c>
      <c r="M16" s="535" t="str">
        <f>IF(Company_PC_inputs!M16="","",Company_PC_inputs!M16)</f>
        <v>PR19SSC_C2</v>
      </c>
      <c r="N16" s="535" t="str">
        <f>IF(Company_PC_inputs!N16="","",Company_PC_inputs!N16)</f>
        <v>PR19SSC_C3</v>
      </c>
      <c r="O16" s="535" t="str">
        <f>IF(Company_PC_inputs!O16="","",Company_PC_inputs!O16)</f>
        <v>PR19SSC_C4</v>
      </c>
      <c r="P16" s="535" t="str">
        <f>IF(Company_PC_inputs!P16="","",Company_PC_inputs!P16)</f>
        <v>PR19SSC_D4</v>
      </c>
      <c r="Q16" s="536" t="str">
        <f>IF(Company_PC_inputs!Q16="","",Company_PC_inputs!Q16)</f>
        <v>PR19SSC_D5</v>
      </c>
      <c r="R16" s="535" t="str">
        <f>IF(Company_PC_inputs!R16="","",Company_PC_inputs!R16)</f>
        <v>PR19SSC_B1</v>
      </c>
      <c r="S16" s="535" t="str">
        <f>IF(Company_PC_inputs!S16="","",Company_PC_inputs!S16)</f>
        <v>PR19SSC_B2</v>
      </c>
      <c r="T16" s="535" t="str">
        <f>IF(Company_PC_inputs!T16="","",Company_PC_inputs!T16)</f>
        <v>PR19SSC_B3</v>
      </c>
      <c r="U16" s="535" t="str">
        <f>IF(Company_PC_inputs!U16="","",Company_PC_inputs!U16)</f>
        <v>PR19SSC_C5</v>
      </c>
      <c r="V16" s="535" t="str">
        <f>IF(Company_PC_inputs!V16="","",Company_PC_inputs!V16)</f>
        <v>PR19SSC_C7</v>
      </c>
      <c r="W16" s="535" t="str">
        <f>IF(Company_PC_inputs!W16="","",Company_PC_inputs!W16)</f>
        <v>PR19SSC_D6</v>
      </c>
      <c r="X16" s="535" t="str">
        <f>IF(Company_PC_inputs!X16="","",Company_PC_inputs!X16)</f>
        <v>PR19SSC_D7</v>
      </c>
      <c r="Y16" s="535" t="str">
        <f>IF(Company_PC_inputs!Y16="","",Company_PC_inputs!Y16)</f>
        <v>PR19SSC_D8</v>
      </c>
      <c r="Z16" s="535" t="str">
        <f>IF(Company_PC_inputs!Z16="","",Company_PC_inputs!Z16)</f>
        <v>PR19SSC_E2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7.6">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South Staffs region</v>
      </c>
      <c r="M17" s="494" t="str">
        <f>IF(Company_PC_inputs!M17="","",Company_PC_inputs!M17)</f>
        <v>Leakage Cambridge region</v>
      </c>
      <c r="N17" s="494" t="str">
        <f>IF(Company_PC_inputs!N17="","",Company_PC_inputs!N17)</f>
        <v>Per capita consumption South Staffs region</v>
      </c>
      <c r="O17" s="494" t="str">
        <f>IF(Company_PC_inputs!O17="","",Company_PC_inputs!O17)</f>
        <v>Per capita consumption Cambridge region</v>
      </c>
      <c r="P17" s="494" t="str">
        <f>IF(Company_PC_inputs!P17="","",Company_PC_inputs!P17)</f>
        <v>Mains repairs</v>
      </c>
      <c r="Q17" s="495" t="str">
        <f>IF(Company_PC_inputs!Q17="","",Company_PC_inputs!Q17)</f>
        <v>Unplanned outage</v>
      </c>
      <c r="R17" s="494" t="str">
        <f>IF(Company_PC_inputs!R17="","",Company_PC_inputs!R17)</f>
        <v>Financial support</v>
      </c>
      <c r="S17" s="494" t="str">
        <f>IF(Company_PC_inputs!S17="","",Company_PC_inputs!S17)</f>
        <v>Extra Care assistance</v>
      </c>
      <c r="T17" s="494" t="str">
        <f>IF(Company_PC_inputs!T17="","",Company_PC_inputs!T17)</f>
        <v>Education activity</v>
      </c>
      <c r="U17" s="494" t="str">
        <f>IF(Company_PC_inputs!U17="","",Company_PC_inputs!U17)</f>
        <v>Environmentally sensitive water abstraction</v>
      </c>
      <c r="V17" s="494" t="str">
        <f>IF(Company_PC_inputs!V17="","",Company_PC_inputs!V17)</f>
        <v>Protecting wildlife, plants, habitats and catchments</v>
      </c>
      <c r="W17" s="494" t="str">
        <f>IF(Company_PC_inputs!W17="","",Company_PC_inputs!W17)</f>
        <v>Customer contact about water quality</v>
      </c>
      <c r="X17" s="494" t="str">
        <f>IF(Company_PC_inputs!X17="","",Company_PC_inputs!X17)</f>
        <v>Visible leak repair time</v>
      </c>
      <c r="Y17" s="494" t="str">
        <f>IF(Company_PC_inputs!Y17="","",Company_PC_inputs!Y17)</f>
        <v>Water treatment works delivery programme</v>
      </c>
      <c r="Z17" s="494" t="str">
        <f>IF(Company_PC_inputs!Z17="","",Company_PC_inputs!Z17)</f>
        <v>Residential void properties and gap sites</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8">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8">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8">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8">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8">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8">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8">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8">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8">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8">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8">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8">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8">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8">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8">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8">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8">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8">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8">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8">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8">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8">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8">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8">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8">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8">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8">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8">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8">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8">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8">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8">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8">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8">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8">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8">
      <c r="A53" s="444"/>
      <c r="B53" s="444"/>
      <c r="C53" s="444"/>
      <c r="D53" s="444"/>
      <c r="E53" s="444" t="str">
        <f>Company_PC_inputs!E53&amp; " (Intervention)"</f>
        <v>Enhanced (or two tiered ODI)? (Intervention)</v>
      </c>
      <c r="F53" s="444"/>
      <c r="G53" s="444" t="s">
        <v>425</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8">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8">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8">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8">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8">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8">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8">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8">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8">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8">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8">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8">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8">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8">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8">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8">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8">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8">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8">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8">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8">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8">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935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600-000000000000}">
      <formula1>J23&gt;=0</formula1>
    </dataValidation>
    <dataValidation type="custom" allowBlank="1" showInputMessage="1" showErrorMessage="1" sqref="J27:BS29" xr:uid="{00000000-0002-0000-1600-000001000000}">
      <formula1>J27&lt;=0</formula1>
    </dataValidation>
    <dataValidation type="list" allowBlank="1" showInputMessage="1" showErrorMessage="1" sqref="J53:BS53 J65:BS65 J19:BS20 J36:BS36" xr:uid="{00000000-0002-0000-1600-000002000000}">
      <formula1>"TRUE, FALSE"</formula1>
    </dataValidation>
    <dataValidation type="custom" allowBlank="1" showInputMessage="1" showErrorMessage="1" sqref="J49:BS49 J59:BS59 J63:BS63" xr:uid="{00000000-0002-0000-1600-000003000000}">
      <formula1>J49&gt;0</formula1>
    </dataValidation>
    <dataValidation type="custom" allowBlank="1" showInputMessage="1" showErrorMessage="1" sqref="J50:BS50 J60:BS60 J64:BS64" xr:uid="{00000000-0002-0000-16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5000000}">
          <x14:formula1>
            <xm:f>Validation!$M$4:$M$7</xm:f>
          </x14:formula1>
          <xm:sqref>J38:BS38</xm:sqref>
        </x14:dataValidation>
        <x14:dataValidation type="list" allowBlank="1" showInputMessage="1" showErrorMessage="1" xr:uid="{00000000-0002-0000-1600-000006000000}">
          <x14:formula1>
            <xm:f>Validation!$J$4:$J$7</xm:f>
          </x14:formula1>
          <xm:sqref>J34:BS34</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CEABF"/>
  </sheetPr>
  <dimension ref="A1:Y450"/>
  <sheetViews>
    <sheetView zoomScaleNormal="100" workbookViewId="0"/>
  </sheetViews>
  <sheetFormatPr defaultColWidth="9" defaultRowHeight="13.8"/>
  <cols>
    <col min="1" max="1" width="2.59765625" style="446" customWidth="1"/>
    <col min="2" max="2" width="6.09765625" style="446" customWidth="1"/>
    <col min="3" max="3" width="53.59765625" style="446" customWidth="1"/>
    <col min="4" max="4" width="33.09765625" style="446" customWidth="1"/>
    <col min="5" max="5" width="9.59765625" style="446" customWidth="1"/>
    <col min="6" max="9" width="10.59765625" style="446" customWidth="1"/>
    <col min="10" max="10" width="18.59765625" style="446" customWidth="1"/>
    <col min="11" max="11" width="6.09765625" style="446" customWidth="1"/>
    <col min="12" max="12" width="61.8984375" style="446" customWidth="1"/>
    <col min="13" max="13" width="17.19921875" style="446" bestFit="1" customWidth="1"/>
    <col min="14" max="14" width="9.59765625" style="446" customWidth="1"/>
    <col min="15" max="18" width="10.59765625" style="446" customWidth="1"/>
    <col min="19" max="19" width="18.59765625" style="446" customWidth="1"/>
    <col min="20" max="20" width="23.5" style="446" customWidth="1"/>
    <col min="21" max="21" width="9.59765625" style="446" customWidth="1"/>
    <col min="22" max="25" width="10.59765625" style="446" customWidth="1"/>
    <col min="26" max="16384" width="9" style="446"/>
  </cols>
  <sheetData>
    <row r="1" spans="1:25" ht="4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1113</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1114</v>
      </c>
      <c r="H5" s="2139"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6">
      <c r="A9" s="1995"/>
      <c r="B9" s="2020" t="s">
        <v>1118</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1119</v>
      </c>
      <c r="R11" s="462" t="s">
        <v>1119</v>
      </c>
      <c r="Y11" s="462" t="s">
        <v>1119</v>
      </c>
    </row>
    <row r="12" spans="1:25" ht="27.6">
      <c r="B12" s="448" t="s">
        <v>145</v>
      </c>
      <c r="E12" s="448"/>
      <c r="F12" s="1937" t="s">
        <v>968</v>
      </c>
      <c r="G12" s="1937" t="s">
        <v>980</v>
      </c>
      <c r="H12" s="1937" t="s">
        <v>985</v>
      </c>
      <c r="I12" s="2043" t="s">
        <v>1120</v>
      </c>
      <c r="K12" s="448" t="s">
        <v>190</v>
      </c>
      <c r="O12" s="1937" t="s">
        <v>968</v>
      </c>
      <c r="P12" s="1937" t="s">
        <v>980</v>
      </c>
      <c r="Q12" s="1937" t="s">
        <v>985</v>
      </c>
      <c r="R12" s="2043" t="s">
        <v>1120</v>
      </c>
      <c r="T12" s="448" t="s">
        <v>1121</v>
      </c>
      <c r="U12" s="448"/>
      <c r="V12" s="1937" t="s">
        <v>968</v>
      </c>
      <c r="W12" s="1937" t="s">
        <v>980</v>
      </c>
      <c r="X12" s="1937" t="s">
        <v>985</v>
      </c>
      <c r="Y12" s="2043" t="s">
        <v>1120</v>
      </c>
    </row>
    <row r="13" spans="1:25" ht="15" customHeight="1">
      <c r="C13" s="448" t="s">
        <v>1122</v>
      </c>
      <c r="D13" s="448" t="s">
        <v>1123</v>
      </c>
      <c r="E13" s="448" t="s">
        <v>942</v>
      </c>
      <c r="F13" s="1937" t="s">
        <v>141</v>
      </c>
      <c r="G13" s="1937" t="s">
        <v>141</v>
      </c>
      <c r="H13" s="1937" t="s">
        <v>141</v>
      </c>
      <c r="I13" s="1937" t="s">
        <v>141</v>
      </c>
      <c r="L13" s="448" t="s">
        <v>1122</v>
      </c>
      <c r="M13" s="448" t="s">
        <v>1123</v>
      </c>
      <c r="N13" s="448" t="s">
        <v>942</v>
      </c>
      <c r="O13" s="1937" t="s">
        <v>141</v>
      </c>
      <c r="P13" s="1937" t="s">
        <v>141</v>
      </c>
      <c r="Q13" s="1937" t="s">
        <v>141</v>
      </c>
      <c r="R13" s="1937" t="s">
        <v>141</v>
      </c>
      <c r="U13" s="2021" t="s">
        <v>942</v>
      </c>
      <c r="V13" s="1937" t="s">
        <v>141</v>
      </c>
      <c r="W13" s="1937" t="s">
        <v>141</v>
      </c>
      <c r="X13" s="1937" t="s">
        <v>141</v>
      </c>
      <c r="Y13" s="1937" t="s">
        <v>141</v>
      </c>
    </row>
    <row r="14" spans="1:25" ht="15" customHeight="1">
      <c r="B14" s="446" t="s">
        <v>972</v>
      </c>
      <c r="C14" s="446" t="s">
        <v>1124</v>
      </c>
      <c r="D14" s="1998" t="s">
        <v>1125</v>
      </c>
      <c r="E14" s="1998" t="s">
        <v>964</v>
      </c>
      <c r="F14" s="1999">
        <v>-1.9073999999999998</v>
      </c>
      <c r="G14" s="1999">
        <v>-2.7302</v>
      </c>
      <c r="H14" s="2000"/>
      <c r="I14" s="2000"/>
      <c r="K14" s="446" t="s">
        <v>972</v>
      </c>
      <c r="L14" s="446" t="s">
        <v>1126</v>
      </c>
      <c r="M14" s="1998" t="s">
        <v>1127</v>
      </c>
      <c r="N14" s="1998" t="s">
        <v>964</v>
      </c>
      <c r="O14" s="1999">
        <v>0</v>
      </c>
      <c r="P14" s="1999">
        <v>0</v>
      </c>
      <c r="Q14" s="2000"/>
      <c r="R14" s="2000"/>
      <c r="T14" s="446" t="s">
        <v>972</v>
      </c>
      <c r="U14" s="446" t="str">
        <f t="shared" ref="U14:U29" si="0">$E14</f>
        <v>Revenue</v>
      </c>
      <c r="V14" s="2001">
        <f t="shared" ref="V14:W17" si="1">F14 + O14</f>
        <v>-1.9073999999999998</v>
      </c>
      <c r="W14" s="2001">
        <f t="shared" si="1"/>
        <v>-2.7302</v>
      </c>
      <c r="X14" s="2001">
        <f t="shared" ref="X14:X17" si="2">H14 + Q14</f>
        <v>0</v>
      </c>
      <c r="Y14" s="2001">
        <f t="shared" ref="Y14:Y17" si="3">I14 + R14</f>
        <v>0</v>
      </c>
    </row>
    <row r="15" spans="1:25" ht="15" customHeight="1">
      <c r="B15" s="446" t="s">
        <v>982</v>
      </c>
      <c r="C15" s="446" t="s">
        <v>1124</v>
      </c>
      <c r="D15" s="1998" t="s">
        <v>1128</v>
      </c>
      <c r="E15" s="1998" t="s">
        <v>964</v>
      </c>
      <c r="F15" s="1999">
        <v>-1.3094999999999999</v>
      </c>
      <c r="G15" s="1999">
        <v>-2.2814999999999999</v>
      </c>
      <c r="H15" s="2000"/>
      <c r="I15" s="2000"/>
      <c r="K15" s="446" t="s">
        <v>982</v>
      </c>
      <c r="L15" s="446" t="s">
        <v>1129</v>
      </c>
      <c r="M15" s="1998" t="s">
        <v>1130</v>
      </c>
      <c r="N15" s="1998" t="s">
        <v>964</v>
      </c>
      <c r="O15" s="1999">
        <v>9.4664999999999999E-2</v>
      </c>
      <c r="P15" s="1999">
        <v>0.85198499999999988</v>
      </c>
      <c r="Q15" s="2000"/>
      <c r="R15" s="2000"/>
      <c r="T15" s="446" t="s">
        <v>982</v>
      </c>
      <c r="U15" s="446" t="str">
        <f t="shared" si="0"/>
        <v>Revenue</v>
      </c>
      <c r="V15" s="2001">
        <f t="shared" si="1"/>
        <v>-1.2148349999999999</v>
      </c>
      <c r="W15" s="2001">
        <f t="shared" si="1"/>
        <v>-1.4295149999999999</v>
      </c>
      <c r="X15" s="2001">
        <f t="shared" si="2"/>
        <v>0</v>
      </c>
      <c r="Y15" s="2001">
        <f t="shared" si="3"/>
        <v>0</v>
      </c>
    </row>
    <row r="16" spans="1:25" ht="15" customHeight="1">
      <c r="B16" s="446" t="s">
        <v>969</v>
      </c>
      <c r="C16" s="446" t="s">
        <v>1124</v>
      </c>
      <c r="D16" s="1998" t="s">
        <v>1131</v>
      </c>
      <c r="E16" s="1998" t="s">
        <v>964</v>
      </c>
      <c r="F16" s="1999">
        <v>-0.1008</v>
      </c>
      <c r="G16" s="1999">
        <v>-0.15960000000000002</v>
      </c>
      <c r="H16" s="2000"/>
      <c r="I16" s="2000"/>
      <c r="K16" s="446" t="s">
        <v>969</v>
      </c>
      <c r="L16" s="446" t="s">
        <v>1132</v>
      </c>
      <c r="M16" s="1998" t="s">
        <v>1133</v>
      </c>
      <c r="N16" s="1998" t="s">
        <v>964</v>
      </c>
      <c r="O16" s="1999">
        <v>0</v>
      </c>
      <c r="P16" s="1999">
        <v>0</v>
      </c>
      <c r="Q16" s="2000"/>
      <c r="R16" s="2000"/>
      <c r="T16" s="446" t="s">
        <v>969</v>
      </c>
      <c r="U16" s="446" t="str">
        <f t="shared" si="0"/>
        <v>Revenue</v>
      </c>
      <c r="V16" s="2001">
        <f t="shared" si="1"/>
        <v>-0.1008</v>
      </c>
      <c r="W16" s="1999">
        <f t="shared" si="1"/>
        <v>-0.15960000000000002</v>
      </c>
      <c r="X16" s="1999">
        <f t="shared" si="2"/>
        <v>0</v>
      </c>
      <c r="Y16" s="1999">
        <f t="shared" si="3"/>
        <v>0</v>
      </c>
    </row>
    <row r="17" spans="2:25" ht="15" customHeight="1">
      <c r="B17" s="446" t="s">
        <v>990</v>
      </c>
      <c r="C17" s="446" t="s">
        <v>1124</v>
      </c>
      <c r="D17" s="1998" t="s">
        <v>1134</v>
      </c>
      <c r="E17" s="1998" t="s">
        <v>964</v>
      </c>
      <c r="F17" s="1999">
        <v>-1.3662000000000001</v>
      </c>
      <c r="G17" s="1999">
        <v>-1.9404000000000001</v>
      </c>
      <c r="H17" s="2000"/>
      <c r="I17" s="2000"/>
      <c r="K17" s="446" t="s">
        <v>990</v>
      </c>
      <c r="L17" s="446" t="s">
        <v>1135</v>
      </c>
      <c r="M17" s="1998" t="s">
        <v>1136</v>
      </c>
      <c r="N17" s="1998" t="s">
        <v>964</v>
      </c>
      <c r="O17" s="1999">
        <v>0</v>
      </c>
      <c r="P17" s="1999">
        <v>0</v>
      </c>
      <c r="Q17" s="2000"/>
      <c r="R17" s="2000"/>
      <c r="T17" s="446" t="s">
        <v>990</v>
      </c>
      <c r="U17" s="446" t="str">
        <f t="shared" si="0"/>
        <v>Revenue</v>
      </c>
      <c r="V17" s="2001">
        <f t="shared" si="1"/>
        <v>-1.3662000000000001</v>
      </c>
      <c r="W17" s="1999">
        <f t="shared" si="1"/>
        <v>-1.9404000000000001</v>
      </c>
      <c r="X17" s="1999">
        <f t="shared" si="2"/>
        <v>0</v>
      </c>
      <c r="Y17" s="1999">
        <f t="shared" si="3"/>
        <v>0</v>
      </c>
    </row>
    <row r="18" spans="2:25" ht="15" customHeight="1">
      <c r="B18" s="446" t="s">
        <v>993</v>
      </c>
      <c r="C18" s="446" t="s">
        <v>1124</v>
      </c>
      <c r="D18" s="1998" t="s">
        <v>1137</v>
      </c>
      <c r="E18" s="1998" t="s">
        <v>964</v>
      </c>
      <c r="F18" s="1999">
        <v>-1.5049999999999999</v>
      </c>
      <c r="G18" s="1999">
        <v>-2.38</v>
      </c>
      <c r="H18" s="2000"/>
      <c r="I18" s="2000"/>
      <c r="K18" s="446" t="s">
        <v>999</v>
      </c>
      <c r="L18" s="446" t="s">
        <v>1138</v>
      </c>
      <c r="M18" s="1998" t="s">
        <v>1139</v>
      </c>
      <c r="N18" s="1998" t="s">
        <v>976</v>
      </c>
      <c r="O18" s="1999">
        <v>0</v>
      </c>
      <c r="P18" s="1999">
        <v>0</v>
      </c>
      <c r="Q18" s="2000"/>
      <c r="R18" s="2000"/>
      <c r="T18" s="446" t="s">
        <v>993</v>
      </c>
      <c r="U18" s="446" t="str">
        <f t="shared" si="0"/>
        <v>Revenue</v>
      </c>
      <c r="V18" s="2001">
        <f>F18</f>
        <v>-1.5049999999999999</v>
      </c>
      <c r="W18" s="2001">
        <f>G18</f>
        <v>-2.38</v>
      </c>
      <c r="X18" s="2001">
        <f t="shared" ref="X18:Y18" si="4">H18</f>
        <v>0</v>
      </c>
      <c r="Y18" s="2001">
        <f t="shared" si="4"/>
        <v>0</v>
      </c>
    </row>
    <row r="19" spans="2:25" ht="15" customHeight="1">
      <c r="B19" s="446" t="s">
        <v>999</v>
      </c>
      <c r="C19" s="446" t="s">
        <v>1124</v>
      </c>
      <c r="D19" s="1998" t="s">
        <v>1140</v>
      </c>
      <c r="E19" s="1998" t="s">
        <v>976</v>
      </c>
      <c r="F19" s="1999">
        <v>-0.13950000000000001</v>
      </c>
      <c r="G19" s="1999">
        <v>0.128</v>
      </c>
      <c r="H19" s="2000"/>
      <c r="I19" s="2000"/>
      <c r="K19" s="446" t="s">
        <v>999</v>
      </c>
      <c r="L19" s="446" t="s">
        <v>1141</v>
      </c>
      <c r="M19" s="1998" t="s">
        <v>1142</v>
      </c>
      <c r="N19" s="1998" t="s">
        <v>976</v>
      </c>
      <c r="O19" s="1999">
        <v>4.05</v>
      </c>
      <c r="P19" s="2001">
        <v>4.2749999999999995</v>
      </c>
      <c r="Q19" s="2000"/>
      <c r="R19" s="2000"/>
      <c r="T19" s="446" t="s">
        <v>999</v>
      </c>
      <c r="U19" s="446" t="str">
        <f t="shared" si="0"/>
        <v>RCV</v>
      </c>
      <c r="V19" s="2001">
        <f>F19 + O18 + O19 + O20</f>
        <v>3.9104999999999999</v>
      </c>
      <c r="W19" s="1999">
        <f>G19 + P18 + P19 + P20</f>
        <v>6.0589999999999993</v>
      </c>
      <c r="X19" s="1999">
        <f t="shared" ref="X19:Y19" si="5">H19 + Q18 + Q19 + Q20</f>
        <v>0</v>
      </c>
      <c r="Y19" s="1999">
        <f t="shared" si="5"/>
        <v>0</v>
      </c>
    </row>
    <row r="20" spans="2:25" ht="15" customHeight="1">
      <c r="B20" s="446" t="s">
        <v>996</v>
      </c>
      <c r="C20" s="446" t="s">
        <v>1124</v>
      </c>
      <c r="D20" s="1998" t="s">
        <v>1143</v>
      </c>
      <c r="E20" s="1998" t="s">
        <v>1144</v>
      </c>
      <c r="F20" s="1999">
        <v>-0.99679999999999991</v>
      </c>
      <c r="G20" s="1999">
        <v>-1.4595999999999998</v>
      </c>
      <c r="H20" s="2000"/>
      <c r="I20" s="2000"/>
      <c r="K20" s="446" t="s">
        <v>999</v>
      </c>
      <c r="L20" s="446" t="s">
        <v>1145</v>
      </c>
      <c r="M20" s="1998" t="s">
        <v>1146</v>
      </c>
      <c r="N20" s="1998" t="s">
        <v>976</v>
      </c>
      <c r="O20" s="1999">
        <v>0</v>
      </c>
      <c r="P20" s="1999">
        <v>1.6560000000000001</v>
      </c>
      <c r="Q20" s="2000"/>
      <c r="R20" s="2000"/>
      <c r="T20" s="446" t="s">
        <v>996</v>
      </c>
      <c r="U20" s="446" t="str">
        <f t="shared" si="0"/>
        <v xml:space="preserve">Revenue </v>
      </c>
      <c r="V20" s="2001">
        <f>F20 + O21</f>
        <v>-0.99679999999999991</v>
      </c>
      <c r="W20" s="2001">
        <f>G20 + P21</f>
        <v>-1.4595999999999998</v>
      </c>
      <c r="X20" s="2001">
        <f t="shared" ref="X20:Y21" si="6">H20 + Q21</f>
        <v>0</v>
      </c>
      <c r="Y20" s="2001">
        <f t="shared" si="6"/>
        <v>0</v>
      </c>
    </row>
    <row r="21" spans="2:25" ht="15" customHeight="1">
      <c r="B21" s="446" t="s">
        <v>1003</v>
      </c>
      <c r="C21" s="446" t="s">
        <v>1124</v>
      </c>
      <c r="D21" s="1998" t="s">
        <v>1147</v>
      </c>
      <c r="E21" s="1998" t="s">
        <v>964</v>
      </c>
      <c r="F21" s="1999">
        <v>-2.7143999999999999</v>
      </c>
      <c r="G21" s="1999">
        <v>-3.4104000000000001</v>
      </c>
      <c r="H21" s="2000"/>
      <c r="I21" s="2000"/>
      <c r="K21" s="446" t="s">
        <v>996</v>
      </c>
      <c r="L21" s="446" t="s">
        <v>1148</v>
      </c>
      <c r="M21" s="1998" t="s">
        <v>1149</v>
      </c>
      <c r="N21" s="1998" t="s">
        <v>964</v>
      </c>
      <c r="O21" s="1999">
        <v>0</v>
      </c>
      <c r="P21" s="1999">
        <v>0</v>
      </c>
      <c r="Q21" s="2000"/>
      <c r="R21" s="2000"/>
      <c r="T21" s="446" t="s">
        <v>1003</v>
      </c>
      <c r="U21" s="446" t="str">
        <f t="shared" si="0"/>
        <v>Revenue</v>
      </c>
      <c r="V21" s="2001">
        <f>F21 + O22</f>
        <v>-2.7143999999999999</v>
      </c>
      <c r="W21" s="2001">
        <f>G21 + P22</f>
        <v>-3.4104000000000001</v>
      </c>
      <c r="X21" s="2001">
        <f t="shared" si="6"/>
        <v>0</v>
      </c>
      <c r="Y21" s="2001">
        <f t="shared" si="6"/>
        <v>0</v>
      </c>
    </row>
    <row r="22" spans="2:25" ht="15" customHeight="1">
      <c r="B22" s="446" t="s">
        <v>1008</v>
      </c>
      <c r="C22" s="446" t="s">
        <v>1124</v>
      </c>
      <c r="D22" s="1998" t="s">
        <v>1150</v>
      </c>
      <c r="E22" s="1998" t="s">
        <v>964</v>
      </c>
      <c r="F22" s="1999">
        <v>-1.7424000000000002</v>
      </c>
      <c r="G22" s="1999">
        <v>-2.2968000000000002</v>
      </c>
      <c r="H22" s="2000"/>
      <c r="I22" s="2000"/>
      <c r="K22" s="446" t="s">
        <v>1003</v>
      </c>
      <c r="L22" s="446" t="s">
        <v>1151</v>
      </c>
      <c r="M22" s="1998" t="s">
        <v>1152</v>
      </c>
      <c r="N22" s="1998" t="s">
        <v>964</v>
      </c>
      <c r="O22" s="1999">
        <v>0</v>
      </c>
      <c r="P22" s="1999">
        <v>0</v>
      </c>
      <c r="Q22" s="2000"/>
      <c r="R22" s="2000"/>
      <c r="T22" s="446" t="s">
        <v>1008</v>
      </c>
      <c r="U22" s="446" t="str">
        <f t="shared" si="0"/>
        <v>Revenue</v>
      </c>
      <c r="V22" s="2001">
        <f>F22 + O23 + O24 + O25</f>
        <v>-1.7424000000000002</v>
      </c>
      <c r="W22" s="2001">
        <f>G22 + P23 + P24 + P25</f>
        <v>-2.4456180000000001</v>
      </c>
      <c r="X22" s="2001">
        <f t="shared" ref="X22:Y22" si="7">H22 + Q23 + Q24 + Q25</f>
        <v>0</v>
      </c>
      <c r="Y22" s="2001">
        <f t="shared" si="7"/>
        <v>0</v>
      </c>
    </row>
    <row r="23" spans="2:25" ht="15" customHeight="1">
      <c r="B23" s="446" t="s">
        <v>1012</v>
      </c>
      <c r="C23" s="446" t="s">
        <v>1124</v>
      </c>
      <c r="D23" s="1998" t="s">
        <v>1153</v>
      </c>
      <c r="E23" s="1998" t="s">
        <v>964</v>
      </c>
      <c r="F23" s="1999">
        <v>-0.70200000000000007</v>
      </c>
      <c r="G23" s="1999">
        <v>-0.97500000000000009</v>
      </c>
      <c r="H23" s="2000"/>
      <c r="I23" s="2000"/>
      <c r="K23" s="446" t="s">
        <v>1008</v>
      </c>
      <c r="L23" s="446" t="s">
        <v>1154</v>
      </c>
      <c r="M23" s="1998" t="s">
        <v>1155</v>
      </c>
      <c r="N23" s="1998" t="s">
        <v>964</v>
      </c>
      <c r="O23" s="1999">
        <v>0</v>
      </c>
      <c r="P23" s="1999">
        <v>0</v>
      </c>
      <c r="Q23" s="2000"/>
      <c r="R23" s="2000"/>
      <c r="T23" s="446" t="s">
        <v>1012</v>
      </c>
      <c r="U23" s="446" t="str">
        <f t="shared" si="0"/>
        <v>Revenue</v>
      </c>
      <c r="V23" s="2001">
        <f t="shared" ref="V23:W27" si="8">F23</f>
        <v>-0.70200000000000007</v>
      </c>
      <c r="W23" s="2001">
        <f t="shared" si="8"/>
        <v>-0.97500000000000009</v>
      </c>
      <c r="X23" s="2001">
        <f t="shared" ref="X23:Y27" si="9">H23</f>
        <v>0</v>
      </c>
      <c r="Y23" s="2001">
        <f t="shared" si="9"/>
        <v>0</v>
      </c>
    </row>
    <row r="24" spans="2:25" ht="15" customHeight="1">
      <c r="B24" s="446" t="s">
        <v>1015</v>
      </c>
      <c r="C24" s="446" t="s">
        <v>1124</v>
      </c>
      <c r="D24" s="1998" t="s">
        <v>1156</v>
      </c>
      <c r="E24" s="1998" t="s">
        <v>964</v>
      </c>
      <c r="F24" s="1999">
        <v>-1.6428</v>
      </c>
      <c r="G24" s="1999">
        <v>-2.5752000000000002</v>
      </c>
      <c r="H24" s="2000"/>
      <c r="I24" s="2000"/>
      <c r="K24" s="446" t="s">
        <v>1008</v>
      </c>
      <c r="L24" s="446" t="s">
        <v>1157</v>
      </c>
      <c r="M24" s="1998" t="s">
        <v>1158</v>
      </c>
      <c r="N24" s="1998" t="s">
        <v>964</v>
      </c>
      <c r="O24" s="1999">
        <v>0</v>
      </c>
      <c r="P24" s="1999">
        <v>-0.14881800000000001</v>
      </c>
      <c r="Q24" s="2000"/>
      <c r="R24" s="2000"/>
      <c r="T24" s="446" t="s">
        <v>1015</v>
      </c>
      <c r="U24" s="446" t="str">
        <f t="shared" si="0"/>
        <v>Revenue</v>
      </c>
      <c r="V24" s="1999">
        <f t="shared" si="8"/>
        <v>-1.6428</v>
      </c>
      <c r="W24" s="2001">
        <f t="shared" si="8"/>
        <v>-2.5752000000000002</v>
      </c>
      <c r="X24" s="2001">
        <f t="shared" si="9"/>
        <v>0</v>
      </c>
      <c r="Y24" s="2001">
        <f t="shared" si="9"/>
        <v>0</v>
      </c>
    </row>
    <row r="25" spans="2:25" ht="15" customHeight="1">
      <c r="B25" s="446" t="s">
        <v>1018</v>
      </c>
      <c r="C25" s="446" t="s">
        <v>1124</v>
      </c>
      <c r="D25" s="1998" t="s">
        <v>1159</v>
      </c>
      <c r="E25" s="1998" t="s">
        <v>964</v>
      </c>
      <c r="F25" s="1999">
        <v>-2.6877</v>
      </c>
      <c r="G25" s="1999">
        <v>-4.0459999999999994</v>
      </c>
      <c r="H25" s="2000"/>
      <c r="I25" s="2000"/>
      <c r="K25" s="446" t="s">
        <v>1008</v>
      </c>
      <c r="L25" s="446" t="s">
        <v>1160</v>
      </c>
      <c r="M25" s="1998" t="s">
        <v>1161</v>
      </c>
      <c r="N25" s="1998" t="s">
        <v>964</v>
      </c>
      <c r="O25" s="1999">
        <v>0</v>
      </c>
      <c r="P25" s="1999">
        <v>0</v>
      </c>
      <c r="Q25" s="2000"/>
      <c r="R25" s="2000"/>
      <c r="T25" s="446" t="s">
        <v>1018</v>
      </c>
      <c r="U25" s="446" t="str">
        <f t="shared" si="0"/>
        <v>Revenue</v>
      </c>
      <c r="V25" s="2001">
        <f t="shared" si="8"/>
        <v>-2.6877</v>
      </c>
      <c r="W25" s="2001">
        <f t="shared" si="8"/>
        <v>-4.0459999999999994</v>
      </c>
      <c r="X25" s="2001">
        <f t="shared" si="9"/>
        <v>0</v>
      </c>
      <c r="Y25" s="2001">
        <f t="shared" si="9"/>
        <v>0</v>
      </c>
    </row>
    <row r="26" spans="2:25" ht="15" customHeight="1">
      <c r="B26" s="446" t="s">
        <v>1022</v>
      </c>
      <c r="C26" s="446" t="s">
        <v>1124</v>
      </c>
      <c r="D26" s="1998" t="s">
        <v>1162</v>
      </c>
      <c r="E26" s="1998" t="s">
        <v>964</v>
      </c>
      <c r="F26" s="1999">
        <v>-0.17699999999999999</v>
      </c>
      <c r="G26" s="1999">
        <v>-0.27299999999999996</v>
      </c>
      <c r="H26" s="2000"/>
      <c r="I26" s="2000"/>
      <c r="K26" s="446" t="s">
        <v>1033</v>
      </c>
      <c r="L26" s="446" t="s">
        <v>1163</v>
      </c>
      <c r="M26" s="1998" t="s">
        <v>1164</v>
      </c>
      <c r="N26" s="1998" t="s">
        <v>964</v>
      </c>
      <c r="O26" s="1999">
        <v>-0.83750000000000002</v>
      </c>
      <c r="P26" s="1999">
        <v>-0.7169000000000002</v>
      </c>
      <c r="Q26" s="2000"/>
      <c r="R26" s="2000"/>
      <c r="T26" s="446" t="s">
        <v>1022</v>
      </c>
      <c r="U26" s="446" t="str">
        <f t="shared" si="0"/>
        <v>Revenue</v>
      </c>
      <c r="V26" s="2001">
        <f t="shared" si="8"/>
        <v>-0.17699999999999999</v>
      </c>
      <c r="W26" s="2001">
        <f t="shared" si="8"/>
        <v>-0.27299999999999996</v>
      </c>
      <c r="X26" s="2001">
        <f t="shared" si="9"/>
        <v>0</v>
      </c>
      <c r="Y26" s="2001">
        <f t="shared" si="9"/>
        <v>0</v>
      </c>
    </row>
    <row r="27" spans="2:25" ht="15" customHeight="1">
      <c r="B27" s="446" t="s">
        <v>1026</v>
      </c>
      <c r="C27" s="446" t="s">
        <v>1124</v>
      </c>
      <c r="D27" s="1998" t="s">
        <v>1165</v>
      </c>
      <c r="E27" s="1998" t="s">
        <v>964</v>
      </c>
      <c r="F27" s="1999">
        <v>-0.32340000000000002</v>
      </c>
      <c r="G27" s="1999">
        <v>-0.48180000000000001</v>
      </c>
      <c r="H27" s="2000"/>
      <c r="I27" s="2000"/>
      <c r="T27" s="446" t="s">
        <v>1026</v>
      </c>
      <c r="U27" s="446" t="str">
        <f t="shared" si="0"/>
        <v>Revenue</v>
      </c>
      <c r="V27" s="2001">
        <f t="shared" si="8"/>
        <v>-0.32340000000000002</v>
      </c>
      <c r="W27" s="2001">
        <f t="shared" si="8"/>
        <v>-0.48180000000000001</v>
      </c>
      <c r="X27" s="2001">
        <f t="shared" si="9"/>
        <v>0</v>
      </c>
      <c r="Y27" s="2001">
        <f t="shared" si="9"/>
        <v>0</v>
      </c>
    </row>
    <row r="28" spans="2:25" ht="15" customHeight="1">
      <c r="B28" s="446" t="s">
        <v>1033</v>
      </c>
      <c r="C28" s="446" t="s">
        <v>1124</v>
      </c>
      <c r="D28" s="1998" t="s">
        <v>1166</v>
      </c>
      <c r="E28" s="1998" t="s">
        <v>964</v>
      </c>
      <c r="F28" s="1999">
        <v>-1.2240000000000002</v>
      </c>
      <c r="G28" s="1999">
        <v>-2.1896000000000004</v>
      </c>
      <c r="H28" s="2000"/>
      <c r="I28" s="2000"/>
      <c r="O28" s="561"/>
      <c r="P28" s="561"/>
      <c r="Q28" s="561"/>
      <c r="R28" s="561"/>
      <c r="T28" s="446" t="s">
        <v>1033</v>
      </c>
      <c r="U28" s="446" t="str">
        <f t="shared" si="0"/>
        <v>Revenue</v>
      </c>
      <c r="V28" s="2001">
        <f>F28 + O26</f>
        <v>-2.0615000000000001</v>
      </c>
      <c r="W28" s="1999">
        <f>G28 + P26</f>
        <v>-2.9065000000000007</v>
      </c>
      <c r="X28" s="1999">
        <f t="shared" ref="X28:Y28" si="10">H28 + Q26</f>
        <v>0</v>
      </c>
      <c r="Y28" s="1999">
        <f t="shared" si="10"/>
        <v>0</v>
      </c>
    </row>
    <row r="29" spans="2:25" ht="15" customHeight="1">
      <c r="B29" s="446" t="s">
        <v>1036</v>
      </c>
      <c r="C29" s="446" t="s">
        <v>1167</v>
      </c>
      <c r="D29" s="1998" t="s">
        <v>1168</v>
      </c>
      <c r="E29" s="1998" t="s">
        <v>964</v>
      </c>
      <c r="F29" s="1999">
        <v>-1.3689</v>
      </c>
      <c r="G29" s="1999">
        <v>-2.3491000000000004</v>
      </c>
      <c r="H29" s="2000"/>
      <c r="I29" s="2000"/>
      <c r="T29" s="446" t="s">
        <v>1036</v>
      </c>
      <c r="U29" s="446" t="str">
        <f t="shared" si="0"/>
        <v>Revenue</v>
      </c>
      <c r="V29" s="2001">
        <f>F29 + F30</f>
        <v>-1.5164</v>
      </c>
      <c r="W29" s="2001">
        <f>G29 + G30</f>
        <v>-2.5516000000000005</v>
      </c>
      <c r="X29" s="2001">
        <f t="shared" ref="X29:Y29" si="11">H29 + H30</f>
        <v>0</v>
      </c>
      <c r="Y29" s="2001">
        <f t="shared" si="11"/>
        <v>0</v>
      </c>
    </row>
    <row r="30" spans="2:25" ht="15" customHeight="1">
      <c r="B30" s="446" t="s">
        <v>1036</v>
      </c>
      <c r="C30" s="446" t="s">
        <v>1169</v>
      </c>
      <c r="D30" s="1998" t="s">
        <v>1170</v>
      </c>
      <c r="E30" s="1998" t="s">
        <v>964</v>
      </c>
      <c r="F30" s="1999">
        <v>-0.14750000000000002</v>
      </c>
      <c r="G30" s="1999">
        <v>-0.20250000000000001</v>
      </c>
      <c r="H30" s="2000"/>
      <c r="I30" s="2000"/>
      <c r="T30" s="446" t="s">
        <v>1029</v>
      </c>
      <c r="U30" s="446" t="str">
        <f>$E31</f>
        <v>Revenue</v>
      </c>
      <c r="V30" s="2001">
        <f>F31</f>
        <v>-0.61599999999999999</v>
      </c>
      <c r="W30" s="2001">
        <f>G31</f>
        <v>-0.62479999999999991</v>
      </c>
      <c r="X30" s="2001">
        <f t="shared" ref="X30:Y30" si="12">H31</f>
        <v>0</v>
      </c>
      <c r="Y30" s="2001">
        <f t="shared" si="12"/>
        <v>0</v>
      </c>
    </row>
    <row r="31" spans="2:25" ht="15" customHeight="1">
      <c r="B31" s="446" t="s">
        <v>1029</v>
      </c>
      <c r="C31" s="446" t="s">
        <v>1124</v>
      </c>
      <c r="D31" s="1998" t="s">
        <v>1171</v>
      </c>
      <c r="E31" s="1998" t="s">
        <v>964</v>
      </c>
      <c r="F31" s="1999">
        <v>-0.61599999999999999</v>
      </c>
      <c r="G31" s="1999">
        <v>-0.62479999999999991</v>
      </c>
      <c r="H31" s="2000"/>
      <c r="I31" s="2000"/>
    </row>
    <row r="32" spans="2:25" ht="15" customHeight="1">
      <c r="B32" s="448" t="s">
        <v>1172</v>
      </c>
      <c r="F32" s="2022">
        <f>SUM(F14:F31)</f>
        <v>-20.671299999999999</v>
      </c>
      <c r="G32" s="2022">
        <f>SUM(G14:G31)</f>
        <v>-30.247500000000002</v>
      </c>
      <c r="H32" s="2022">
        <f>SUM(H14:H31)</f>
        <v>0</v>
      </c>
      <c r="I32" s="2022">
        <f>SUM(I14:I31)</f>
        <v>0</v>
      </c>
      <c r="K32" s="448" t="s">
        <v>1173</v>
      </c>
      <c r="O32" s="2022">
        <f>SUM(O14:O26)</f>
        <v>3.3071649999999999</v>
      </c>
      <c r="P32" s="2022">
        <f>SUM(P14:P26)</f>
        <v>5.9172669999999998</v>
      </c>
      <c r="Q32" s="2022">
        <f>SUM(Q14:Q26)</f>
        <v>0</v>
      </c>
      <c r="R32" s="2022">
        <f>SUM(R14:R26)</f>
        <v>0</v>
      </c>
      <c r="T32" s="448" t="s">
        <v>1174</v>
      </c>
      <c r="V32" s="2022">
        <f>SUM(V14:V30)</f>
        <v>-17.364134999999997</v>
      </c>
      <c r="W32" s="2022">
        <f>SUM(W14:W30)</f>
        <v>-24.330233000000003</v>
      </c>
      <c r="X32" s="2022">
        <f>SUM(X14:X30)</f>
        <v>0</v>
      </c>
      <c r="Y32" s="2022">
        <f>SUM(Y14:Y30)</f>
        <v>0</v>
      </c>
    </row>
    <row r="33" spans="2:25" s="2003" customFormat="1" ht="15" customHeight="1">
      <c r="B33" s="2002"/>
      <c r="F33" s="2004"/>
      <c r="G33" s="2004"/>
      <c r="H33" s="2004"/>
      <c r="I33" s="2004"/>
      <c r="V33" s="2001"/>
      <c r="W33" s="2001"/>
      <c r="X33" s="2001"/>
      <c r="Y33" s="2001"/>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82"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82" t="s">
        <v>1192</v>
      </c>
    </row>
    <row r="45" spans="2:25" ht="15" customHeight="1">
      <c r="K45" s="446" t="s">
        <v>1193</v>
      </c>
    </row>
    <row r="46" spans="2:25" ht="15" customHeight="1">
      <c r="K46" s="446" t="s">
        <v>1194</v>
      </c>
    </row>
    <row r="47" spans="2:25" ht="15" customHeight="1"/>
    <row r="48" spans="2:25" ht="15" customHeight="1"/>
    <row r="49" spans="1:25" ht="15.6">
      <c r="A49" s="1995"/>
      <c r="B49" s="2020" t="s">
        <v>1195</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1196</v>
      </c>
    </row>
    <row r="52" spans="1:25" ht="15" customHeight="1">
      <c r="B52" s="1367" t="s">
        <v>1197</v>
      </c>
    </row>
    <row r="53" spans="1:25" ht="15" customHeight="1">
      <c r="B53" s="1367" t="s">
        <v>1198</v>
      </c>
    </row>
    <row r="54" spans="1:25" ht="15" customHeight="1">
      <c r="B54" s="1367" t="s">
        <v>1199</v>
      </c>
    </row>
    <row r="55" spans="1:25" ht="15" customHeight="1">
      <c r="B55" s="1367" t="s">
        <v>1200</v>
      </c>
    </row>
    <row r="56" spans="1:25" ht="15" customHeight="1">
      <c r="B56" s="2005"/>
    </row>
    <row r="57" spans="1:25" ht="15" customHeight="1">
      <c r="I57" s="462" t="s">
        <v>1119</v>
      </c>
    </row>
    <row r="58" spans="1:25" ht="27.6">
      <c r="B58" s="1998"/>
      <c r="C58" s="1998"/>
      <c r="F58" s="2023" t="s">
        <v>968</v>
      </c>
      <c r="G58" s="1937" t="s">
        <v>980</v>
      </c>
      <c r="H58" s="1937" t="s">
        <v>985</v>
      </c>
      <c r="I58" s="2043" t="s">
        <v>1120</v>
      </c>
    </row>
    <row r="59" spans="1:25" ht="15" customHeight="1">
      <c r="B59" s="2028" t="s">
        <v>971</v>
      </c>
      <c r="C59" s="1998"/>
      <c r="F59" s="2023" t="s">
        <v>141</v>
      </c>
      <c r="G59" s="1937" t="s">
        <v>141</v>
      </c>
      <c r="H59" s="1937" t="s">
        <v>141</v>
      </c>
      <c r="I59" s="1937" t="s">
        <v>141</v>
      </c>
    </row>
    <row r="60" spans="1:25" ht="15" customHeight="1">
      <c r="B60" s="1998" t="s">
        <v>972</v>
      </c>
      <c r="C60" s="1998" t="s">
        <v>1201</v>
      </c>
      <c r="F60" s="1999">
        <v>0</v>
      </c>
      <c r="G60" s="2001">
        <v>0</v>
      </c>
      <c r="H60" s="2007"/>
      <c r="I60" s="2007"/>
      <c r="J60" s="1942"/>
      <c r="K60" s="1942"/>
    </row>
    <row r="61" spans="1:25" ht="15" customHeight="1">
      <c r="B61" s="1998" t="s">
        <v>972</v>
      </c>
      <c r="C61" s="1998" t="s">
        <v>1202</v>
      </c>
      <c r="F61" s="1999">
        <v>-1.9074</v>
      </c>
      <c r="G61" s="2001">
        <v>-2.7302</v>
      </c>
      <c r="H61" s="2007"/>
      <c r="I61" s="2007"/>
      <c r="J61" s="1942"/>
      <c r="K61" s="1942"/>
    </row>
    <row r="62" spans="1:25" ht="15" customHeight="1">
      <c r="B62" s="1998" t="s">
        <v>972</v>
      </c>
      <c r="C62" s="1998" t="s">
        <v>1203</v>
      </c>
      <c r="F62" s="1999">
        <v>0</v>
      </c>
      <c r="G62" s="2001">
        <v>0</v>
      </c>
      <c r="H62" s="2007"/>
      <c r="I62" s="2007"/>
      <c r="J62" s="1942"/>
      <c r="K62" s="1942"/>
    </row>
    <row r="63" spans="1:25" ht="15" customHeight="1">
      <c r="B63" s="1998" t="s">
        <v>972</v>
      </c>
      <c r="C63" s="1998" t="s">
        <v>1204</v>
      </c>
      <c r="F63" s="1999">
        <v>0</v>
      </c>
      <c r="G63" s="2001">
        <v>0</v>
      </c>
      <c r="H63" s="2007"/>
      <c r="I63" s="2007"/>
      <c r="J63" s="1942"/>
      <c r="K63" s="1942"/>
    </row>
    <row r="64" spans="1:25" ht="15" customHeight="1">
      <c r="B64" s="1998" t="s">
        <v>972</v>
      </c>
      <c r="C64" s="1998" t="s">
        <v>1205</v>
      </c>
      <c r="F64" s="1999">
        <v>0</v>
      </c>
      <c r="G64" s="2001">
        <v>0</v>
      </c>
      <c r="H64" s="2007"/>
      <c r="I64" s="2007"/>
      <c r="J64" s="1942"/>
      <c r="K64" s="1942"/>
    </row>
    <row r="65" spans="2:11" ht="15" customHeight="1">
      <c r="B65" s="1998" t="s">
        <v>972</v>
      </c>
      <c r="C65" s="1998" t="s">
        <v>1206</v>
      </c>
      <c r="F65" s="1999">
        <v>0</v>
      </c>
      <c r="G65" s="2001">
        <v>0</v>
      </c>
      <c r="H65" s="2007"/>
      <c r="I65" s="2007"/>
      <c r="J65" s="1942"/>
      <c r="K65" s="1942"/>
    </row>
    <row r="66" spans="2:11" ht="15" customHeight="1">
      <c r="B66" s="2008" t="s">
        <v>972</v>
      </c>
      <c r="C66" s="2008" t="s">
        <v>1207</v>
      </c>
      <c r="D66" s="2009"/>
      <c r="E66" s="2009"/>
      <c r="F66" s="2010">
        <v>0</v>
      </c>
      <c r="G66" s="2011">
        <v>0</v>
      </c>
      <c r="H66" s="2012"/>
      <c r="I66" s="2012"/>
      <c r="J66" s="1942"/>
      <c r="K66" s="1942"/>
    </row>
    <row r="67" spans="2:11" ht="15" customHeight="1">
      <c r="B67" s="1998" t="s">
        <v>972</v>
      </c>
      <c r="C67" s="1998" t="s">
        <v>1208</v>
      </c>
      <c r="F67" s="1999">
        <v>0</v>
      </c>
      <c r="G67" s="2001">
        <v>0</v>
      </c>
      <c r="H67" s="2007"/>
      <c r="I67" s="2007"/>
      <c r="J67" s="1942"/>
      <c r="K67" s="1942"/>
    </row>
    <row r="68" spans="2:11" ht="15" customHeight="1">
      <c r="B68" s="1998" t="s">
        <v>972</v>
      </c>
      <c r="C68" s="1998" t="s">
        <v>1209</v>
      </c>
      <c r="F68" s="1999">
        <v>0</v>
      </c>
      <c r="G68" s="2001">
        <v>0</v>
      </c>
      <c r="H68" s="2007"/>
      <c r="I68" s="2007"/>
      <c r="J68" s="1942"/>
      <c r="K68" s="1942"/>
    </row>
    <row r="69" spans="2:11" ht="15" customHeight="1">
      <c r="B69" s="1998" t="s">
        <v>972</v>
      </c>
      <c r="C69" s="1998" t="s">
        <v>1210</v>
      </c>
      <c r="F69" s="1999">
        <v>0</v>
      </c>
      <c r="G69" s="2001">
        <v>0</v>
      </c>
      <c r="H69" s="2007"/>
      <c r="I69" s="2007"/>
      <c r="J69" s="1942"/>
      <c r="K69" s="1942"/>
    </row>
    <row r="70" spans="2:11" ht="15" customHeight="1">
      <c r="B70" s="1998" t="s">
        <v>972</v>
      </c>
      <c r="C70" s="1998" t="s">
        <v>1211</v>
      </c>
      <c r="F70" s="1999">
        <v>0</v>
      </c>
      <c r="G70" s="2001">
        <v>0</v>
      </c>
      <c r="H70" s="2007"/>
      <c r="I70" s="2007"/>
      <c r="J70" s="1942"/>
      <c r="K70" s="1942"/>
    </row>
    <row r="71" spans="2:11" ht="15" customHeight="1">
      <c r="B71" s="1998" t="s">
        <v>972</v>
      </c>
      <c r="C71" s="1998" t="s">
        <v>1212</v>
      </c>
      <c r="F71" s="1999">
        <v>0</v>
      </c>
      <c r="G71" s="2001">
        <v>0</v>
      </c>
      <c r="H71" s="2007"/>
      <c r="I71" s="2007"/>
      <c r="J71" s="1942"/>
      <c r="K71" s="1942"/>
    </row>
    <row r="72" spans="2:11" ht="15" customHeight="1">
      <c r="B72" s="1998" t="s">
        <v>972</v>
      </c>
      <c r="C72" s="1998" t="s">
        <v>1213</v>
      </c>
      <c r="F72" s="1999">
        <v>0</v>
      </c>
      <c r="G72" s="2001">
        <v>0</v>
      </c>
      <c r="H72" s="2007"/>
      <c r="I72" s="2007"/>
      <c r="J72" s="1942"/>
      <c r="K72" s="1942"/>
    </row>
    <row r="73" spans="2:11" ht="15" customHeight="1">
      <c r="B73" s="1998" t="s">
        <v>972</v>
      </c>
      <c r="C73" s="1998" t="s">
        <v>1214</v>
      </c>
      <c r="F73" s="1999">
        <v>0</v>
      </c>
      <c r="G73" s="2001">
        <v>0</v>
      </c>
      <c r="H73" s="2007"/>
      <c r="I73" s="2007"/>
      <c r="J73" s="1942"/>
      <c r="K73" s="1942"/>
    </row>
    <row r="74" spans="2:11" ht="15" customHeight="1">
      <c r="B74" s="1998" t="s">
        <v>972</v>
      </c>
      <c r="C74" s="1998" t="s">
        <v>1215</v>
      </c>
      <c r="F74" s="1999">
        <f>SUM(F60:F66)</f>
        <v>-1.9074</v>
      </c>
      <c r="G74" s="2001">
        <f>SUM(G60:G66)</f>
        <v>-2.7302</v>
      </c>
      <c r="H74" s="2001">
        <f>SUM(H60:H66)</f>
        <v>0</v>
      </c>
      <c r="I74" s="2001">
        <f>SUM(I60:I66)</f>
        <v>0</v>
      </c>
      <c r="J74" s="595"/>
    </row>
    <row r="75" spans="2:11" ht="15" customHeight="1">
      <c r="B75" s="1998" t="s">
        <v>972</v>
      </c>
      <c r="C75" s="1998" t="s">
        <v>1216</v>
      </c>
      <c r="F75" s="1999">
        <f>SUM(F67:F73)</f>
        <v>0</v>
      </c>
      <c r="G75" s="2001">
        <f>SUM(G67:G73)</f>
        <v>0</v>
      </c>
      <c r="H75" s="2001">
        <f>SUM(H67:H73)</f>
        <v>0</v>
      </c>
      <c r="I75" s="2001">
        <f>SUM(I67:I73)</f>
        <v>0</v>
      </c>
      <c r="J75" s="595"/>
    </row>
    <row r="76" spans="2:11" ht="15" customHeight="1" thickBot="1">
      <c r="B76" s="2013"/>
      <c r="C76" s="2025" t="s">
        <v>1046</v>
      </c>
      <c r="D76" s="2014"/>
      <c r="E76" s="2014"/>
      <c r="F76" s="2026">
        <f>F74+F75</f>
        <v>-1.9074</v>
      </c>
      <c r="G76" s="2027">
        <f>G74+G75</f>
        <v>-2.7302</v>
      </c>
      <c r="H76" s="2027">
        <f>H74+H75</f>
        <v>0</v>
      </c>
      <c r="I76" s="2027">
        <f>I74+I75</f>
        <v>0</v>
      </c>
      <c r="J76" s="595"/>
    </row>
    <row r="77" spans="2:11" ht="15" customHeight="1" thickTop="1">
      <c r="B77" s="2015"/>
      <c r="C77" s="2016" t="s">
        <v>1217</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1218</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1119</v>
      </c>
    </row>
    <row r="81" spans="2:9" ht="27.6">
      <c r="B81" s="1998"/>
      <c r="C81" s="1998"/>
      <c r="F81" s="2023" t="s">
        <v>968</v>
      </c>
      <c r="G81" s="1937" t="s">
        <v>980</v>
      </c>
      <c r="H81" s="1937" t="s">
        <v>985</v>
      </c>
      <c r="I81" s="2043" t="s">
        <v>1120</v>
      </c>
    </row>
    <row r="82" spans="2:9" ht="15" customHeight="1">
      <c r="B82" s="2028" t="s">
        <v>981</v>
      </c>
      <c r="C82" s="1998"/>
      <c r="F82" s="2023" t="s">
        <v>141</v>
      </c>
      <c r="G82" s="1937" t="s">
        <v>141</v>
      </c>
      <c r="H82" s="1937" t="s">
        <v>141</v>
      </c>
      <c r="I82" s="1937" t="s">
        <v>141</v>
      </c>
    </row>
    <row r="83" spans="2:9" ht="15" customHeight="1">
      <c r="B83" s="1998" t="s">
        <v>982</v>
      </c>
      <c r="C83" s="1998" t="s">
        <v>1201</v>
      </c>
      <c r="F83" s="1999">
        <v>2.7452850000000001E-2</v>
      </c>
      <c r="G83" s="2001">
        <v>0.24707565000000001</v>
      </c>
      <c r="H83" s="2007"/>
      <c r="I83" s="2007"/>
    </row>
    <row r="84" spans="2:9" ht="15" customHeight="1">
      <c r="B84" s="1998" t="s">
        <v>982</v>
      </c>
      <c r="C84" s="1998" t="s">
        <v>1202</v>
      </c>
      <c r="F84" s="1999">
        <v>-1.3095000000000001</v>
      </c>
      <c r="G84" s="2001">
        <v>-2.2814999999999999</v>
      </c>
      <c r="H84" s="2007"/>
      <c r="I84" s="2007"/>
    </row>
    <row r="85" spans="2:9" ht="15" customHeight="1">
      <c r="B85" s="1998" t="s">
        <v>982</v>
      </c>
      <c r="C85" s="1998" t="s">
        <v>1203</v>
      </c>
      <c r="F85" s="1999">
        <v>6.7212149999999998E-2</v>
      </c>
      <c r="G85" s="2001">
        <v>0.60490935000000001</v>
      </c>
      <c r="H85" s="2007"/>
      <c r="I85" s="2007"/>
    </row>
    <row r="86" spans="2:9" ht="15" customHeight="1">
      <c r="B86" s="1998" t="s">
        <v>982</v>
      </c>
      <c r="C86" s="1998" t="s">
        <v>1204</v>
      </c>
      <c r="F86" s="1999">
        <v>0</v>
      </c>
      <c r="G86" s="2001">
        <v>0</v>
      </c>
      <c r="H86" s="2007"/>
      <c r="I86" s="2007"/>
    </row>
    <row r="87" spans="2:9" ht="15" customHeight="1">
      <c r="B87" s="1998" t="s">
        <v>982</v>
      </c>
      <c r="C87" s="1998" t="s">
        <v>1205</v>
      </c>
      <c r="F87" s="1999">
        <v>0</v>
      </c>
      <c r="G87" s="2001">
        <v>0</v>
      </c>
      <c r="H87" s="2007"/>
      <c r="I87" s="2007"/>
    </row>
    <row r="88" spans="2:9" ht="15" customHeight="1">
      <c r="B88" s="1998" t="s">
        <v>982</v>
      </c>
      <c r="C88" s="1998" t="s">
        <v>1206</v>
      </c>
      <c r="F88" s="1999">
        <v>0</v>
      </c>
      <c r="G88" s="2001">
        <v>0</v>
      </c>
      <c r="H88" s="2007"/>
      <c r="I88" s="2007"/>
    </row>
    <row r="89" spans="2:9" ht="15" customHeight="1">
      <c r="B89" s="2008" t="s">
        <v>982</v>
      </c>
      <c r="C89" s="2008" t="s">
        <v>1207</v>
      </c>
      <c r="D89" s="2009"/>
      <c r="E89" s="2009"/>
      <c r="F89" s="2010">
        <v>0</v>
      </c>
      <c r="G89" s="2011">
        <v>0</v>
      </c>
      <c r="H89" s="2012"/>
      <c r="I89" s="2012"/>
    </row>
    <row r="90" spans="2:9" ht="15" customHeight="1">
      <c r="B90" s="1998" t="s">
        <v>982</v>
      </c>
      <c r="C90" s="1998" t="s">
        <v>1208</v>
      </c>
      <c r="F90" s="1999">
        <v>0</v>
      </c>
      <c r="G90" s="2001">
        <v>0</v>
      </c>
      <c r="H90" s="2007"/>
      <c r="I90" s="2007"/>
    </row>
    <row r="91" spans="2:9" ht="15" customHeight="1">
      <c r="B91" s="1998" t="s">
        <v>982</v>
      </c>
      <c r="C91" s="1998" t="s">
        <v>1209</v>
      </c>
      <c r="F91" s="1999">
        <v>0</v>
      </c>
      <c r="G91" s="2001">
        <v>0</v>
      </c>
      <c r="H91" s="2007"/>
      <c r="I91" s="2007"/>
    </row>
    <row r="92" spans="2:9" ht="15" customHeight="1">
      <c r="B92" s="1998" t="s">
        <v>982</v>
      </c>
      <c r="C92" s="1998" t="s">
        <v>1210</v>
      </c>
      <c r="F92" s="1999">
        <v>0</v>
      </c>
      <c r="G92" s="2001">
        <v>0</v>
      </c>
      <c r="H92" s="2007"/>
      <c r="I92" s="2007"/>
    </row>
    <row r="93" spans="2:9" ht="15" customHeight="1">
      <c r="B93" s="1998" t="s">
        <v>982</v>
      </c>
      <c r="C93" s="1998" t="s">
        <v>1211</v>
      </c>
      <c r="F93" s="1999">
        <v>0</v>
      </c>
      <c r="G93" s="2001">
        <v>0</v>
      </c>
      <c r="H93" s="2007"/>
      <c r="I93" s="2007"/>
    </row>
    <row r="94" spans="2:9" ht="15" customHeight="1">
      <c r="B94" s="1998" t="s">
        <v>982</v>
      </c>
      <c r="C94" s="1998" t="s">
        <v>1212</v>
      </c>
      <c r="F94" s="1999">
        <v>0</v>
      </c>
      <c r="G94" s="2001">
        <v>0</v>
      </c>
      <c r="H94" s="2007"/>
      <c r="I94" s="2007"/>
    </row>
    <row r="95" spans="2:9" ht="15" customHeight="1">
      <c r="B95" s="1998" t="s">
        <v>982</v>
      </c>
      <c r="C95" s="1998" t="s">
        <v>1213</v>
      </c>
      <c r="F95" s="1999">
        <v>0</v>
      </c>
      <c r="G95" s="2001">
        <v>0</v>
      </c>
      <c r="H95" s="2007"/>
      <c r="I95" s="2007"/>
    </row>
    <row r="96" spans="2:9" ht="15" customHeight="1">
      <c r="B96" s="1998" t="s">
        <v>982</v>
      </c>
      <c r="C96" s="1998" t="s">
        <v>1214</v>
      </c>
      <c r="F96" s="1999">
        <v>0</v>
      </c>
      <c r="G96" s="2001">
        <v>0</v>
      </c>
      <c r="H96" s="2007"/>
      <c r="I96" s="2007"/>
    </row>
    <row r="97" spans="2:9" ht="15" customHeight="1">
      <c r="B97" s="1998" t="s">
        <v>982</v>
      </c>
      <c r="C97" s="1998" t="s">
        <v>1215</v>
      </c>
      <c r="F97" s="1999">
        <f>SUM(F83:F89)</f>
        <v>-1.2148350000000001</v>
      </c>
      <c r="G97" s="2001">
        <f>SUM(G83:G89)</f>
        <v>-1.4295149999999996</v>
      </c>
      <c r="H97" s="2001">
        <f>SUM(H83:H89)</f>
        <v>0</v>
      </c>
      <c r="I97" s="2001">
        <f>SUM(I83:I89)</f>
        <v>0</v>
      </c>
    </row>
    <row r="98" spans="2:9" ht="15" customHeight="1">
      <c r="B98" s="1998" t="s">
        <v>982</v>
      </c>
      <c r="C98" s="1998" t="s">
        <v>1216</v>
      </c>
      <c r="F98" s="1999">
        <f>SUM(F90:F96)</f>
        <v>0</v>
      </c>
      <c r="G98" s="2001">
        <f>SUM(G90:G96)</f>
        <v>0</v>
      </c>
      <c r="H98" s="2001">
        <f>SUM(H90:H96)</f>
        <v>0</v>
      </c>
      <c r="I98" s="2001">
        <f>SUM(I90:I96)</f>
        <v>0</v>
      </c>
    </row>
    <row r="99" spans="2:9" ht="15" customHeight="1" thickBot="1">
      <c r="B99" s="2013"/>
      <c r="C99" s="2025" t="s">
        <v>1046</v>
      </c>
      <c r="D99" s="2014"/>
      <c r="E99" s="2014"/>
      <c r="F99" s="2026">
        <f>F97+F98</f>
        <v>-1.2148350000000001</v>
      </c>
      <c r="G99" s="2027">
        <f>G97+G98</f>
        <v>-1.4295149999999996</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1218</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1119</v>
      </c>
    </row>
    <row r="104" spans="2:9" ht="27.6">
      <c r="B104" s="1998"/>
      <c r="C104" s="1998"/>
      <c r="F104" s="2023" t="s">
        <v>968</v>
      </c>
      <c r="G104" s="1937" t="s">
        <v>980</v>
      </c>
      <c r="H104" s="1937" t="s">
        <v>985</v>
      </c>
      <c r="I104" s="2043" t="s">
        <v>1120</v>
      </c>
    </row>
    <row r="105" spans="2:9" ht="15" customHeight="1">
      <c r="B105" s="2028" t="s">
        <v>986</v>
      </c>
      <c r="C105" s="1998"/>
      <c r="F105" s="2023" t="s">
        <v>141</v>
      </c>
      <c r="G105" s="1937" t="s">
        <v>141</v>
      </c>
      <c r="H105" s="1937" t="s">
        <v>141</v>
      </c>
      <c r="I105" s="1937" t="s">
        <v>141</v>
      </c>
    </row>
    <row r="106" spans="2:9" ht="15" customHeight="1">
      <c r="B106" s="1998" t="s">
        <v>969</v>
      </c>
      <c r="C106" s="1998" t="s">
        <v>1201</v>
      </c>
      <c r="F106" s="1999">
        <v>-5.04E-2</v>
      </c>
      <c r="G106" s="2001">
        <v>-7.9799999999999996E-2</v>
      </c>
      <c r="H106" s="2007"/>
      <c r="I106" s="2007"/>
    </row>
    <row r="107" spans="2:9" ht="15" customHeight="1">
      <c r="B107" s="1998" t="s">
        <v>969</v>
      </c>
      <c r="C107" s="1998" t="s">
        <v>1202</v>
      </c>
      <c r="F107" s="1999">
        <v>-5.04E-2</v>
      </c>
      <c r="G107" s="2001">
        <v>-7.9799999999999996E-2</v>
      </c>
      <c r="H107" s="2007"/>
      <c r="I107" s="2007"/>
    </row>
    <row r="108" spans="2:9" ht="15" customHeight="1">
      <c r="B108" s="1998" t="s">
        <v>969</v>
      </c>
      <c r="C108" s="1998" t="s">
        <v>1203</v>
      </c>
      <c r="F108" s="1999">
        <v>0</v>
      </c>
      <c r="G108" s="2001">
        <v>0</v>
      </c>
      <c r="H108" s="2007"/>
      <c r="I108" s="2007"/>
    </row>
    <row r="109" spans="2:9" ht="15" customHeight="1">
      <c r="B109" s="1998" t="s">
        <v>969</v>
      </c>
      <c r="C109" s="1998" t="s">
        <v>1204</v>
      </c>
      <c r="F109" s="1999">
        <v>0</v>
      </c>
      <c r="G109" s="2001">
        <v>0</v>
      </c>
      <c r="H109" s="2007"/>
      <c r="I109" s="2007"/>
    </row>
    <row r="110" spans="2:9" ht="15" customHeight="1">
      <c r="B110" s="1998" t="s">
        <v>969</v>
      </c>
      <c r="C110" s="1998" t="s">
        <v>1205</v>
      </c>
      <c r="F110" s="1999">
        <v>0</v>
      </c>
      <c r="G110" s="2001">
        <v>0</v>
      </c>
      <c r="H110" s="2007"/>
      <c r="I110" s="2007"/>
    </row>
    <row r="111" spans="2:9" ht="15" customHeight="1">
      <c r="B111" s="1998" t="s">
        <v>969</v>
      </c>
      <c r="C111" s="1998" t="s">
        <v>1206</v>
      </c>
      <c r="F111" s="1999">
        <v>0</v>
      </c>
      <c r="G111" s="2001">
        <v>0</v>
      </c>
      <c r="H111" s="2007"/>
      <c r="I111" s="2007"/>
    </row>
    <row r="112" spans="2:9" ht="15" customHeight="1">
      <c r="B112" s="2008" t="s">
        <v>969</v>
      </c>
      <c r="C112" s="2008" t="s">
        <v>1207</v>
      </c>
      <c r="D112" s="2009"/>
      <c r="E112" s="2009"/>
      <c r="F112" s="2010">
        <v>0</v>
      </c>
      <c r="G112" s="2011">
        <v>0</v>
      </c>
      <c r="H112" s="2012"/>
      <c r="I112" s="2012"/>
    </row>
    <row r="113" spans="2:9" ht="15" customHeight="1">
      <c r="B113" s="1998" t="s">
        <v>969</v>
      </c>
      <c r="C113" s="1998" t="s">
        <v>1208</v>
      </c>
      <c r="F113" s="1999">
        <v>0</v>
      </c>
      <c r="G113" s="2001">
        <v>0</v>
      </c>
      <c r="H113" s="2007"/>
      <c r="I113" s="2007"/>
    </row>
    <row r="114" spans="2:9" ht="15" customHeight="1">
      <c r="B114" s="1998" t="s">
        <v>969</v>
      </c>
      <c r="C114" s="1998" t="s">
        <v>1209</v>
      </c>
      <c r="F114" s="1999">
        <v>0</v>
      </c>
      <c r="G114" s="2001">
        <v>0</v>
      </c>
      <c r="H114" s="2007"/>
      <c r="I114" s="2007"/>
    </row>
    <row r="115" spans="2:9" ht="15" customHeight="1">
      <c r="B115" s="1998" t="s">
        <v>969</v>
      </c>
      <c r="C115" s="1998" t="s">
        <v>1210</v>
      </c>
      <c r="F115" s="1999">
        <v>0</v>
      </c>
      <c r="G115" s="2001">
        <v>0</v>
      </c>
      <c r="H115" s="2007"/>
      <c r="I115" s="2007"/>
    </row>
    <row r="116" spans="2:9" ht="15" customHeight="1">
      <c r="B116" s="1998" t="s">
        <v>969</v>
      </c>
      <c r="C116" s="1998" t="s">
        <v>1211</v>
      </c>
      <c r="F116" s="1999">
        <v>0</v>
      </c>
      <c r="G116" s="2001">
        <v>0</v>
      </c>
      <c r="H116" s="2007"/>
      <c r="I116" s="2007"/>
    </row>
    <row r="117" spans="2:9" ht="15" customHeight="1">
      <c r="B117" s="1998" t="s">
        <v>969</v>
      </c>
      <c r="C117" s="1998" t="s">
        <v>1212</v>
      </c>
      <c r="F117" s="1999">
        <v>0</v>
      </c>
      <c r="G117" s="2001">
        <v>0</v>
      </c>
      <c r="H117" s="2007"/>
      <c r="I117" s="2007"/>
    </row>
    <row r="118" spans="2:9" ht="15" customHeight="1">
      <c r="B118" s="1998" t="s">
        <v>969</v>
      </c>
      <c r="C118" s="1998" t="s">
        <v>1213</v>
      </c>
      <c r="F118" s="1999">
        <v>0</v>
      </c>
      <c r="G118" s="2001">
        <v>0</v>
      </c>
      <c r="H118" s="2007"/>
      <c r="I118" s="2007"/>
    </row>
    <row r="119" spans="2:9" ht="15" customHeight="1">
      <c r="B119" s="1998" t="s">
        <v>969</v>
      </c>
      <c r="C119" s="1998" t="s">
        <v>1214</v>
      </c>
      <c r="F119" s="1999">
        <v>0</v>
      </c>
      <c r="G119" s="2001">
        <v>0</v>
      </c>
      <c r="H119" s="2007"/>
      <c r="I119" s="2007"/>
    </row>
    <row r="120" spans="2:9" ht="15" customHeight="1">
      <c r="B120" s="1998" t="s">
        <v>969</v>
      </c>
      <c r="C120" s="1998" t="s">
        <v>1215</v>
      </c>
      <c r="F120" s="1999">
        <f>SUM(F106:F112)</f>
        <v>-0.1008</v>
      </c>
      <c r="G120" s="2001">
        <f>SUM(G106:G112)</f>
        <v>-0.15959999999999999</v>
      </c>
      <c r="H120" s="2001">
        <f>SUM(H106:H112)</f>
        <v>0</v>
      </c>
      <c r="I120" s="2001">
        <f>SUM(I106:I112)</f>
        <v>0</v>
      </c>
    </row>
    <row r="121" spans="2:9" ht="15" customHeight="1">
      <c r="B121" s="1998" t="s">
        <v>969</v>
      </c>
      <c r="C121" s="1998" t="s">
        <v>1216</v>
      </c>
      <c r="F121" s="1999">
        <f>SUM(F113:F119)</f>
        <v>0</v>
      </c>
      <c r="G121" s="2001">
        <f>SUM(G113:G119)</f>
        <v>0</v>
      </c>
      <c r="H121" s="2001">
        <f>SUM(H113:H119)</f>
        <v>0</v>
      </c>
      <c r="I121" s="2001">
        <f>SUM(I113:I119)</f>
        <v>0</v>
      </c>
    </row>
    <row r="122" spans="2:9" ht="15" customHeight="1" thickBot="1">
      <c r="B122" s="2013"/>
      <c r="C122" s="2025" t="s">
        <v>1046</v>
      </c>
      <c r="D122" s="2014"/>
      <c r="E122" s="2014"/>
      <c r="F122" s="2026">
        <f>F120+F121</f>
        <v>-0.1008</v>
      </c>
      <c r="G122" s="2026">
        <f>G120+G121</f>
        <v>-0.15959999999999999</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1218</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1119</v>
      </c>
    </row>
    <row r="127" spans="2:9" ht="27.6">
      <c r="B127" s="1998"/>
      <c r="C127" s="1998"/>
      <c r="F127" s="2023" t="s">
        <v>968</v>
      </c>
      <c r="G127" s="1937" t="s">
        <v>980</v>
      </c>
      <c r="H127" s="1937" t="s">
        <v>985</v>
      </c>
      <c r="I127" s="2043" t="s">
        <v>1120</v>
      </c>
    </row>
    <row r="128" spans="2:9" ht="15" customHeight="1">
      <c r="B128" s="2028" t="s">
        <v>989</v>
      </c>
      <c r="C128" s="1998"/>
      <c r="F128" s="2023" t="s">
        <v>141</v>
      </c>
      <c r="G128" s="1937" t="s">
        <v>141</v>
      </c>
      <c r="H128" s="1937" t="s">
        <v>141</v>
      </c>
      <c r="I128" s="1937" t="s">
        <v>141</v>
      </c>
    </row>
    <row r="129" spans="2:9" ht="15" customHeight="1">
      <c r="B129" s="1998" t="s">
        <v>990</v>
      </c>
      <c r="C129" s="1998" t="s">
        <v>1201</v>
      </c>
      <c r="F129" s="1999">
        <v>0</v>
      </c>
      <c r="G129" s="2001">
        <v>0</v>
      </c>
      <c r="H129" s="2007"/>
      <c r="I129" s="2007"/>
    </row>
    <row r="130" spans="2:9" ht="15" customHeight="1">
      <c r="B130" s="1998" t="s">
        <v>990</v>
      </c>
      <c r="C130" s="1998" t="s">
        <v>1202</v>
      </c>
      <c r="F130" s="1999">
        <v>-1.3662000000000001</v>
      </c>
      <c r="G130" s="2001">
        <v>-1.9403999999999999</v>
      </c>
      <c r="H130" s="2007"/>
      <c r="I130" s="2007"/>
    </row>
    <row r="131" spans="2:9" ht="15" customHeight="1">
      <c r="B131" s="1998" t="s">
        <v>990</v>
      </c>
      <c r="C131" s="1998" t="s">
        <v>1203</v>
      </c>
      <c r="F131" s="1999">
        <v>0</v>
      </c>
      <c r="G131" s="2001">
        <v>0</v>
      </c>
      <c r="H131" s="2007"/>
      <c r="I131" s="2007"/>
    </row>
    <row r="132" spans="2:9" ht="15" customHeight="1">
      <c r="B132" s="1998" t="s">
        <v>990</v>
      </c>
      <c r="C132" s="1998" t="s">
        <v>1204</v>
      </c>
      <c r="F132" s="1999">
        <v>0</v>
      </c>
      <c r="G132" s="2001">
        <v>0</v>
      </c>
      <c r="H132" s="2007"/>
      <c r="I132" s="2007"/>
    </row>
    <row r="133" spans="2:9" ht="15" customHeight="1">
      <c r="B133" s="1998" t="s">
        <v>990</v>
      </c>
      <c r="C133" s="1998" t="s">
        <v>1205</v>
      </c>
      <c r="F133" s="1999">
        <v>0</v>
      </c>
      <c r="G133" s="2001">
        <v>0</v>
      </c>
      <c r="H133" s="2007"/>
      <c r="I133" s="2007"/>
    </row>
    <row r="134" spans="2:9" ht="15" customHeight="1">
      <c r="B134" s="1998" t="s">
        <v>990</v>
      </c>
      <c r="C134" s="1998" t="s">
        <v>1206</v>
      </c>
      <c r="F134" s="1999">
        <v>0</v>
      </c>
      <c r="G134" s="2001">
        <v>0</v>
      </c>
      <c r="H134" s="2007"/>
      <c r="I134" s="2007"/>
    </row>
    <row r="135" spans="2:9" ht="15" customHeight="1">
      <c r="B135" s="2008" t="s">
        <v>990</v>
      </c>
      <c r="C135" s="2008" t="s">
        <v>1207</v>
      </c>
      <c r="D135" s="2009"/>
      <c r="E135" s="2009"/>
      <c r="F135" s="2010">
        <v>0</v>
      </c>
      <c r="G135" s="2011">
        <v>0</v>
      </c>
      <c r="H135" s="2012"/>
      <c r="I135" s="2012"/>
    </row>
    <row r="136" spans="2:9" ht="15" customHeight="1">
      <c r="B136" s="1998" t="s">
        <v>990</v>
      </c>
      <c r="C136" s="1998" t="s">
        <v>1208</v>
      </c>
      <c r="F136" s="1999">
        <v>0</v>
      </c>
      <c r="G136" s="2001">
        <v>0</v>
      </c>
      <c r="H136" s="2007"/>
      <c r="I136" s="2007"/>
    </row>
    <row r="137" spans="2:9" ht="15" customHeight="1">
      <c r="B137" s="1998" t="s">
        <v>990</v>
      </c>
      <c r="C137" s="1998" t="s">
        <v>1209</v>
      </c>
      <c r="F137" s="1999">
        <v>0</v>
      </c>
      <c r="G137" s="2001">
        <v>0</v>
      </c>
      <c r="H137" s="2007"/>
      <c r="I137" s="2007"/>
    </row>
    <row r="138" spans="2:9" ht="15" customHeight="1">
      <c r="B138" s="1998" t="s">
        <v>990</v>
      </c>
      <c r="C138" s="1998" t="s">
        <v>1210</v>
      </c>
      <c r="F138" s="1999">
        <v>0</v>
      </c>
      <c r="G138" s="2001">
        <v>0</v>
      </c>
      <c r="H138" s="2007"/>
      <c r="I138" s="2007"/>
    </row>
    <row r="139" spans="2:9" ht="15" customHeight="1">
      <c r="B139" s="1998" t="s">
        <v>990</v>
      </c>
      <c r="C139" s="1998" t="s">
        <v>1211</v>
      </c>
      <c r="F139" s="1999">
        <v>0</v>
      </c>
      <c r="G139" s="2001">
        <v>0</v>
      </c>
      <c r="H139" s="2007"/>
      <c r="I139" s="2007"/>
    </row>
    <row r="140" spans="2:9" ht="15" customHeight="1">
      <c r="B140" s="1998" t="s">
        <v>990</v>
      </c>
      <c r="C140" s="1998" t="s">
        <v>1212</v>
      </c>
      <c r="F140" s="1999">
        <v>0</v>
      </c>
      <c r="G140" s="2001">
        <v>0</v>
      </c>
      <c r="H140" s="2007"/>
      <c r="I140" s="2007"/>
    </row>
    <row r="141" spans="2:9" ht="15" customHeight="1">
      <c r="B141" s="1998" t="s">
        <v>990</v>
      </c>
      <c r="C141" s="1998" t="s">
        <v>1213</v>
      </c>
      <c r="F141" s="1999">
        <v>0</v>
      </c>
      <c r="G141" s="2001">
        <v>0</v>
      </c>
      <c r="H141" s="2007"/>
      <c r="I141" s="2007"/>
    </row>
    <row r="142" spans="2:9" ht="15" customHeight="1">
      <c r="B142" s="1998" t="s">
        <v>990</v>
      </c>
      <c r="C142" s="1998" t="s">
        <v>1214</v>
      </c>
      <c r="F142" s="1999">
        <v>0</v>
      </c>
      <c r="G142" s="2001">
        <v>0</v>
      </c>
      <c r="H142" s="2007"/>
      <c r="I142" s="2007"/>
    </row>
    <row r="143" spans="2:9" ht="15" customHeight="1">
      <c r="B143" s="1998" t="s">
        <v>990</v>
      </c>
      <c r="C143" s="1998" t="s">
        <v>1215</v>
      </c>
      <c r="F143" s="1999">
        <f>SUM(F129:F135)</f>
        <v>-1.3662000000000001</v>
      </c>
      <c r="G143" s="2001">
        <f>SUM(G129:G135)</f>
        <v>-1.9403999999999999</v>
      </c>
      <c r="H143" s="2001">
        <f>SUM(H129:H135)</f>
        <v>0</v>
      </c>
      <c r="I143" s="2001">
        <f>SUM(I129:I135)</f>
        <v>0</v>
      </c>
    </row>
    <row r="144" spans="2:9" ht="15" customHeight="1">
      <c r="B144" s="1998" t="s">
        <v>990</v>
      </c>
      <c r="C144" s="1998" t="s">
        <v>1216</v>
      </c>
      <c r="F144" s="1999">
        <f>SUM(F136:F142)</f>
        <v>0</v>
      </c>
      <c r="G144" s="2001">
        <f>SUM(G136:G142)</f>
        <v>0</v>
      </c>
      <c r="H144" s="2001">
        <f>SUM(H136:H142)</f>
        <v>0</v>
      </c>
      <c r="I144" s="2001">
        <f>SUM(I136:I142)</f>
        <v>0</v>
      </c>
    </row>
    <row r="145" spans="2:9" ht="15" customHeight="1" thickBot="1">
      <c r="B145" s="2013"/>
      <c r="C145" s="2025" t="s">
        <v>1046</v>
      </c>
      <c r="D145" s="2014"/>
      <c r="E145" s="2014"/>
      <c r="F145" s="2026">
        <f>F143+F144</f>
        <v>-1.3662000000000001</v>
      </c>
      <c r="G145" s="2026">
        <f>G143+G144</f>
        <v>-1.9403999999999999</v>
      </c>
      <c r="H145" s="2027">
        <f>H143+H144</f>
        <v>0</v>
      </c>
      <c r="I145" s="2027">
        <f>I143+I144</f>
        <v>0</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1218</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1119</v>
      </c>
    </row>
    <row r="150" spans="2:9" ht="27.6">
      <c r="B150" s="1998"/>
      <c r="C150" s="1998"/>
      <c r="F150" s="2023" t="s">
        <v>968</v>
      </c>
      <c r="G150" s="1937" t="s">
        <v>980</v>
      </c>
      <c r="H150" s="1937" t="s">
        <v>985</v>
      </c>
      <c r="I150" s="2043" t="s">
        <v>1120</v>
      </c>
    </row>
    <row r="151" spans="2:9" ht="15" customHeight="1">
      <c r="B151" s="2028" t="s">
        <v>992</v>
      </c>
      <c r="C151" s="1998"/>
      <c r="F151" s="2023" t="s">
        <v>141</v>
      </c>
      <c r="G151" s="1937" t="s">
        <v>141</v>
      </c>
      <c r="H151" s="1937" t="s">
        <v>141</v>
      </c>
      <c r="I151" s="1937" t="s">
        <v>141</v>
      </c>
    </row>
    <row r="152" spans="2:9" ht="15" customHeight="1">
      <c r="B152" s="1998" t="s">
        <v>993</v>
      </c>
      <c r="C152" s="1998" t="s">
        <v>1201</v>
      </c>
      <c r="F152" s="1999">
        <v>-1.5049999999999999</v>
      </c>
      <c r="G152" s="2001">
        <v>-2.38</v>
      </c>
      <c r="H152" s="2007"/>
      <c r="I152" s="2007"/>
    </row>
    <row r="153" spans="2:9" ht="15" customHeight="1">
      <c r="B153" s="1998" t="s">
        <v>993</v>
      </c>
      <c r="C153" s="1998" t="s">
        <v>1202</v>
      </c>
      <c r="F153" s="1999">
        <v>0</v>
      </c>
      <c r="G153" s="2001">
        <v>0</v>
      </c>
      <c r="H153" s="2007"/>
      <c r="I153" s="2007"/>
    </row>
    <row r="154" spans="2:9" ht="15" customHeight="1">
      <c r="B154" s="1998" t="s">
        <v>993</v>
      </c>
      <c r="C154" s="1998" t="s">
        <v>1203</v>
      </c>
      <c r="F154" s="1999">
        <v>0</v>
      </c>
      <c r="G154" s="2001">
        <v>0</v>
      </c>
      <c r="H154" s="2007"/>
      <c r="I154" s="2007"/>
    </row>
    <row r="155" spans="2:9" ht="15" customHeight="1">
      <c r="B155" s="1998" t="s">
        <v>993</v>
      </c>
      <c r="C155" s="1998" t="s">
        <v>1204</v>
      </c>
      <c r="F155" s="1999">
        <v>0</v>
      </c>
      <c r="G155" s="2001">
        <v>0</v>
      </c>
      <c r="H155" s="2007"/>
      <c r="I155" s="2007"/>
    </row>
    <row r="156" spans="2:9" ht="15" customHeight="1">
      <c r="B156" s="1998" t="s">
        <v>993</v>
      </c>
      <c r="C156" s="1998" t="s">
        <v>1205</v>
      </c>
      <c r="F156" s="1999">
        <v>0</v>
      </c>
      <c r="G156" s="2001">
        <v>0</v>
      </c>
      <c r="H156" s="2007"/>
      <c r="I156" s="2007"/>
    </row>
    <row r="157" spans="2:9" ht="15" customHeight="1">
      <c r="B157" s="1998" t="s">
        <v>993</v>
      </c>
      <c r="C157" s="1998" t="s">
        <v>1206</v>
      </c>
      <c r="F157" s="1999">
        <v>0</v>
      </c>
      <c r="G157" s="2001">
        <v>0</v>
      </c>
      <c r="H157" s="2007"/>
      <c r="I157" s="2007"/>
    </row>
    <row r="158" spans="2:9" ht="15" customHeight="1">
      <c r="B158" s="2008" t="s">
        <v>993</v>
      </c>
      <c r="C158" s="2008" t="s">
        <v>1207</v>
      </c>
      <c r="D158" s="2009"/>
      <c r="E158" s="2009"/>
      <c r="F158" s="2010">
        <v>0</v>
      </c>
      <c r="G158" s="2011">
        <v>0</v>
      </c>
      <c r="H158" s="2012"/>
      <c r="I158" s="2012"/>
    </row>
    <row r="159" spans="2:9" ht="15" customHeight="1">
      <c r="B159" s="1998" t="s">
        <v>993</v>
      </c>
      <c r="C159" s="1998" t="s">
        <v>1208</v>
      </c>
      <c r="F159" s="1999">
        <v>0</v>
      </c>
      <c r="G159" s="2001">
        <v>0</v>
      </c>
      <c r="H159" s="2007"/>
      <c r="I159" s="2007"/>
    </row>
    <row r="160" spans="2:9" ht="15" customHeight="1">
      <c r="B160" s="1998" t="s">
        <v>993</v>
      </c>
      <c r="C160" s="1998" t="s">
        <v>1209</v>
      </c>
      <c r="F160" s="1999">
        <v>0</v>
      </c>
      <c r="G160" s="2001">
        <v>0</v>
      </c>
      <c r="H160" s="2007"/>
      <c r="I160" s="2007"/>
    </row>
    <row r="161" spans="2:9" ht="15" customHeight="1">
      <c r="B161" s="1998" t="s">
        <v>993</v>
      </c>
      <c r="C161" s="1998" t="s">
        <v>1210</v>
      </c>
      <c r="F161" s="1999">
        <v>0</v>
      </c>
      <c r="G161" s="2001">
        <v>0</v>
      </c>
      <c r="H161" s="2007"/>
      <c r="I161" s="2007"/>
    </row>
    <row r="162" spans="2:9" ht="15" customHeight="1">
      <c r="B162" s="1998" t="s">
        <v>993</v>
      </c>
      <c r="C162" s="1998" t="s">
        <v>1211</v>
      </c>
      <c r="F162" s="1999">
        <v>0</v>
      </c>
      <c r="G162" s="2001">
        <v>0</v>
      </c>
      <c r="H162" s="2007"/>
      <c r="I162" s="2007"/>
    </row>
    <row r="163" spans="2:9" ht="15" customHeight="1">
      <c r="B163" s="1998" t="s">
        <v>993</v>
      </c>
      <c r="C163" s="1998" t="s">
        <v>1212</v>
      </c>
      <c r="F163" s="1999">
        <v>0</v>
      </c>
      <c r="G163" s="2001">
        <v>0</v>
      </c>
      <c r="H163" s="2007"/>
      <c r="I163" s="2007"/>
    </row>
    <row r="164" spans="2:9" ht="15" customHeight="1">
      <c r="B164" s="1998" t="s">
        <v>993</v>
      </c>
      <c r="C164" s="1998" t="s">
        <v>1213</v>
      </c>
      <c r="F164" s="1999">
        <v>0</v>
      </c>
      <c r="G164" s="2001">
        <v>0</v>
      </c>
      <c r="H164" s="2007"/>
      <c r="I164" s="2007"/>
    </row>
    <row r="165" spans="2:9" ht="15" customHeight="1">
      <c r="B165" s="1998" t="s">
        <v>993</v>
      </c>
      <c r="C165" s="1998" t="s">
        <v>1214</v>
      </c>
      <c r="F165" s="1999">
        <v>0</v>
      </c>
      <c r="G165" s="2001">
        <v>0</v>
      </c>
      <c r="H165" s="2007"/>
      <c r="I165" s="2007"/>
    </row>
    <row r="166" spans="2:9" ht="15" customHeight="1">
      <c r="B166" s="1998" t="s">
        <v>993</v>
      </c>
      <c r="C166" s="1998" t="s">
        <v>1215</v>
      </c>
      <c r="F166" s="1999">
        <f>SUM(F152:F158)</f>
        <v>-1.5049999999999999</v>
      </c>
      <c r="G166" s="2001">
        <f>SUM(G152:G158)</f>
        <v>-2.38</v>
      </c>
      <c r="H166" s="2001">
        <f>SUM(H152:H158)</f>
        <v>0</v>
      </c>
      <c r="I166" s="2001">
        <f>SUM(I152:I158)</f>
        <v>0</v>
      </c>
    </row>
    <row r="167" spans="2:9" ht="15" customHeight="1">
      <c r="B167" s="1998" t="s">
        <v>993</v>
      </c>
      <c r="C167" s="1998" t="s">
        <v>1216</v>
      </c>
      <c r="F167" s="1999">
        <f>SUM(F159:F165)</f>
        <v>0</v>
      </c>
      <c r="G167" s="2001">
        <f>SUM(G159:G165)</f>
        <v>0</v>
      </c>
      <c r="H167" s="2001">
        <f>SUM(H159:H165)</f>
        <v>0</v>
      </c>
      <c r="I167" s="2001">
        <f>SUM(I159:I165)</f>
        <v>0</v>
      </c>
    </row>
    <row r="168" spans="2:9" ht="15" customHeight="1" thickBot="1">
      <c r="B168" s="2013"/>
      <c r="C168" s="2025" t="s">
        <v>1046</v>
      </c>
      <c r="D168" s="2014"/>
      <c r="E168" s="2014"/>
      <c r="F168" s="2026">
        <f>F166+F167</f>
        <v>-1.5049999999999999</v>
      </c>
      <c r="G168" s="2027">
        <f>G166+G167</f>
        <v>-2.38</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1218</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1119</v>
      </c>
    </row>
    <row r="173" spans="2:9" ht="27.6">
      <c r="B173" s="1998"/>
      <c r="C173" s="1998"/>
      <c r="F173" s="2023" t="s">
        <v>968</v>
      </c>
      <c r="G173" s="1937" t="s">
        <v>980</v>
      </c>
      <c r="H173" s="1937" t="s">
        <v>985</v>
      </c>
      <c r="I173" s="2043" t="s">
        <v>1120</v>
      </c>
    </row>
    <row r="174" spans="2:9" ht="15" customHeight="1">
      <c r="B174" s="2028" t="s">
        <v>998</v>
      </c>
      <c r="C174" s="1998"/>
      <c r="F174" s="2023" t="s">
        <v>141</v>
      </c>
      <c r="G174" s="1937" t="s">
        <v>141</v>
      </c>
      <c r="H174" s="1937" t="s">
        <v>141</v>
      </c>
      <c r="I174" s="1937" t="s">
        <v>141</v>
      </c>
    </row>
    <row r="175" spans="2:9" ht="15" customHeight="1">
      <c r="B175" s="1998" t="s">
        <v>999</v>
      </c>
      <c r="C175" s="1998" t="s">
        <v>1201</v>
      </c>
      <c r="F175" s="1999">
        <v>0</v>
      </c>
      <c r="G175" s="2001">
        <v>0</v>
      </c>
      <c r="H175" s="2007"/>
      <c r="I175" s="2007"/>
    </row>
    <row r="176" spans="2:9" ht="15" customHeight="1">
      <c r="B176" s="1998" t="s">
        <v>999</v>
      </c>
      <c r="C176" s="1998" t="s">
        <v>1202</v>
      </c>
      <c r="F176" s="1999">
        <v>6.1950444774083704E-17</v>
      </c>
      <c r="G176" s="2001">
        <v>0</v>
      </c>
      <c r="H176" s="2007"/>
      <c r="I176" s="2007"/>
    </row>
    <row r="177" spans="2:9" ht="15" customHeight="1">
      <c r="B177" s="1998" t="s">
        <v>999</v>
      </c>
      <c r="C177" s="1998" t="s">
        <v>1203</v>
      </c>
      <c r="F177" s="1999">
        <v>0</v>
      </c>
      <c r="G177" s="2001">
        <v>3.6770586575585198E-16</v>
      </c>
      <c r="H177" s="2007"/>
      <c r="I177" s="2007"/>
    </row>
    <row r="178" spans="2:9" ht="15" customHeight="1">
      <c r="B178" s="1998" t="s">
        <v>999</v>
      </c>
      <c r="C178" s="1998" t="s">
        <v>1204</v>
      </c>
      <c r="F178" s="1999">
        <v>0</v>
      </c>
      <c r="G178" s="2001">
        <v>0</v>
      </c>
      <c r="H178" s="2007"/>
      <c r="I178" s="2007"/>
    </row>
    <row r="179" spans="2:9" ht="15" customHeight="1">
      <c r="B179" s="1998" t="s">
        <v>999</v>
      </c>
      <c r="C179" s="1998" t="s">
        <v>1205</v>
      </c>
      <c r="F179" s="1999">
        <v>0</v>
      </c>
      <c r="G179" s="2001">
        <v>0</v>
      </c>
      <c r="H179" s="2007"/>
      <c r="I179" s="2007"/>
    </row>
    <row r="180" spans="2:9" ht="15" customHeight="1">
      <c r="B180" s="1998" t="s">
        <v>999</v>
      </c>
      <c r="C180" s="1998" t="s">
        <v>1206</v>
      </c>
      <c r="F180" s="1999">
        <v>0</v>
      </c>
      <c r="G180" s="2001">
        <v>0</v>
      </c>
      <c r="H180" s="2007"/>
      <c r="I180" s="2007"/>
    </row>
    <row r="181" spans="2:9" ht="15" customHeight="1">
      <c r="B181" s="2008" t="s">
        <v>999</v>
      </c>
      <c r="C181" s="2008" t="s">
        <v>1207</v>
      </c>
      <c r="D181" s="2009"/>
      <c r="E181" s="2009"/>
      <c r="F181" s="2010">
        <v>0</v>
      </c>
      <c r="G181" s="2011">
        <v>0</v>
      </c>
      <c r="H181" s="2012"/>
      <c r="I181" s="2012"/>
    </row>
    <row r="182" spans="2:9" ht="15" customHeight="1">
      <c r="B182" s="1998" t="s">
        <v>999</v>
      </c>
      <c r="C182" s="1998" t="s">
        <v>1208</v>
      </c>
      <c r="F182" s="1999">
        <v>1.8225</v>
      </c>
      <c r="G182" s="2001">
        <v>1.9237500000000001</v>
      </c>
      <c r="H182" s="2007"/>
      <c r="I182" s="2007"/>
    </row>
    <row r="183" spans="2:9" ht="15" customHeight="1">
      <c r="B183" s="1998" t="s">
        <v>999</v>
      </c>
      <c r="C183" s="1998" t="s">
        <v>1209</v>
      </c>
      <c r="F183" s="1999">
        <v>2.0880000000000001</v>
      </c>
      <c r="G183" s="2001">
        <v>2.47925</v>
      </c>
      <c r="H183" s="2007"/>
      <c r="I183" s="2007"/>
    </row>
    <row r="184" spans="2:9" ht="15" customHeight="1">
      <c r="B184" s="1998" t="s">
        <v>999</v>
      </c>
      <c r="C184" s="1998" t="s">
        <v>1210</v>
      </c>
      <c r="F184" s="1999">
        <v>0</v>
      </c>
      <c r="G184" s="2001">
        <v>1.6559999999999999</v>
      </c>
      <c r="H184" s="2007"/>
      <c r="I184" s="2007"/>
    </row>
    <row r="185" spans="2:9" ht="15" customHeight="1">
      <c r="B185" s="1998" t="s">
        <v>999</v>
      </c>
      <c r="C185" s="1998" t="s">
        <v>1211</v>
      </c>
      <c r="F185" s="1999">
        <v>0</v>
      </c>
      <c r="G185" s="2001">
        <v>0</v>
      </c>
      <c r="H185" s="2007"/>
      <c r="I185" s="2007"/>
    </row>
    <row r="186" spans="2:9" ht="15" customHeight="1">
      <c r="B186" s="1998" t="s">
        <v>999</v>
      </c>
      <c r="C186" s="1998" t="s">
        <v>1212</v>
      </c>
      <c r="F186" s="1999">
        <v>0</v>
      </c>
      <c r="G186" s="2001">
        <v>0</v>
      </c>
      <c r="H186" s="2007"/>
      <c r="I186" s="2007"/>
    </row>
    <row r="187" spans="2:9" ht="15" customHeight="1">
      <c r="B187" s="1998" t="s">
        <v>999</v>
      </c>
      <c r="C187" s="1998" t="s">
        <v>1213</v>
      </c>
      <c r="F187" s="1999">
        <v>0</v>
      </c>
      <c r="G187" s="2001">
        <v>0</v>
      </c>
      <c r="H187" s="2007"/>
      <c r="I187" s="2007"/>
    </row>
    <row r="188" spans="2:9" ht="15" customHeight="1">
      <c r="B188" s="1998" t="s">
        <v>999</v>
      </c>
      <c r="C188" s="1998" t="s">
        <v>1214</v>
      </c>
      <c r="F188" s="1999">
        <v>0</v>
      </c>
      <c r="G188" s="2001">
        <v>0</v>
      </c>
      <c r="H188" s="2007"/>
      <c r="I188" s="2007"/>
    </row>
    <row r="189" spans="2:9" ht="15" customHeight="1">
      <c r="B189" s="1998" t="s">
        <v>999</v>
      </c>
      <c r="C189" s="1998" t="s">
        <v>1215</v>
      </c>
      <c r="F189" s="1999">
        <f>SUM(F175:F181)</f>
        <v>6.1950444774083704E-17</v>
      </c>
      <c r="G189" s="2001">
        <f>SUM(G175:G181)</f>
        <v>3.6770586575585198E-16</v>
      </c>
      <c r="H189" s="2001">
        <f>SUM(H175:H181)</f>
        <v>0</v>
      </c>
      <c r="I189" s="2001">
        <f>SUM(I175:I181)</f>
        <v>0</v>
      </c>
    </row>
    <row r="190" spans="2:9" ht="15" customHeight="1">
      <c r="B190" s="1998" t="s">
        <v>999</v>
      </c>
      <c r="C190" s="1998" t="s">
        <v>1216</v>
      </c>
      <c r="F190" s="1999">
        <f>SUM(F182:F188)</f>
        <v>3.9104999999999999</v>
      </c>
      <c r="G190" s="2001">
        <f>SUM(G182:G188)</f>
        <v>6.0590000000000002</v>
      </c>
      <c r="H190" s="2001">
        <f>SUM(H182:H188)</f>
        <v>0</v>
      </c>
      <c r="I190" s="2001">
        <f>SUM(I182:I188)</f>
        <v>0</v>
      </c>
    </row>
    <row r="191" spans="2:9" ht="15" customHeight="1" thickBot="1">
      <c r="B191" s="2013"/>
      <c r="C191" s="2025" t="s">
        <v>1046</v>
      </c>
      <c r="D191" s="2014"/>
      <c r="E191" s="2014"/>
      <c r="F191" s="2026">
        <f>F189+F190</f>
        <v>3.9104999999999999</v>
      </c>
      <c r="G191" s="2026">
        <f>G189+G190</f>
        <v>6.0590000000000002</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1219</v>
      </c>
      <c r="C193" s="2030"/>
      <c r="D193" s="2031"/>
      <c r="E193" s="2031"/>
      <c r="F193" s="2032"/>
      <c r="G193" s="2032"/>
      <c r="H193" s="2032"/>
      <c r="I193" s="2032"/>
    </row>
    <row r="194" spans="2:9" ht="15" customHeight="1">
      <c r="B194" s="2033" t="s">
        <v>1220</v>
      </c>
      <c r="C194" s="2030"/>
      <c r="D194" s="2031"/>
      <c r="E194" s="2031"/>
      <c r="F194" s="2032"/>
      <c r="G194" s="2032"/>
      <c r="H194" s="2032"/>
      <c r="I194" s="2032"/>
    </row>
    <row r="195" spans="2:9" ht="15" customHeight="1">
      <c r="B195" s="1998"/>
      <c r="C195" s="1998"/>
      <c r="F195" s="1998"/>
      <c r="I195" s="462" t="s">
        <v>1119</v>
      </c>
    </row>
    <row r="196" spans="2:9" ht="27.6">
      <c r="B196" s="1998"/>
      <c r="C196" s="1998"/>
      <c r="F196" s="2023" t="s">
        <v>968</v>
      </c>
      <c r="G196" s="1937" t="s">
        <v>980</v>
      </c>
      <c r="H196" s="1937" t="s">
        <v>985</v>
      </c>
      <c r="I196" s="2043" t="s">
        <v>1120</v>
      </c>
    </row>
    <row r="197" spans="2:9" ht="15" customHeight="1">
      <c r="B197" s="2028" t="s">
        <v>995</v>
      </c>
      <c r="C197" s="1998"/>
      <c r="F197" s="2023" t="s">
        <v>141</v>
      </c>
      <c r="G197" s="1937" t="s">
        <v>141</v>
      </c>
      <c r="H197" s="1937" t="s">
        <v>141</v>
      </c>
      <c r="I197" s="1937" t="s">
        <v>141</v>
      </c>
    </row>
    <row r="198" spans="2:9" ht="15" customHeight="1">
      <c r="B198" s="1998" t="s">
        <v>996</v>
      </c>
      <c r="C198" s="1998" t="s">
        <v>1201</v>
      </c>
      <c r="F198" s="1999">
        <v>-0.99680000000000002</v>
      </c>
      <c r="G198" s="2001">
        <v>-1.4596</v>
      </c>
      <c r="H198" s="2007"/>
      <c r="I198" s="2007"/>
    </row>
    <row r="199" spans="2:9" ht="15" customHeight="1">
      <c r="B199" s="1998" t="s">
        <v>996</v>
      </c>
      <c r="C199" s="1998" t="s">
        <v>1202</v>
      </c>
      <c r="F199" s="1999">
        <v>0</v>
      </c>
      <c r="G199" s="2001">
        <v>0</v>
      </c>
      <c r="H199" s="2007"/>
      <c r="I199" s="2007"/>
    </row>
    <row r="200" spans="2:9" ht="15" customHeight="1">
      <c r="B200" s="1998" t="s">
        <v>996</v>
      </c>
      <c r="C200" s="1998" t="s">
        <v>1203</v>
      </c>
      <c r="F200" s="1999">
        <v>0</v>
      </c>
      <c r="G200" s="2001">
        <v>0</v>
      </c>
      <c r="H200" s="2007"/>
      <c r="I200" s="2007"/>
    </row>
    <row r="201" spans="2:9" ht="15" customHeight="1">
      <c r="B201" s="1998" t="s">
        <v>996</v>
      </c>
      <c r="C201" s="1998" t="s">
        <v>1204</v>
      </c>
      <c r="F201" s="1999">
        <v>0</v>
      </c>
      <c r="G201" s="2001">
        <v>0</v>
      </c>
      <c r="H201" s="2007"/>
      <c r="I201" s="2007"/>
    </row>
    <row r="202" spans="2:9" ht="15" customHeight="1">
      <c r="B202" s="1998" t="s">
        <v>996</v>
      </c>
      <c r="C202" s="1998" t="s">
        <v>1205</v>
      </c>
      <c r="F202" s="1999">
        <v>0</v>
      </c>
      <c r="G202" s="2001">
        <v>0</v>
      </c>
      <c r="H202" s="2007"/>
      <c r="I202" s="2007"/>
    </row>
    <row r="203" spans="2:9" ht="15" customHeight="1">
      <c r="B203" s="1998" t="s">
        <v>996</v>
      </c>
      <c r="C203" s="1998" t="s">
        <v>1206</v>
      </c>
      <c r="F203" s="1999">
        <v>0</v>
      </c>
      <c r="G203" s="2001">
        <v>0</v>
      </c>
      <c r="H203" s="2007"/>
      <c r="I203" s="2007"/>
    </row>
    <row r="204" spans="2:9" ht="15" customHeight="1">
      <c r="B204" s="2008" t="s">
        <v>996</v>
      </c>
      <c r="C204" s="2008" t="s">
        <v>1207</v>
      </c>
      <c r="D204" s="2009"/>
      <c r="E204" s="2009"/>
      <c r="F204" s="2010">
        <v>0</v>
      </c>
      <c r="G204" s="2011">
        <v>0</v>
      </c>
      <c r="H204" s="2012"/>
      <c r="I204" s="2012"/>
    </row>
    <row r="205" spans="2:9" ht="15" customHeight="1">
      <c r="B205" s="1998" t="s">
        <v>996</v>
      </c>
      <c r="C205" s="1998" t="s">
        <v>1208</v>
      </c>
      <c r="F205" s="1999">
        <v>0</v>
      </c>
      <c r="G205" s="2001">
        <v>0</v>
      </c>
      <c r="H205" s="2007"/>
      <c r="I205" s="2007"/>
    </row>
    <row r="206" spans="2:9" ht="15" customHeight="1">
      <c r="B206" s="1998" t="s">
        <v>996</v>
      </c>
      <c r="C206" s="1998" t="s">
        <v>1209</v>
      </c>
      <c r="F206" s="1999">
        <v>0</v>
      </c>
      <c r="G206" s="2001">
        <v>0</v>
      </c>
      <c r="H206" s="2007"/>
      <c r="I206" s="2007"/>
    </row>
    <row r="207" spans="2:9" ht="15" customHeight="1">
      <c r="B207" s="1998" t="s">
        <v>996</v>
      </c>
      <c r="C207" s="1998" t="s">
        <v>1210</v>
      </c>
      <c r="F207" s="1999">
        <v>0</v>
      </c>
      <c r="G207" s="2001">
        <v>0</v>
      </c>
      <c r="H207" s="2007"/>
      <c r="I207" s="2007"/>
    </row>
    <row r="208" spans="2:9" ht="15" customHeight="1">
      <c r="B208" s="1998" t="s">
        <v>996</v>
      </c>
      <c r="C208" s="1998" t="s">
        <v>1211</v>
      </c>
      <c r="F208" s="1999">
        <v>0</v>
      </c>
      <c r="G208" s="2001">
        <v>0</v>
      </c>
      <c r="H208" s="2007"/>
      <c r="I208" s="2007"/>
    </row>
    <row r="209" spans="2:9" ht="15" customHeight="1">
      <c r="B209" s="1998" t="s">
        <v>996</v>
      </c>
      <c r="C209" s="1998" t="s">
        <v>1212</v>
      </c>
      <c r="F209" s="1999">
        <v>0</v>
      </c>
      <c r="G209" s="2001">
        <v>0</v>
      </c>
      <c r="H209" s="2007"/>
      <c r="I209" s="2007"/>
    </row>
    <row r="210" spans="2:9" ht="15" customHeight="1">
      <c r="B210" s="1998" t="s">
        <v>996</v>
      </c>
      <c r="C210" s="1998" t="s">
        <v>1213</v>
      </c>
      <c r="F210" s="1999">
        <v>0</v>
      </c>
      <c r="G210" s="2001">
        <v>0</v>
      </c>
      <c r="H210" s="2007"/>
      <c r="I210" s="2007"/>
    </row>
    <row r="211" spans="2:9" ht="15" customHeight="1">
      <c r="B211" s="1998" t="s">
        <v>996</v>
      </c>
      <c r="C211" s="1998" t="s">
        <v>1214</v>
      </c>
      <c r="F211" s="1999">
        <v>0</v>
      </c>
      <c r="G211" s="2001">
        <v>0</v>
      </c>
      <c r="H211" s="2007"/>
      <c r="I211" s="2007"/>
    </row>
    <row r="212" spans="2:9" ht="15" customHeight="1">
      <c r="B212" s="1998" t="s">
        <v>996</v>
      </c>
      <c r="C212" s="1998" t="s">
        <v>1215</v>
      </c>
      <c r="F212" s="1999">
        <f>SUM(F198:F204)</f>
        <v>-0.99680000000000002</v>
      </c>
      <c r="G212" s="2001">
        <f>SUM(G198:G204)</f>
        <v>-1.4596</v>
      </c>
      <c r="H212" s="2001">
        <f>SUM(H198:H204)</f>
        <v>0</v>
      </c>
      <c r="I212" s="2001">
        <f>SUM(I198:I204)</f>
        <v>0</v>
      </c>
    </row>
    <row r="213" spans="2:9" ht="15" customHeight="1">
      <c r="B213" s="1998" t="s">
        <v>996</v>
      </c>
      <c r="C213" s="1998" t="s">
        <v>1216</v>
      </c>
      <c r="F213" s="1999">
        <f>SUM(F205:F211)</f>
        <v>0</v>
      </c>
      <c r="G213" s="2001">
        <f>SUM(G205:G211)</f>
        <v>0</v>
      </c>
      <c r="H213" s="2001">
        <f>SUM(H205:H211)</f>
        <v>0</v>
      </c>
      <c r="I213" s="2001">
        <f>SUM(I205:I211)</f>
        <v>0</v>
      </c>
    </row>
    <row r="214" spans="2:9" ht="15" customHeight="1" thickBot="1">
      <c r="B214" s="2013"/>
      <c r="C214" s="2013" t="s">
        <v>1046</v>
      </c>
      <c r="D214" s="2014"/>
      <c r="E214" s="2014"/>
      <c r="F214" s="2026">
        <f>F212+F213</f>
        <v>-0.99680000000000002</v>
      </c>
      <c r="G214" s="2027">
        <f>G212+G213</f>
        <v>-1.4596</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1218</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1119</v>
      </c>
    </row>
    <row r="219" spans="2:9" ht="27.6">
      <c r="B219" s="1998"/>
      <c r="C219" s="1998"/>
      <c r="F219" s="2023" t="s">
        <v>968</v>
      </c>
      <c r="G219" s="1937" t="s">
        <v>980</v>
      </c>
      <c r="H219" s="1937" t="s">
        <v>985</v>
      </c>
      <c r="I219" s="2043" t="s">
        <v>1120</v>
      </c>
    </row>
    <row r="220" spans="2:9" ht="15" customHeight="1">
      <c r="B220" s="2028" t="s">
        <v>1002</v>
      </c>
      <c r="C220" s="1998"/>
      <c r="F220" s="2023" t="s">
        <v>141</v>
      </c>
      <c r="G220" s="1937" t="s">
        <v>141</v>
      </c>
      <c r="H220" s="1937" t="s">
        <v>141</v>
      </c>
      <c r="I220" s="1937" t="s">
        <v>141</v>
      </c>
    </row>
    <row r="221" spans="2:9" ht="15" customHeight="1">
      <c r="B221" s="1998" t="s">
        <v>1003</v>
      </c>
      <c r="C221" s="1998" t="s">
        <v>1201</v>
      </c>
      <c r="F221" s="1999">
        <v>0</v>
      </c>
      <c r="G221" s="2001">
        <v>0</v>
      </c>
      <c r="H221" s="2007"/>
      <c r="I221" s="2007"/>
    </row>
    <row r="222" spans="2:9" ht="15" customHeight="1">
      <c r="B222" s="1998" t="s">
        <v>1003</v>
      </c>
      <c r="C222" s="1998" t="s">
        <v>1202</v>
      </c>
      <c r="F222" s="1999">
        <v>-2.7143999999999999</v>
      </c>
      <c r="G222" s="2001">
        <v>-3.4104000000000001</v>
      </c>
      <c r="H222" s="2007"/>
      <c r="I222" s="2007"/>
    </row>
    <row r="223" spans="2:9" ht="15" customHeight="1">
      <c r="B223" s="1998" t="s">
        <v>1003</v>
      </c>
      <c r="C223" s="1998" t="s">
        <v>1203</v>
      </c>
      <c r="F223" s="1999">
        <v>0</v>
      </c>
      <c r="G223" s="2001">
        <v>0</v>
      </c>
      <c r="H223" s="2007"/>
      <c r="I223" s="2007"/>
    </row>
    <row r="224" spans="2:9" ht="15" customHeight="1">
      <c r="B224" s="1998" t="s">
        <v>1003</v>
      </c>
      <c r="C224" s="1998" t="s">
        <v>1204</v>
      </c>
      <c r="F224" s="1999">
        <v>0</v>
      </c>
      <c r="G224" s="2001">
        <v>0</v>
      </c>
      <c r="H224" s="2007"/>
      <c r="I224" s="2007"/>
    </row>
    <row r="225" spans="2:9" ht="15" customHeight="1">
      <c r="B225" s="1998" t="s">
        <v>1003</v>
      </c>
      <c r="C225" s="1998" t="s">
        <v>1205</v>
      </c>
      <c r="F225" s="1999">
        <v>0</v>
      </c>
      <c r="G225" s="2001">
        <v>0</v>
      </c>
      <c r="H225" s="2007"/>
      <c r="I225" s="2007"/>
    </row>
    <row r="226" spans="2:9" ht="15" customHeight="1">
      <c r="B226" s="1998" t="s">
        <v>1003</v>
      </c>
      <c r="C226" s="1998" t="s">
        <v>1206</v>
      </c>
      <c r="F226" s="1999">
        <v>0</v>
      </c>
      <c r="G226" s="2001">
        <v>0</v>
      </c>
      <c r="H226" s="2007"/>
      <c r="I226" s="2007"/>
    </row>
    <row r="227" spans="2:9" ht="15" customHeight="1">
      <c r="B227" s="2008" t="s">
        <v>1003</v>
      </c>
      <c r="C227" s="2008" t="s">
        <v>1207</v>
      </c>
      <c r="D227" s="2009"/>
      <c r="E227" s="2009"/>
      <c r="F227" s="2010">
        <v>0</v>
      </c>
      <c r="G227" s="2011">
        <v>0</v>
      </c>
      <c r="H227" s="2012"/>
      <c r="I227" s="2012"/>
    </row>
    <row r="228" spans="2:9" ht="15" customHeight="1">
      <c r="B228" s="1998" t="s">
        <v>1003</v>
      </c>
      <c r="C228" s="1998" t="s">
        <v>1208</v>
      </c>
      <c r="F228" s="1999">
        <v>0</v>
      </c>
      <c r="G228" s="2001">
        <v>0</v>
      </c>
      <c r="H228" s="2007"/>
      <c r="I228" s="2007"/>
    </row>
    <row r="229" spans="2:9" ht="15" customHeight="1">
      <c r="B229" s="1998" t="s">
        <v>1003</v>
      </c>
      <c r="C229" s="1998" t="s">
        <v>1209</v>
      </c>
      <c r="F229" s="1999">
        <v>0</v>
      </c>
      <c r="G229" s="2001">
        <v>0</v>
      </c>
      <c r="H229" s="2007"/>
      <c r="I229" s="2007"/>
    </row>
    <row r="230" spans="2:9" ht="15" customHeight="1">
      <c r="B230" s="1998" t="s">
        <v>1003</v>
      </c>
      <c r="C230" s="1998" t="s">
        <v>1210</v>
      </c>
      <c r="F230" s="1999">
        <v>0</v>
      </c>
      <c r="G230" s="2001">
        <v>0</v>
      </c>
      <c r="H230" s="2007"/>
      <c r="I230" s="2007"/>
    </row>
    <row r="231" spans="2:9" ht="15" customHeight="1">
      <c r="B231" s="1998" t="s">
        <v>1003</v>
      </c>
      <c r="C231" s="1998" t="s">
        <v>1211</v>
      </c>
      <c r="F231" s="1999">
        <v>0</v>
      </c>
      <c r="G231" s="2001">
        <v>0</v>
      </c>
      <c r="H231" s="2007"/>
      <c r="I231" s="2007"/>
    </row>
    <row r="232" spans="2:9" ht="15" customHeight="1">
      <c r="B232" s="1998" t="s">
        <v>1003</v>
      </c>
      <c r="C232" s="1998" t="s">
        <v>1212</v>
      </c>
      <c r="F232" s="1999">
        <v>0</v>
      </c>
      <c r="G232" s="2001">
        <v>0</v>
      </c>
      <c r="H232" s="2007"/>
      <c r="I232" s="2007"/>
    </row>
    <row r="233" spans="2:9" ht="15" customHeight="1">
      <c r="B233" s="1998" t="s">
        <v>1003</v>
      </c>
      <c r="C233" s="1998" t="s">
        <v>1213</v>
      </c>
      <c r="F233" s="1999">
        <v>0</v>
      </c>
      <c r="G233" s="2001">
        <v>0</v>
      </c>
      <c r="H233" s="2007"/>
      <c r="I233" s="2007"/>
    </row>
    <row r="234" spans="2:9" ht="15" customHeight="1">
      <c r="B234" s="1998" t="s">
        <v>1003</v>
      </c>
      <c r="C234" s="1998" t="s">
        <v>1214</v>
      </c>
      <c r="F234" s="1999">
        <v>0</v>
      </c>
      <c r="G234" s="2001">
        <v>0</v>
      </c>
      <c r="H234" s="2007"/>
      <c r="I234" s="2007"/>
    </row>
    <row r="235" spans="2:9" ht="15" customHeight="1">
      <c r="B235" s="1998" t="s">
        <v>1003</v>
      </c>
      <c r="C235" s="1998" t="s">
        <v>1215</v>
      </c>
      <c r="F235" s="1999">
        <f>SUM(F221:F227)</f>
        <v>-2.7143999999999999</v>
      </c>
      <c r="G235" s="2001">
        <f>SUM(G221:G227)</f>
        <v>-3.4104000000000001</v>
      </c>
      <c r="H235" s="2001">
        <f>SUM(H221:H227)</f>
        <v>0</v>
      </c>
      <c r="I235" s="2001">
        <f>SUM(I221:I227)</f>
        <v>0</v>
      </c>
    </row>
    <row r="236" spans="2:9" ht="15" customHeight="1">
      <c r="B236" s="1998" t="s">
        <v>1003</v>
      </c>
      <c r="C236" s="1998" t="s">
        <v>1216</v>
      </c>
      <c r="F236" s="1999">
        <f>SUM(F228:F234)</f>
        <v>0</v>
      </c>
      <c r="G236" s="2001">
        <f>SUM(G228:G234)</f>
        <v>0</v>
      </c>
      <c r="H236" s="2001">
        <f>SUM(H228:H234)</f>
        <v>0</v>
      </c>
      <c r="I236" s="2001">
        <f>SUM(I228:I234)</f>
        <v>0</v>
      </c>
    </row>
    <row r="237" spans="2:9" ht="15" customHeight="1" thickBot="1">
      <c r="B237" s="2013"/>
      <c r="C237" s="2013" t="s">
        <v>1046</v>
      </c>
      <c r="D237" s="2014"/>
      <c r="E237" s="2014"/>
      <c r="F237" s="2026">
        <f>F235+F236</f>
        <v>-2.7143999999999999</v>
      </c>
      <c r="G237" s="2027">
        <f>G235+G236</f>
        <v>-3.4104000000000001</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1218</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1119</v>
      </c>
    </row>
    <row r="242" spans="2:9" ht="27.6">
      <c r="B242" s="1998"/>
      <c r="C242" s="1998"/>
      <c r="F242" s="2023" t="s">
        <v>968</v>
      </c>
      <c r="G242" s="1937" t="s">
        <v>980</v>
      </c>
      <c r="H242" s="1937" t="s">
        <v>985</v>
      </c>
      <c r="I242" s="2043" t="s">
        <v>1120</v>
      </c>
    </row>
    <row r="243" spans="2:9" ht="15" customHeight="1">
      <c r="B243" s="2028" t="s">
        <v>1007</v>
      </c>
      <c r="C243" s="1998"/>
      <c r="F243" s="2023" t="s">
        <v>141</v>
      </c>
      <c r="G243" s="1937" t="s">
        <v>141</v>
      </c>
      <c r="H243" s="1937" t="s">
        <v>141</v>
      </c>
      <c r="I243" s="1937" t="s">
        <v>141</v>
      </c>
    </row>
    <row r="244" spans="2:9" ht="15" customHeight="1">
      <c r="B244" s="1998" t="s">
        <v>1008</v>
      </c>
      <c r="C244" s="1998" t="s">
        <v>1201</v>
      </c>
      <c r="F244" s="1999">
        <v>0</v>
      </c>
      <c r="G244" s="2001">
        <v>0</v>
      </c>
      <c r="H244" s="2007"/>
      <c r="I244" s="2007"/>
    </row>
    <row r="245" spans="2:9" ht="15" customHeight="1">
      <c r="B245" s="1998" t="s">
        <v>1008</v>
      </c>
      <c r="C245" s="1998" t="s">
        <v>1202</v>
      </c>
      <c r="F245" s="1999">
        <v>-1.7423999999999999</v>
      </c>
      <c r="G245" s="2001">
        <v>-2.2968000000000002</v>
      </c>
      <c r="H245" s="2007"/>
      <c r="I245" s="2007"/>
    </row>
    <row r="246" spans="2:9" ht="15" customHeight="1">
      <c r="B246" s="1998" t="s">
        <v>1008</v>
      </c>
      <c r="C246" s="1998" t="s">
        <v>1203</v>
      </c>
      <c r="F246" s="1999">
        <v>0</v>
      </c>
      <c r="G246" s="2001">
        <v>-0.14881800000000001</v>
      </c>
      <c r="H246" s="2007"/>
      <c r="I246" s="2007"/>
    </row>
    <row r="247" spans="2:9" ht="15" customHeight="1">
      <c r="B247" s="1998" t="s">
        <v>1008</v>
      </c>
      <c r="C247" s="1998" t="s">
        <v>1204</v>
      </c>
      <c r="F247" s="1999">
        <v>0</v>
      </c>
      <c r="G247" s="2001">
        <v>0</v>
      </c>
      <c r="H247" s="2007"/>
      <c r="I247" s="2007"/>
    </row>
    <row r="248" spans="2:9" ht="15" customHeight="1">
      <c r="B248" s="1998" t="s">
        <v>1008</v>
      </c>
      <c r="C248" s="1998" t="s">
        <v>1205</v>
      </c>
      <c r="F248" s="1999">
        <v>0</v>
      </c>
      <c r="G248" s="2001">
        <v>0</v>
      </c>
      <c r="H248" s="2007"/>
      <c r="I248" s="2007"/>
    </row>
    <row r="249" spans="2:9" ht="15" customHeight="1">
      <c r="B249" s="1998" t="s">
        <v>1008</v>
      </c>
      <c r="C249" s="1998" t="s">
        <v>1206</v>
      </c>
      <c r="F249" s="1999">
        <v>0</v>
      </c>
      <c r="G249" s="2001">
        <v>0</v>
      </c>
      <c r="H249" s="2007"/>
      <c r="I249" s="2007"/>
    </row>
    <row r="250" spans="2:9" ht="15" customHeight="1">
      <c r="B250" s="2008" t="s">
        <v>1008</v>
      </c>
      <c r="C250" s="2008" t="s">
        <v>1207</v>
      </c>
      <c r="D250" s="2009"/>
      <c r="E250" s="2009"/>
      <c r="F250" s="2010">
        <v>0</v>
      </c>
      <c r="G250" s="2011">
        <v>0</v>
      </c>
      <c r="H250" s="2012"/>
      <c r="I250" s="2012"/>
    </row>
    <row r="251" spans="2:9" ht="15" customHeight="1">
      <c r="B251" s="1998" t="s">
        <v>1008</v>
      </c>
      <c r="C251" s="1998" t="s">
        <v>1208</v>
      </c>
      <c r="F251" s="1999">
        <v>0</v>
      </c>
      <c r="G251" s="2001">
        <v>0</v>
      </c>
      <c r="H251" s="2007"/>
      <c r="I251" s="2007"/>
    </row>
    <row r="252" spans="2:9" ht="15" customHeight="1">
      <c r="B252" s="1998" t="s">
        <v>1008</v>
      </c>
      <c r="C252" s="1998" t="s">
        <v>1209</v>
      </c>
      <c r="F252" s="1999">
        <v>0</v>
      </c>
      <c r="G252" s="2001">
        <v>0</v>
      </c>
      <c r="H252" s="2007"/>
      <c r="I252" s="2007"/>
    </row>
    <row r="253" spans="2:9" ht="15" customHeight="1">
      <c r="B253" s="1998" t="s">
        <v>1008</v>
      </c>
      <c r="C253" s="1998" t="s">
        <v>1210</v>
      </c>
      <c r="F253" s="1999">
        <v>0</v>
      </c>
      <c r="G253" s="2001">
        <v>0</v>
      </c>
      <c r="H253" s="2007"/>
      <c r="I253" s="2007"/>
    </row>
    <row r="254" spans="2:9" ht="15" customHeight="1">
      <c r="B254" s="1998" t="s">
        <v>1008</v>
      </c>
      <c r="C254" s="1998" t="s">
        <v>1211</v>
      </c>
      <c r="F254" s="1999">
        <v>0</v>
      </c>
      <c r="G254" s="2001">
        <v>0</v>
      </c>
      <c r="H254" s="2007"/>
      <c r="I254" s="2007"/>
    </row>
    <row r="255" spans="2:9" ht="15" customHeight="1">
      <c r="B255" s="1998" t="s">
        <v>1008</v>
      </c>
      <c r="C255" s="1998" t="s">
        <v>1212</v>
      </c>
      <c r="F255" s="1999">
        <v>0</v>
      </c>
      <c r="G255" s="2001">
        <v>0</v>
      </c>
      <c r="H255" s="2007"/>
      <c r="I255" s="2007"/>
    </row>
    <row r="256" spans="2:9" ht="15" customHeight="1">
      <c r="B256" s="1998" t="s">
        <v>1008</v>
      </c>
      <c r="C256" s="1998" t="s">
        <v>1213</v>
      </c>
      <c r="F256" s="1999">
        <v>0</v>
      </c>
      <c r="G256" s="2001">
        <v>0</v>
      </c>
      <c r="H256" s="2007"/>
      <c r="I256" s="2007"/>
    </row>
    <row r="257" spans="2:9" ht="15" customHeight="1">
      <c r="B257" s="1998" t="s">
        <v>1008</v>
      </c>
      <c r="C257" s="1998" t="s">
        <v>1214</v>
      </c>
      <c r="F257" s="1999">
        <v>0</v>
      </c>
      <c r="G257" s="2001">
        <v>0</v>
      </c>
      <c r="H257" s="2007"/>
      <c r="I257" s="2007"/>
    </row>
    <row r="258" spans="2:9" ht="15" customHeight="1">
      <c r="B258" s="1998" t="s">
        <v>1008</v>
      </c>
      <c r="C258" s="1998" t="s">
        <v>1215</v>
      </c>
      <c r="F258" s="1999">
        <f>SUM(F244:F250)</f>
        <v>-1.7423999999999999</v>
      </c>
      <c r="G258" s="2001">
        <f>SUM(G244:G250)</f>
        <v>-2.4456180000000001</v>
      </c>
      <c r="H258" s="2001">
        <f>SUM(H244:H250)</f>
        <v>0</v>
      </c>
      <c r="I258" s="2001">
        <f>SUM(I244:I250)</f>
        <v>0</v>
      </c>
    </row>
    <row r="259" spans="2:9" ht="15" customHeight="1">
      <c r="B259" s="1998" t="s">
        <v>1008</v>
      </c>
      <c r="C259" s="1998" t="s">
        <v>1216</v>
      </c>
      <c r="F259" s="1999">
        <f>SUM(F251:F257)</f>
        <v>0</v>
      </c>
      <c r="G259" s="2001">
        <f>SUM(G251:G257)</f>
        <v>0</v>
      </c>
      <c r="H259" s="2001">
        <f>SUM(H251:H257)</f>
        <v>0</v>
      </c>
      <c r="I259" s="2001">
        <f>SUM(I251:I257)</f>
        <v>0</v>
      </c>
    </row>
    <row r="260" spans="2:9" ht="15" customHeight="1" thickBot="1">
      <c r="B260" s="2013"/>
      <c r="C260" s="2013" t="s">
        <v>1046</v>
      </c>
      <c r="D260" s="2014"/>
      <c r="E260" s="2014"/>
      <c r="F260" s="2026">
        <f>F258+F259</f>
        <v>-1.7423999999999999</v>
      </c>
      <c r="G260" s="2027">
        <f>G258+G259</f>
        <v>-2.4456180000000001</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1218</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1119</v>
      </c>
    </row>
    <row r="265" spans="2:9" ht="27.6">
      <c r="B265" s="1998"/>
      <c r="C265" s="1998"/>
      <c r="F265" s="2023" t="s">
        <v>968</v>
      </c>
      <c r="G265" s="1937" t="s">
        <v>980</v>
      </c>
      <c r="H265" s="1937" t="s">
        <v>985</v>
      </c>
      <c r="I265" s="2043" t="s">
        <v>1120</v>
      </c>
    </row>
    <row r="266" spans="2:9" ht="15" customHeight="1">
      <c r="B266" s="2028" t="s">
        <v>1011</v>
      </c>
      <c r="C266" s="1998"/>
      <c r="F266" s="2023" t="s">
        <v>141</v>
      </c>
      <c r="G266" s="1937" t="s">
        <v>141</v>
      </c>
      <c r="H266" s="1937" t="s">
        <v>141</v>
      </c>
      <c r="I266" s="1937" t="s">
        <v>141</v>
      </c>
    </row>
    <row r="267" spans="2:9" ht="15" customHeight="1">
      <c r="B267" s="1998" t="s">
        <v>1012</v>
      </c>
      <c r="C267" s="1998" t="s">
        <v>1201</v>
      </c>
      <c r="F267" s="1999">
        <v>0</v>
      </c>
      <c r="G267" s="2001">
        <v>0</v>
      </c>
      <c r="H267" s="2007"/>
      <c r="I267" s="2007"/>
    </row>
    <row r="268" spans="2:9" ht="15" customHeight="1">
      <c r="B268" s="1998" t="s">
        <v>1012</v>
      </c>
      <c r="C268" s="1998" t="s">
        <v>1202</v>
      </c>
      <c r="F268" s="1999">
        <v>-0.70199999999999996</v>
      </c>
      <c r="G268" s="2001">
        <v>-0.97499999999999998</v>
      </c>
      <c r="H268" s="2007"/>
      <c r="I268" s="2007"/>
    </row>
    <row r="269" spans="2:9" ht="15" customHeight="1">
      <c r="B269" s="1998" t="s">
        <v>1012</v>
      </c>
      <c r="C269" s="1998" t="s">
        <v>1203</v>
      </c>
      <c r="F269" s="1999">
        <v>0</v>
      </c>
      <c r="G269" s="2001">
        <v>0</v>
      </c>
      <c r="H269" s="2007"/>
      <c r="I269" s="2007"/>
    </row>
    <row r="270" spans="2:9" ht="15" customHeight="1">
      <c r="B270" s="1998" t="s">
        <v>1012</v>
      </c>
      <c r="C270" s="1998" t="s">
        <v>1204</v>
      </c>
      <c r="F270" s="1999">
        <v>0</v>
      </c>
      <c r="G270" s="2001">
        <v>0</v>
      </c>
      <c r="H270" s="2007"/>
      <c r="I270" s="2007"/>
    </row>
    <row r="271" spans="2:9" ht="15" customHeight="1">
      <c r="B271" s="1998" t="s">
        <v>1012</v>
      </c>
      <c r="C271" s="1998" t="s">
        <v>1205</v>
      </c>
      <c r="F271" s="1999">
        <v>0</v>
      </c>
      <c r="G271" s="2001">
        <v>0</v>
      </c>
      <c r="H271" s="2007"/>
      <c r="I271" s="2007"/>
    </row>
    <row r="272" spans="2:9" ht="15" customHeight="1">
      <c r="B272" s="1998" t="s">
        <v>1012</v>
      </c>
      <c r="C272" s="1998" t="s">
        <v>1206</v>
      </c>
      <c r="F272" s="1999">
        <v>0</v>
      </c>
      <c r="G272" s="2001">
        <v>0</v>
      </c>
      <c r="H272" s="2007"/>
      <c r="I272" s="2007"/>
    </row>
    <row r="273" spans="2:9" ht="15" customHeight="1">
      <c r="B273" s="2008" t="s">
        <v>1012</v>
      </c>
      <c r="C273" s="2008" t="s">
        <v>1207</v>
      </c>
      <c r="D273" s="2009"/>
      <c r="E273" s="2009"/>
      <c r="F273" s="2010">
        <v>0</v>
      </c>
      <c r="G273" s="2011">
        <v>0</v>
      </c>
      <c r="H273" s="2012"/>
      <c r="I273" s="2012"/>
    </row>
    <row r="274" spans="2:9" ht="15" customHeight="1">
      <c r="B274" s="1998" t="s">
        <v>1012</v>
      </c>
      <c r="C274" s="1998" t="s">
        <v>1208</v>
      </c>
      <c r="F274" s="1999">
        <v>0</v>
      </c>
      <c r="G274" s="2001">
        <v>0</v>
      </c>
      <c r="H274" s="2007"/>
      <c r="I274" s="2007"/>
    </row>
    <row r="275" spans="2:9" ht="15" customHeight="1">
      <c r="B275" s="1998" t="s">
        <v>1012</v>
      </c>
      <c r="C275" s="1998" t="s">
        <v>1209</v>
      </c>
      <c r="F275" s="1999">
        <v>0</v>
      </c>
      <c r="G275" s="2001">
        <v>0</v>
      </c>
      <c r="H275" s="2007"/>
      <c r="I275" s="2007"/>
    </row>
    <row r="276" spans="2:9" ht="15" customHeight="1">
      <c r="B276" s="1998" t="s">
        <v>1012</v>
      </c>
      <c r="C276" s="1998" t="s">
        <v>1210</v>
      </c>
      <c r="F276" s="1999">
        <v>0</v>
      </c>
      <c r="G276" s="2001">
        <v>0</v>
      </c>
      <c r="H276" s="2007"/>
      <c r="I276" s="2007"/>
    </row>
    <row r="277" spans="2:9" ht="15" customHeight="1">
      <c r="B277" s="1998" t="s">
        <v>1012</v>
      </c>
      <c r="C277" s="1998" t="s">
        <v>1211</v>
      </c>
      <c r="F277" s="1999">
        <v>0</v>
      </c>
      <c r="G277" s="2001">
        <v>0</v>
      </c>
      <c r="H277" s="2007"/>
      <c r="I277" s="2007"/>
    </row>
    <row r="278" spans="2:9" ht="15" customHeight="1">
      <c r="B278" s="1998" t="s">
        <v>1012</v>
      </c>
      <c r="C278" s="1998" t="s">
        <v>1212</v>
      </c>
      <c r="F278" s="1999">
        <v>0</v>
      </c>
      <c r="G278" s="2001">
        <v>0</v>
      </c>
      <c r="H278" s="2007"/>
      <c r="I278" s="2007"/>
    </row>
    <row r="279" spans="2:9" ht="15" customHeight="1">
      <c r="B279" s="1998" t="s">
        <v>1012</v>
      </c>
      <c r="C279" s="1998" t="s">
        <v>1213</v>
      </c>
      <c r="F279" s="1999">
        <v>0</v>
      </c>
      <c r="G279" s="2001">
        <v>0</v>
      </c>
      <c r="H279" s="2007"/>
      <c r="I279" s="2007"/>
    </row>
    <row r="280" spans="2:9" ht="15" customHeight="1">
      <c r="B280" s="1998" t="s">
        <v>1012</v>
      </c>
      <c r="C280" s="1998" t="s">
        <v>1214</v>
      </c>
      <c r="F280" s="1999">
        <v>0</v>
      </c>
      <c r="G280" s="2001">
        <v>0</v>
      </c>
      <c r="H280" s="2007"/>
      <c r="I280" s="2007"/>
    </row>
    <row r="281" spans="2:9" ht="15" customHeight="1">
      <c r="B281" s="1998" t="s">
        <v>1012</v>
      </c>
      <c r="C281" s="1998" t="s">
        <v>1215</v>
      </c>
      <c r="F281" s="1999">
        <f>SUM(F267:F273)</f>
        <v>-0.70199999999999996</v>
      </c>
      <c r="G281" s="2001">
        <f>SUM(G267:G273)</f>
        <v>-0.97499999999999998</v>
      </c>
      <c r="H281" s="2001">
        <f>SUM(H267:H273)</f>
        <v>0</v>
      </c>
      <c r="I281" s="2001">
        <f>SUM(I267:I273)</f>
        <v>0</v>
      </c>
    </row>
    <row r="282" spans="2:9" ht="15" customHeight="1">
      <c r="B282" s="1998" t="s">
        <v>1012</v>
      </c>
      <c r="C282" s="1998" t="s">
        <v>1216</v>
      </c>
      <c r="F282" s="1999">
        <f>SUM(F274:F280)</f>
        <v>0</v>
      </c>
      <c r="G282" s="2001">
        <f>SUM(G274:G280)</f>
        <v>0</v>
      </c>
      <c r="H282" s="2001">
        <f>SUM(H274:H280)</f>
        <v>0</v>
      </c>
      <c r="I282" s="2001">
        <f>SUM(I274:I280)</f>
        <v>0</v>
      </c>
    </row>
    <row r="283" spans="2:9" ht="15" customHeight="1" thickBot="1">
      <c r="B283" s="2013"/>
      <c r="C283" s="2025" t="s">
        <v>1046</v>
      </c>
      <c r="D283" s="2014"/>
      <c r="E283" s="2014"/>
      <c r="F283" s="2026">
        <f>F281+F282</f>
        <v>-0.70199999999999996</v>
      </c>
      <c r="G283" s="2027">
        <f>G281+G282</f>
        <v>-0.97499999999999998</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1218</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1119</v>
      </c>
    </row>
    <row r="288" spans="2:9" ht="27.6">
      <c r="B288" s="1998"/>
      <c r="C288" s="1998"/>
      <c r="F288" s="2023" t="s">
        <v>968</v>
      </c>
      <c r="G288" s="1937" t="s">
        <v>980</v>
      </c>
      <c r="H288" s="1937" t="s">
        <v>985</v>
      </c>
      <c r="I288" s="2043" t="s">
        <v>1120</v>
      </c>
    </row>
    <row r="289" spans="2:10" ht="15" customHeight="1">
      <c r="B289" s="2028" t="s">
        <v>1014</v>
      </c>
      <c r="C289" s="1998"/>
      <c r="F289" s="2023" t="s">
        <v>141</v>
      </c>
      <c r="G289" s="1937" t="s">
        <v>141</v>
      </c>
      <c r="H289" s="1937" t="s">
        <v>141</v>
      </c>
      <c r="I289" s="1937" t="s">
        <v>141</v>
      </c>
    </row>
    <row r="290" spans="2:10" ht="15" customHeight="1">
      <c r="B290" s="1998" t="s">
        <v>1015</v>
      </c>
      <c r="C290" s="1998" t="s">
        <v>1201</v>
      </c>
      <c r="F290" s="1999">
        <v>0</v>
      </c>
      <c r="G290" s="2001">
        <v>0</v>
      </c>
      <c r="H290" s="2007"/>
      <c r="I290" s="2007"/>
    </row>
    <row r="291" spans="2:10" ht="15" customHeight="1">
      <c r="B291" s="1998" t="s">
        <v>1015</v>
      </c>
      <c r="C291" s="1998" t="s">
        <v>1202</v>
      </c>
      <c r="F291" s="1999">
        <v>-1.6428</v>
      </c>
      <c r="G291" s="2001">
        <v>-2.5752000000000002</v>
      </c>
      <c r="H291" s="2007"/>
      <c r="I291" s="2007"/>
    </row>
    <row r="292" spans="2:10" ht="15" customHeight="1">
      <c r="B292" s="1998" t="s">
        <v>1015</v>
      </c>
      <c r="C292" s="1998" t="s">
        <v>1203</v>
      </c>
      <c r="F292" s="1999">
        <v>0</v>
      </c>
      <c r="G292" s="2001">
        <v>0</v>
      </c>
      <c r="H292" s="2007"/>
      <c r="I292" s="2007"/>
    </row>
    <row r="293" spans="2:10" ht="15" customHeight="1">
      <c r="B293" s="1998" t="s">
        <v>1015</v>
      </c>
      <c r="C293" s="1998" t="s">
        <v>1204</v>
      </c>
      <c r="F293" s="1999">
        <v>0</v>
      </c>
      <c r="G293" s="2001">
        <v>0</v>
      </c>
      <c r="H293" s="2007"/>
      <c r="I293" s="2007"/>
    </row>
    <row r="294" spans="2:10" ht="15" customHeight="1">
      <c r="B294" s="1998" t="s">
        <v>1015</v>
      </c>
      <c r="C294" s="1998" t="s">
        <v>1205</v>
      </c>
      <c r="F294" s="1999">
        <v>0</v>
      </c>
      <c r="G294" s="2001">
        <v>0</v>
      </c>
      <c r="H294" s="2007"/>
      <c r="I294" s="2007"/>
    </row>
    <row r="295" spans="2:10" ht="15" customHeight="1">
      <c r="B295" s="1998" t="s">
        <v>1015</v>
      </c>
      <c r="C295" s="1998" t="s">
        <v>1206</v>
      </c>
      <c r="F295" s="1999">
        <v>0</v>
      </c>
      <c r="G295" s="2001">
        <v>0</v>
      </c>
      <c r="H295" s="2007"/>
      <c r="I295" s="2007"/>
    </row>
    <row r="296" spans="2:10" ht="15" customHeight="1">
      <c r="B296" s="2008" t="s">
        <v>1015</v>
      </c>
      <c r="C296" s="2008" t="s">
        <v>1207</v>
      </c>
      <c r="D296" s="2009"/>
      <c r="E296" s="2009"/>
      <c r="F296" s="2010">
        <v>0</v>
      </c>
      <c r="G296" s="2011">
        <v>0</v>
      </c>
      <c r="H296" s="2012"/>
      <c r="I296" s="2012"/>
      <c r="J296" s="643"/>
    </row>
    <row r="297" spans="2:10" ht="15" customHeight="1">
      <c r="B297" s="1998" t="s">
        <v>1015</v>
      </c>
      <c r="C297" s="1998" t="s">
        <v>1208</v>
      </c>
      <c r="F297" s="1999">
        <v>0</v>
      </c>
      <c r="G297" s="2001">
        <v>0</v>
      </c>
      <c r="H297" s="2007"/>
      <c r="I297" s="2007"/>
    </row>
    <row r="298" spans="2:10" ht="15" customHeight="1">
      <c r="B298" s="1998" t="s">
        <v>1015</v>
      </c>
      <c r="C298" s="1998" t="s">
        <v>1209</v>
      </c>
      <c r="F298" s="1999">
        <v>0</v>
      </c>
      <c r="G298" s="2001">
        <v>0</v>
      </c>
      <c r="H298" s="2007"/>
      <c r="I298" s="2007"/>
    </row>
    <row r="299" spans="2:10" ht="15" customHeight="1">
      <c r="B299" s="1998" t="s">
        <v>1015</v>
      </c>
      <c r="C299" s="1998" t="s">
        <v>1210</v>
      </c>
      <c r="F299" s="1999">
        <v>0</v>
      </c>
      <c r="G299" s="2001">
        <v>0</v>
      </c>
      <c r="H299" s="2007"/>
      <c r="I299" s="2007"/>
    </row>
    <row r="300" spans="2:10" ht="15" customHeight="1">
      <c r="B300" s="1998" t="s">
        <v>1015</v>
      </c>
      <c r="C300" s="1998" t="s">
        <v>1211</v>
      </c>
      <c r="F300" s="1999">
        <v>0</v>
      </c>
      <c r="G300" s="2001">
        <v>0</v>
      </c>
      <c r="H300" s="2007"/>
      <c r="I300" s="2007"/>
    </row>
    <row r="301" spans="2:10" ht="15" customHeight="1">
      <c r="B301" s="1998" t="s">
        <v>1015</v>
      </c>
      <c r="C301" s="1998" t="s">
        <v>1212</v>
      </c>
      <c r="F301" s="1999">
        <v>0</v>
      </c>
      <c r="G301" s="2001">
        <v>0</v>
      </c>
      <c r="H301" s="2007"/>
      <c r="I301" s="2007"/>
    </row>
    <row r="302" spans="2:10" ht="15" customHeight="1">
      <c r="B302" s="1998" t="s">
        <v>1015</v>
      </c>
      <c r="C302" s="1998" t="s">
        <v>1213</v>
      </c>
      <c r="F302" s="1999">
        <v>0</v>
      </c>
      <c r="G302" s="2001">
        <v>0</v>
      </c>
      <c r="H302" s="2007"/>
      <c r="I302" s="2007"/>
    </row>
    <row r="303" spans="2:10" ht="15" customHeight="1">
      <c r="B303" s="1998" t="s">
        <v>1015</v>
      </c>
      <c r="C303" s="1998" t="s">
        <v>1214</v>
      </c>
      <c r="F303" s="1999">
        <v>0</v>
      </c>
      <c r="G303" s="2001">
        <v>0</v>
      </c>
      <c r="H303" s="2007"/>
      <c r="I303" s="2007"/>
    </row>
    <row r="304" spans="2:10" ht="15" customHeight="1">
      <c r="B304" s="1998" t="s">
        <v>1015</v>
      </c>
      <c r="C304" s="1998" t="s">
        <v>1215</v>
      </c>
      <c r="F304" s="1999">
        <f>SUM(F290:F296)</f>
        <v>-1.6428</v>
      </c>
      <c r="G304" s="2001">
        <f>SUM(G290:G296)</f>
        <v>-2.5752000000000002</v>
      </c>
      <c r="H304" s="2001">
        <f>SUM(H290:H296)</f>
        <v>0</v>
      </c>
      <c r="I304" s="2001">
        <f>SUM(I290:I296)</f>
        <v>0</v>
      </c>
    </row>
    <row r="305" spans="2:9" ht="15" customHeight="1">
      <c r="B305" s="1998" t="s">
        <v>1015</v>
      </c>
      <c r="C305" s="1998" t="s">
        <v>1216</v>
      </c>
      <c r="F305" s="1999">
        <f>SUM(F297:F303)</f>
        <v>0</v>
      </c>
      <c r="G305" s="2001">
        <f>SUM(G297:G303)</f>
        <v>0</v>
      </c>
      <c r="H305" s="2001">
        <f>SUM(H297:H303)</f>
        <v>0</v>
      </c>
      <c r="I305" s="2001">
        <f>SUM(I297:I303)</f>
        <v>0</v>
      </c>
    </row>
    <row r="306" spans="2:9" ht="15" customHeight="1" thickBot="1">
      <c r="B306" s="2013"/>
      <c r="C306" s="2025" t="s">
        <v>1046</v>
      </c>
      <c r="D306" s="2014"/>
      <c r="E306" s="2014"/>
      <c r="F306" s="2026">
        <f>F304+F305</f>
        <v>-1.6428</v>
      </c>
      <c r="G306" s="2027">
        <f>G304+G305</f>
        <v>-2.5752000000000002</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1221</v>
      </c>
      <c r="C308" s="2030"/>
      <c r="D308" s="2031"/>
      <c r="E308" s="2031"/>
      <c r="F308" s="2032"/>
      <c r="G308" s="2032"/>
      <c r="H308" s="2032"/>
      <c r="I308" s="2032"/>
    </row>
    <row r="309" spans="2:9" ht="15" customHeight="1">
      <c r="B309" s="2033" t="s">
        <v>1184</v>
      </c>
      <c r="C309" s="2030"/>
      <c r="D309" s="2031"/>
      <c r="E309" s="2031"/>
      <c r="F309" s="2032"/>
      <c r="G309" s="2032"/>
      <c r="H309" s="2032"/>
      <c r="I309" s="2032"/>
    </row>
    <row r="310" spans="2:9" ht="15" customHeight="1">
      <c r="B310" s="1998"/>
      <c r="C310" s="1998"/>
      <c r="F310" s="1998"/>
      <c r="I310" s="462" t="s">
        <v>1119</v>
      </c>
    </row>
    <row r="311" spans="2:9" ht="27.6">
      <c r="B311" s="1998"/>
      <c r="C311" s="1998"/>
      <c r="F311" s="2023" t="s">
        <v>968</v>
      </c>
      <c r="G311" s="1937" t="s">
        <v>980</v>
      </c>
      <c r="H311" s="1937" t="s">
        <v>985</v>
      </c>
      <c r="I311" s="2043" t="s">
        <v>1120</v>
      </c>
    </row>
    <row r="312" spans="2:9" ht="15" customHeight="1">
      <c r="B312" s="2028" t="s">
        <v>1017</v>
      </c>
      <c r="C312" s="1998"/>
      <c r="F312" s="2023" t="s">
        <v>141</v>
      </c>
      <c r="G312" s="1937" t="s">
        <v>141</v>
      </c>
      <c r="H312" s="1937" t="s">
        <v>141</v>
      </c>
      <c r="I312" s="1937" t="s">
        <v>141</v>
      </c>
    </row>
    <row r="313" spans="2:9" ht="15" customHeight="1">
      <c r="B313" s="1998" t="s">
        <v>1018</v>
      </c>
      <c r="C313" s="1998" t="s">
        <v>1201</v>
      </c>
      <c r="F313" s="1999">
        <v>-0.80630999999999997</v>
      </c>
      <c r="G313" s="2001">
        <v>-1.2138</v>
      </c>
      <c r="H313" s="2007"/>
      <c r="I313" s="2007"/>
    </row>
    <row r="314" spans="2:9" ht="15" customHeight="1">
      <c r="B314" s="1998" t="s">
        <v>1018</v>
      </c>
      <c r="C314" s="1998" t="s">
        <v>1202</v>
      </c>
      <c r="F314" s="1999">
        <v>-1.8813899999999999</v>
      </c>
      <c r="G314" s="2001">
        <v>-2.8321999999999998</v>
      </c>
      <c r="H314" s="2007"/>
      <c r="I314" s="2007"/>
    </row>
    <row r="315" spans="2:9" ht="15" customHeight="1">
      <c r="B315" s="1998" t="s">
        <v>1018</v>
      </c>
      <c r="C315" s="1998" t="s">
        <v>1203</v>
      </c>
      <c r="F315" s="1999">
        <v>0</v>
      </c>
      <c r="G315" s="2001">
        <v>0</v>
      </c>
      <c r="H315" s="2007"/>
      <c r="I315" s="2007"/>
    </row>
    <row r="316" spans="2:9" ht="15" customHeight="1">
      <c r="B316" s="1998" t="s">
        <v>1018</v>
      </c>
      <c r="C316" s="1998" t="s">
        <v>1204</v>
      </c>
      <c r="F316" s="1999">
        <v>0</v>
      </c>
      <c r="G316" s="2001">
        <v>0</v>
      </c>
      <c r="H316" s="2007"/>
      <c r="I316" s="2007"/>
    </row>
    <row r="317" spans="2:9" ht="15" customHeight="1">
      <c r="B317" s="1998" t="s">
        <v>1018</v>
      </c>
      <c r="C317" s="1998" t="s">
        <v>1205</v>
      </c>
      <c r="F317" s="1999">
        <v>0</v>
      </c>
      <c r="G317" s="2001">
        <v>0</v>
      </c>
      <c r="H317" s="2007"/>
      <c r="I317" s="2007"/>
    </row>
    <row r="318" spans="2:9" ht="15" customHeight="1">
      <c r="B318" s="1998" t="s">
        <v>1018</v>
      </c>
      <c r="C318" s="1998" t="s">
        <v>1206</v>
      </c>
      <c r="F318" s="1999">
        <v>0</v>
      </c>
      <c r="G318" s="2001">
        <v>0</v>
      </c>
      <c r="H318" s="2007"/>
      <c r="I318" s="2007"/>
    </row>
    <row r="319" spans="2:9" ht="15" customHeight="1">
      <c r="B319" s="2008" t="s">
        <v>1018</v>
      </c>
      <c r="C319" s="2008" t="s">
        <v>1207</v>
      </c>
      <c r="D319" s="2009"/>
      <c r="E319" s="2009"/>
      <c r="F319" s="2010">
        <v>0</v>
      </c>
      <c r="G319" s="2011">
        <v>0</v>
      </c>
      <c r="H319" s="2012"/>
      <c r="I319" s="2012"/>
    </row>
    <row r="320" spans="2:9" ht="15" customHeight="1">
      <c r="B320" s="1998" t="s">
        <v>1018</v>
      </c>
      <c r="C320" s="1998" t="s">
        <v>1208</v>
      </c>
      <c r="F320" s="1999">
        <v>0</v>
      </c>
      <c r="G320" s="2001">
        <v>0</v>
      </c>
      <c r="H320" s="2007"/>
      <c r="I320" s="2007"/>
    </row>
    <row r="321" spans="2:9" ht="15" customHeight="1">
      <c r="B321" s="1998" t="s">
        <v>1018</v>
      </c>
      <c r="C321" s="1998" t="s">
        <v>1209</v>
      </c>
      <c r="F321" s="1999">
        <v>0</v>
      </c>
      <c r="G321" s="2001">
        <v>0</v>
      </c>
      <c r="H321" s="2007"/>
      <c r="I321" s="2007"/>
    </row>
    <row r="322" spans="2:9" ht="15" customHeight="1">
      <c r="B322" s="1998" t="s">
        <v>1018</v>
      </c>
      <c r="C322" s="1998" t="s">
        <v>1210</v>
      </c>
      <c r="F322" s="1999">
        <v>0</v>
      </c>
      <c r="G322" s="2001">
        <v>0</v>
      </c>
      <c r="H322" s="2007"/>
      <c r="I322" s="2007"/>
    </row>
    <row r="323" spans="2:9" ht="15" customHeight="1">
      <c r="B323" s="1998" t="s">
        <v>1018</v>
      </c>
      <c r="C323" s="1998" t="s">
        <v>1211</v>
      </c>
      <c r="F323" s="1999">
        <v>0</v>
      </c>
      <c r="G323" s="2001">
        <v>0</v>
      </c>
      <c r="H323" s="2007"/>
      <c r="I323" s="2007"/>
    </row>
    <row r="324" spans="2:9" ht="15" customHeight="1">
      <c r="B324" s="1998" t="s">
        <v>1018</v>
      </c>
      <c r="C324" s="1998" t="s">
        <v>1212</v>
      </c>
      <c r="F324" s="1999">
        <v>0</v>
      </c>
      <c r="G324" s="2001">
        <v>0</v>
      </c>
      <c r="H324" s="2007"/>
      <c r="I324" s="2007"/>
    </row>
    <row r="325" spans="2:9" ht="15" customHeight="1">
      <c r="B325" s="1998" t="s">
        <v>1018</v>
      </c>
      <c r="C325" s="1998" t="s">
        <v>1213</v>
      </c>
      <c r="F325" s="1999">
        <v>0</v>
      </c>
      <c r="G325" s="2001">
        <v>0</v>
      </c>
      <c r="H325" s="2007"/>
      <c r="I325" s="2007"/>
    </row>
    <row r="326" spans="2:9" ht="15" customHeight="1">
      <c r="B326" s="1998" t="s">
        <v>1018</v>
      </c>
      <c r="C326" s="1998" t="s">
        <v>1214</v>
      </c>
      <c r="F326" s="1999">
        <v>0</v>
      </c>
      <c r="G326" s="2001">
        <v>0</v>
      </c>
      <c r="H326" s="2007"/>
      <c r="I326" s="2007"/>
    </row>
    <row r="327" spans="2:9" ht="15" customHeight="1">
      <c r="B327" s="1998" t="s">
        <v>1018</v>
      </c>
      <c r="C327" s="1998" t="s">
        <v>1215</v>
      </c>
      <c r="F327" s="1999">
        <f>SUM(F313:F319)</f>
        <v>-2.6877</v>
      </c>
      <c r="G327" s="2001">
        <f>SUM(G313:G319)</f>
        <v>-4.0459999999999994</v>
      </c>
      <c r="H327" s="2001">
        <f>SUM(H313:H319)</f>
        <v>0</v>
      </c>
      <c r="I327" s="2001">
        <f>SUM(I313:I319)</f>
        <v>0</v>
      </c>
    </row>
    <row r="328" spans="2:9" ht="15" customHeight="1">
      <c r="B328" s="1998" t="s">
        <v>1018</v>
      </c>
      <c r="C328" s="1998" t="s">
        <v>1216</v>
      </c>
      <c r="F328" s="1999">
        <f>SUM(F320:F326)</f>
        <v>0</v>
      </c>
      <c r="G328" s="2001">
        <f>SUM(G320:G326)</f>
        <v>0</v>
      </c>
      <c r="H328" s="2001">
        <f>SUM(H320:H326)</f>
        <v>0</v>
      </c>
      <c r="I328" s="2001">
        <f>SUM(I320:I326)</f>
        <v>0</v>
      </c>
    </row>
    <row r="329" spans="2:9" ht="15" customHeight="1" thickBot="1">
      <c r="B329" s="2013"/>
      <c r="C329" s="2025" t="s">
        <v>1046</v>
      </c>
      <c r="D329" s="2014"/>
      <c r="E329" s="2014"/>
      <c r="F329" s="2026">
        <f>F327+F328</f>
        <v>-2.6877</v>
      </c>
      <c r="G329" s="2027">
        <f>G327+G328</f>
        <v>-4.0459999999999994</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1218</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1119</v>
      </c>
    </row>
    <row r="334" spans="2:9" ht="27.6">
      <c r="B334" s="1998"/>
      <c r="C334" s="1998"/>
      <c r="F334" s="2023" t="s">
        <v>968</v>
      </c>
      <c r="G334" s="1937" t="s">
        <v>980</v>
      </c>
      <c r="H334" s="1937" t="s">
        <v>985</v>
      </c>
      <c r="I334" s="2043" t="s">
        <v>1120</v>
      </c>
    </row>
    <row r="335" spans="2:9" ht="15" customHeight="1">
      <c r="B335" s="2028" t="s">
        <v>1021</v>
      </c>
      <c r="C335" s="1998"/>
      <c r="F335" s="2023" t="s">
        <v>141</v>
      </c>
      <c r="G335" s="1937" t="s">
        <v>141</v>
      </c>
      <c r="H335" s="1937" t="s">
        <v>141</v>
      </c>
      <c r="I335" s="1937" t="s">
        <v>141</v>
      </c>
    </row>
    <row r="336" spans="2:9" ht="15" customHeight="1">
      <c r="B336" s="1998" t="s">
        <v>1022</v>
      </c>
      <c r="C336" s="1998" t="s">
        <v>1201</v>
      </c>
      <c r="F336" s="1999">
        <v>0</v>
      </c>
      <c r="G336" s="2001">
        <v>0</v>
      </c>
      <c r="H336" s="2007"/>
      <c r="I336" s="2007"/>
    </row>
    <row r="337" spans="2:9" ht="15" customHeight="1">
      <c r="B337" s="1998" t="s">
        <v>1022</v>
      </c>
      <c r="C337" s="1998" t="s">
        <v>1202</v>
      </c>
      <c r="F337" s="1999">
        <v>-8.8499999999999801E-2</v>
      </c>
      <c r="G337" s="2001">
        <v>-0.13650000000000001</v>
      </c>
      <c r="H337" s="2007"/>
      <c r="I337" s="2007"/>
    </row>
    <row r="338" spans="2:9" ht="15" customHeight="1">
      <c r="B338" s="1998" t="s">
        <v>1022</v>
      </c>
      <c r="C338" s="1998" t="s">
        <v>1203</v>
      </c>
      <c r="F338" s="1999">
        <v>0</v>
      </c>
      <c r="G338" s="2001">
        <v>0</v>
      </c>
      <c r="H338" s="2007"/>
      <c r="I338" s="2007"/>
    </row>
    <row r="339" spans="2:9" ht="15" customHeight="1">
      <c r="B339" s="1998" t="s">
        <v>1022</v>
      </c>
      <c r="C339" s="1998" t="s">
        <v>1204</v>
      </c>
      <c r="F339" s="1999">
        <v>0</v>
      </c>
      <c r="G339" s="2001">
        <v>0</v>
      </c>
      <c r="H339" s="2007"/>
      <c r="I339" s="2007"/>
    </row>
    <row r="340" spans="2:9" ht="15" customHeight="1">
      <c r="B340" s="1998" t="s">
        <v>1022</v>
      </c>
      <c r="C340" s="1998" t="s">
        <v>1205</v>
      </c>
      <c r="F340" s="1999">
        <v>-8.8499999999999995E-2</v>
      </c>
      <c r="G340" s="2001">
        <v>-0.13650000000000001</v>
      </c>
      <c r="H340" s="2007"/>
      <c r="I340" s="2007"/>
    </row>
    <row r="341" spans="2:9" ht="15" customHeight="1">
      <c r="B341" s="1998" t="s">
        <v>1022</v>
      </c>
      <c r="C341" s="1998" t="s">
        <v>1206</v>
      </c>
      <c r="F341" s="1999">
        <v>0</v>
      </c>
      <c r="G341" s="2001">
        <v>0</v>
      </c>
      <c r="H341" s="2007"/>
      <c r="I341" s="2007"/>
    </row>
    <row r="342" spans="2:9" ht="15" customHeight="1">
      <c r="B342" s="2008" t="s">
        <v>1022</v>
      </c>
      <c r="C342" s="2008" t="s">
        <v>1207</v>
      </c>
      <c r="D342" s="2009"/>
      <c r="E342" s="2009"/>
      <c r="F342" s="2010">
        <v>0</v>
      </c>
      <c r="G342" s="2011">
        <v>0</v>
      </c>
      <c r="H342" s="2012"/>
      <c r="I342" s="2012"/>
    </row>
    <row r="343" spans="2:9" ht="15" customHeight="1">
      <c r="B343" s="1998" t="s">
        <v>1022</v>
      </c>
      <c r="C343" s="1998" t="s">
        <v>1208</v>
      </c>
      <c r="F343" s="1999">
        <v>0</v>
      </c>
      <c r="G343" s="2001">
        <v>0</v>
      </c>
      <c r="H343" s="2007"/>
      <c r="I343" s="2007"/>
    </row>
    <row r="344" spans="2:9" ht="15" customHeight="1">
      <c r="B344" s="1998" t="s">
        <v>1022</v>
      </c>
      <c r="C344" s="1998" t="s">
        <v>1209</v>
      </c>
      <c r="F344" s="1999">
        <v>0</v>
      </c>
      <c r="G344" s="2001">
        <v>0</v>
      </c>
      <c r="H344" s="2007"/>
      <c r="I344" s="2007"/>
    </row>
    <row r="345" spans="2:9" ht="15" customHeight="1">
      <c r="B345" s="1998" t="s">
        <v>1022</v>
      </c>
      <c r="C345" s="1998" t="s">
        <v>1210</v>
      </c>
      <c r="F345" s="1999">
        <v>0</v>
      </c>
      <c r="G345" s="2001">
        <v>0</v>
      </c>
      <c r="H345" s="2007"/>
      <c r="I345" s="2007"/>
    </row>
    <row r="346" spans="2:9" ht="15" customHeight="1">
      <c r="B346" s="1998" t="s">
        <v>1022</v>
      </c>
      <c r="C346" s="1998" t="s">
        <v>1211</v>
      </c>
      <c r="F346" s="1999">
        <v>0</v>
      </c>
      <c r="G346" s="2001">
        <v>0</v>
      </c>
      <c r="H346" s="2007"/>
      <c r="I346" s="2007"/>
    </row>
    <row r="347" spans="2:9" ht="15" customHeight="1">
      <c r="B347" s="1998" t="s">
        <v>1022</v>
      </c>
      <c r="C347" s="1998" t="s">
        <v>1212</v>
      </c>
      <c r="F347" s="1999">
        <v>0</v>
      </c>
      <c r="G347" s="2001">
        <v>0</v>
      </c>
      <c r="H347" s="2007"/>
      <c r="I347" s="2007"/>
    </row>
    <row r="348" spans="2:9" ht="15" customHeight="1">
      <c r="B348" s="1998" t="s">
        <v>1022</v>
      </c>
      <c r="C348" s="1998" t="s">
        <v>1213</v>
      </c>
      <c r="F348" s="1999">
        <v>0</v>
      </c>
      <c r="G348" s="2001">
        <v>0</v>
      </c>
      <c r="H348" s="2007"/>
      <c r="I348" s="2007"/>
    </row>
    <row r="349" spans="2:9" ht="15" customHeight="1">
      <c r="B349" s="1998" t="s">
        <v>1022</v>
      </c>
      <c r="C349" s="1998" t="s">
        <v>1214</v>
      </c>
      <c r="F349" s="1999">
        <v>0</v>
      </c>
      <c r="G349" s="2001">
        <v>0</v>
      </c>
      <c r="H349" s="2007"/>
      <c r="I349" s="2007"/>
    </row>
    <row r="350" spans="2:9" ht="15" customHeight="1">
      <c r="B350" s="1998" t="s">
        <v>1022</v>
      </c>
      <c r="C350" s="1998" t="s">
        <v>1215</v>
      </c>
      <c r="F350" s="1999">
        <f>SUM(F336:F342)</f>
        <v>-0.1769999999999998</v>
      </c>
      <c r="G350" s="2001">
        <f>SUM(G336:G342)</f>
        <v>-0.27300000000000002</v>
      </c>
      <c r="H350" s="2001">
        <f>SUM(H336:H342)</f>
        <v>0</v>
      </c>
      <c r="I350" s="2001">
        <f>SUM(I336:I342)</f>
        <v>0</v>
      </c>
    </row>
    <row r="351" spans="2:9" ht="15" customHeight="1">
      <c r="B351" s="1998" t="s">
        <v>1022</v>
      </c>
      <c r="C351" s="1998" t="s">
        <v>1216</v>
      </c>
      <c r="F351" s="1999">
        <f>SUM(F343:F349)</f>
        <v>0</v>
      </c>
      <c r="G351" s="2001">
        <f>SUM(G343:G349)</f>
        <v>0</v>
      </c>
      <c r="H351" s="2001">
        <f>SUM(H343:H349)</f>
        <v>0</v>
      </c>
      <c r="I351" s="2001">
        <f>SUM(I343:I349)</f>
        <v>0</v>
      </c>
    </row>
    <row r="352" spans="2:9" ht="15" customHeight="1" thickBot="1">
      <c r="B352" s="2013"/>
      <c r="C352" s="2025" t="s">
        <v>1046</v>
      </c>
      <c r="D352" s="2014"/>
      <c r="E352" s="2014"/>
      <c r="F352" s="2026">
        <f>F350+F351</f>
        <v>-0.1769999999999998</v>
      </c>
      <c r="G352" s="2027">
        <f>G350+G351</f>
        <v>-0.27300000000000002</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1218</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1119</v>
      </c>
    </row>
    <row r="357" spans="2:9" ht="27.6">
      <c r="B357" s="1998"/>
      <c r="C357" s="1998"/>
      <c r="F357" s="2023" t="s">
        <v>968</v>
      </c>
      <c r="G357" s="1937" t="s">
        <v>980</v>
      </c>
      <c r="H357" s="1937" t="s">
        <v>985</v>
      </c>
      <c r="I357" s="2043" t="s">
        <v>1120</v>
      </c>
    </row>
    <row r="358" spans="2:9" ht="15" customHeight="1">
      <c r="B358" s="2028" t="s">
        <v>1025</v>
      </c>
      <c r="C358" s="1998"/>
      <c r="F358" s="2023" t="s">
        <v>141</v>
      </c>
      <c r="G358" s="1937" t="s">
        <v>141</v>
      </c>
      <c r="H358" s="1937" t="s">
        <v>141</v>
      </c>
      <c r="I358" s="1937" t="s">
        <v>141</v>
      </c>
    </row>
    <row r="359" spans="2:9" ht="15" customHeight="1">
      <c r="B359" s="1998" t="s">
        <v>1026</v>
      </c>
      <c r="C359" s="1998" t="s">
        <v>1201</v>
      </c>
      <c r="F359" s="1999">
        <v>-0.32340000000000002</v>
      </c>
      <c r="G359" s="2001">
        <v>-0.48180000000000001</v>
      </c>
      <c r="H359" s="2007"/>
      <c r="I359" s="2007"/>
    </row>
    <row r="360" spans="2:9" ht="15" customHeight="1">
      <c r="B360" s="1998" t="s">
        <v>1026</v>
      </c>
      <c r="C360" s="1998" t="s">
        <v>1202</v>
      </c>
      <c r="F360" s="1999">
        <v>0</v>
      </c>
      <c r="G360" s="2001">
        <v>0</v>
      </c>
      <c r="H360" s="2007"/>
      <c r="I360" s="2007"/>
    </row>
    <row r="361" spans="2:9" ht="15" customHeight="1">
      <c r="B361" s="1998" t="s">
        <v>1026</v>
      </c>
      <c r="C361" s="1998" t="s">
        <v>1203</v>
      </c>
      <c r="F361" s="1999">
        <v>0</v>
      </c>
      <c r="G361" s="2001">
        <v>0</v>
      </c>
      <c r="H361" s="2007"/>
      <c r="I361" s="2007"/>
    </row>
    <row r="362" spans="2:9" ht="15" customHeight="1">
      <c r="B362" s="1998" t="s">
        <v>1026</v>
      </c>
      <c r="C362" s="1998" t="s">
        <v>1204</v>
      </c>
      <c r="F362" s="1999">
        <v>0</v>
      </c>
      <c r="G362" s="2001">
        <v>0</v>
      </c>
      <c r="H362" s="2007"/>
      <c r="I362" s="2007"/>
    </row>
    <row r="363" spans="2:9" ht="15" customHeight="1">
      <c r="B363" s="1998" t="s">
        <v>1026</v>
      </c>
      <c r="C363" s="1998" t="s">
        <v>1205</v>
      </c>
      <c r="F363" s="1999">
        <v>0</v>
      </c>
      <c r="G363" s="2001">
        <v>0</v>
      </c>
      <c r="H363" s="2007"/>
      <c r="I363" s="2007"/>
    </row>
    <row r="364" spans="2:9" ht="15" customHeight="1">
      <c r="B364" s="1998" t="s">
        <v>1026</v>
      </c>
      <c r="C364" s="1998" t="s">
        <v>1206</v>
      </c>
      <c r="F364" s="1999">
        <v>0</v>
      </c>
      <c r="G364" s="2001">
        <v>0</v>
      </c>
      <c r="H364" s="2007"/>
      <c r="I364" s="2007"/>
    </row>
    <row r="365" spans="2:9" ht="15" customHeight="1">
      <c r="B365" s="2008" t="s">
        <v>1026</v>
      </c>
      <c r="C365" s="2008" t="s">
        <v>1207</v>
      </c>
      <c r="D365" s="2009"/>
      <c r="E365" s="2009"/>
      <c r="F365" s="2010">
        <v>0</v>
      </c>
      <c r="G365" s="2011">
        <v>0</v>
      </c>
      <c r="H365" s="2012"/>
      <c r="I365" s="2012"/>
    </row>
    <row r="366" spans="2:9" ht="15" customHeight="1">
      <c r="B366" s="1998" t="s">
        <v>1026</v>
      </c>
      <c r="C366" s="1998" t="s">
        <v>1208</v>
      </c>
      <c r="F366" s="1999">
        <v>0</v>
      </c>
      <c r="G366" s="2001">
        <v>0</v>
      </c>
      <c r="H366" s="2007"/>
      <c r="I366" s="2007"/>
    </row>
    <row r="367" spans="2:9" ht="15" customHeight="1">
      <c r="B367" s="1998" t="s">
        <v>1026</v>
      </c>
      <c r="C367" s="1998" t="s">
        <v>1209</v>
      </c>
      <c r="F367" s="1999">
        <v>0</v>
      </c>
      <c r="G367" s="2001">
        <v>0</v>
      </c>
      <c r="H367" s="2007"/>
      <c r="I367" s="2007"/>
    </row>
    <row r="368" spans="2:9" ht="15" customHeight="1">
      <c r="B368" s="1998" t="s">
        <v>1026</v>
      </c>
      <c r="C368" s="1998" t="s">
        <v>1210</v>
      </c>
      <c r="F368" s="1999">
        <v>0</v>
      </c>
      <c r="G368" s="2001">
        <v>0</v>
      </c>
      <c r="H368" s="2007"/>
      <c r="I368" s="2007"/>
    </row>
    <row r="369" spans="2:9" ht="15" customHeight="1">
      <c r="B369" s="1998" t="s">
        <v>1026</v>
      </c>
      <c r="C369" s="1998" t="s">
        <v>1211</v>
      </c>
      <c r="F369" s="1999">
        <v>0</v>
      </c>
      <c r="G369" s="2001">
        <v>0</v>
      </c>
      <c r="H369" s="2007"/>
      <c r="I369" s="2007"/>
    </row>
    <row r="370" spans="2:9" ht="15" customHeight="1">
      <c r="B370" s="1998" t="s">
        <v>1026</v>
      </c>
      <c r="C370" s="1998" t="s">
        <v>1212</v>
      </c>
      <c r="F370" s="1999">
        <v>0</v>
      </c>
      <c r="G370" s="2001">
        <v>0</v>
      </c>
      <c r="H370" s="2007"/>
      <c r="I370" s="2007"/>
    </row>
    <row r="371" spans="2:9" ht="15" customHeight="1">
      <c r="B371" s="1998" t="s">
        <v>1026</v>
      </c>
      <c r="C371" s="1998" t="s">
        <v>1213</v>
      </c>
      <c r="F371" s="1999">
        <v>0</v>
      </c>
      <c r="G371" s="2001">
        <v>0</v>
      </c>
      <c r="H371" s="2007"/>
      <c r="I371" s="2007"/>
    </row>
    <row r="372" spans="2:9" ht="15" customHeight="1">
      <c r="B372" s="1998" t="s">
        <v>1026</v>
      </c>
      <c r="C372" s="1998" t="s">
        <v>1214</v>
      </c>
      <c r="F372" s="1999">
        <v>0</v>
      </c>
      <c r="G372" s="2001">
        <v>0</v>
      </c>
      <c r="H372" s="2007"/>
      <c r="I372" s="2007"/>
    </row>
    <row r="373" spans="2:9" ht="15" customHeight="1">
      <c r="B373" s="1998" t="s">
        <v>1026</v>
      </c>
      <c r="C373" s="1998" t="s">
        <v>1215</v>
      </c>
      <c r="F373" s="1999">
        <f>SUM(F359:F365)</f>
        <v>-0.32340000000000002</v>
      </c>
      <c r="G373" s="2001">
        <f>SUM(G359:G365)</f>
        <v>-0.48180000000000001</v>
      </c>
      <c r="H373" s="2001">
        <f>SUM(H359:H365)</f>
        <v>0</v>
      </c>
      <c r="I373" s="2001">
        <f>SUM(I359:I365)</f>
        <v>0</v>
      </c>
    </row>
    <row r="374" spans="2:9" ht="15" customHeight="1">
      <c r="B374" s="1998" t="s">
        <v>1026</v>
      </c>
      <c r="C374" s="1998" t="s">
        <v>1216</v>
      </c>
      <c r="F374" s="1999">
        <f>SUM(F366:F372)</f>
        <v>0</v>
      </c>
      <c r="G374" s="2001">
        <f>SUM(G366:G372)</f>
        <v>0</v>
      </c>
      <c r="H374" s="2001">
        <f>SUM(H366:H372)</f>
        <v>0</v>
      </c>
      <c r="I374" s="2001">
        <f>SUM(I366:I372)</f>
        <v>0</v>
      </c>
    </row>
    <row r="375" spans="2:9" ht="15" customHeight="1" thickBot="1">
      <c r="B375" s="2013"/>
      <c r="C375" s="2025" t="s">
        <v>1046</v>
      </c>
      <c r="D375" s="2014"/>
      <c r="E375" s="2014"/>
      <c r="F375" s="2026">
        <f>F373+F374</f>
        <v>-0.32340000000000002</v>
      </c>
      <c r="G375" s="2027">
        <f>G373+G374</f>
        <v>-0.48180000000000001</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1218</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1119</v>
      </c>
    </row>
    <row r="380" spans="2:9" ht="27.6">
      <c r="B380" s="1998"/>
      <c r="C380" s="1998"/>
      <c r="F380" s="2023" t="s">
        <v>968</v>
      </c>
      <c r="G380" s="1937" t="s">
        <v>980</v>
      </c>
      <c r="H380" s="1937" t="s">
        <v>985</v>
      </c>
      <c r="I380" s="2043" t="s">
        <v>1120</v>
      </c>
    </row>
    <row r="381" spans="2:9" ht="15" customHeight="1">
      <c r="B381" s="2028" t="s">
        <v>1032</v>
      </c>
      <c r="C381" s="1998"/>
      <c r="F381" s="2023" t="s">
        <v>141</v>
      </c>
      <c r="G381" s="1937" t="s">
        <v>141</v>
      </c>
      <c r="H381" s="1937" t="s">
        <v>141</v>
      </c>
      <c r="I381" s="1937" t="s">
        <v>141</v>
      </c>
    </row>
    <row r="382" spans="2:9" ht="15" customHeight="1">
      <c r="B382" s="1998" t="s">
        <v>1033</v>
      </c>
      <c r="C382" s="1998" t="s">
        <v>1201</v>
      </c>
      <c r="F382" s="1999">
        <v>0</v>
      </c>
      <c r="G382" s="2001">
        <v>0</v>
      </c>
      <c r="H382" s="2007"/>
      <c r="I382" s="2007"/>
    </row>
    <row r="383" spans="2:9" ht="15" customHeight="1">
      <c r="B383" s="1998" t="s">
        <v>1033</v>
      </c>
      <c r="C383" s="1998" t="s">
        <v>1202</v>
      </c>
      <c r="F383" s="1999">
        <v>-1.1435</v>
      </c>
      <c r="G383" s="2001">
        <v>-1.2643</v>
      </c>
      <c r="H383" s="2007"/>
      <c r="I383" s="2007"/>
    </row>
    <row r="384" spans="2:9" ht="15" customHeight="1">
      <c r="B384" s="1998" t="s">
        <v>1033</v>
      </c>
      <c r="C384" s="1998" t="s">
        <v>1203</v>
      </c>
      <c r="F384" s="1999">
        <v>0</v>
      </c>
      <c r="G384" s="2001">
        <v>0</v>
      </c>
      <c r="H384" s="2007"/>
      <c r="I384" s="2007"/>
    </row>
    <row r="385" spans="2:9" ht="15" customHeight="1">
      <c r="B385" s="1998" t="s">
        <v>1033</v>
      </c>
      <c r="C385" s="1998" t="s">
        <v>1204</v>
      </c>
      <c r="F385" s="1999">
        <v>0</v>
      </c>
      <c r="G385" s="2001">
        <v>0</v>
      </c>
      <c r="H385" s="2007"/>
      <c r="I385" s="2007"/>
    </row>
    <row r="386" spans="2:9" ht="15" customHeight="1">
      <c r="B386" s="1998" t="s">
        <v>1033</v>
      </c>
      <c r="C386" s="1998" t="s">
        <v>1205</v>
      </c>
      <c r="F386" s="1999">
        <v>-0.91800000000000004</v>
      </c>
      <c r="G386" s="2001">
        <v>-1.6422000000000001</v>
      </c>
      <c r="H386" s="2007"/>
      <c r="I386" s="2007"/>
    </row>
    <row r="387" spans="2:9" ht="15" customHeight="1">
      <c r="B387" s="1998" t="s">
        <v>1033</v>
      </c>
      <c r="C387" s="1998" t="s">
        <v>1206</v>
      </c>
      <c r="F387" s="1999">
        <v>0</v>
      </c>
      <c r="G387" s="2001">
        <v>0</v>
      </c>
      <c r="H387" s="2007"/>
      <c r="I387" s="2007"/>
    </row>
    <row r="388" spans="2:9" ht="15" customHeight="1">
      <c r="B388" s="2008" t="s">
        <v>1033</v>
      </c>
      <c r="C388" s="2008" t="s">
        <v>1207</v>
      </c>
      <c r="D388" s="2009"/>
      <c r="E388" s="2009"/>
      <c r="F388" s="2010">
        <v>0</v>
      </c>
      <c r="G388" s="2011">
        <v>0</v>
      </c>
      <c r="H388" s="2012"/>
      <c r="I388" s="2012"/>
    </row>
    <row r="389" spans="2:9" ht="15" customHeight="1">
      <c r="B389" s="1998" t="s">
        <v>1033</v>
      </c>
      <c r="C389" s="1998" t="s">
        <v>1208</v>
      </c>
      <c r="F389" s="1999">
        <v>0</v>
      </c>
      <c r="G389" s="2001">
        <v>0</v>
      </c>
      <c r="H389" s="2007"/>
      <c r="I389" s="2007"/>
    </row>
    <row r="390" spans="2:9" ht="15" customHeight="1">
      <c r="B390" s="1998" t="s">
        <v>1033</v>
      </c>
      <c r="C390" s="1998" t="s">
        <v>1209</v>
      </c>
      <c r="F390" s="1999">
        <v>0</v>
      </c>
      <c r="G390" s="2001">
        <v>0</v>
      </c>
      <c r="H390" s="2007"/>
      <c r="I390" s="2007"/>
    </row>
    <row r="391" spans="2:9" ht="15" customHeight="1">
      <c r="B391" s="1998" t="s">
        <v>1033</v>
      </c>
      <c r="C391" s="1998" t="s">
        <v>1210</v>
      </c>
      <c r="F391" s="1999">
        <v>0</v>
      </c>
      <c r="G391" s="2001">
        <v>0</v>
      </c>
      <c r="H391" s="2007"/>
      <c r="I391" s="2007"/>
    </row>
    <row r="392" spans="2:9" ht="15" customHeight="1">
      <c r="B392" s="1998" t="s">
        <v>1033</v>
      </c>
      <c r="C392" s="1998" t="s">
        <v>1211</v>
      </c>
      <c r="F392" s="1999">
        <v>0</v>
      </c>
      <c r="G392" s="2001">
        <v>0</v>
      </c>
      <c r="H392" s="2007"/>
      <c r="I392" s="2007"/>
    </row>
    <row r="393" spans="2:9" ht="15" customHeight="1">
      <c r="B393" s="1998" t="s">
        <v>1033</v>
      </c>
      <c r="C393" s="1998" t="s">
        <v>1212</v>
      </c>
      <c r="F393" s="1999">
        <v>0</v>
      </c>
      <c r="G393" s="2001">
        <v>0</v>
      </c>
      <c r="H393" s="2007"/>
      <c r="I393" s="2007"/>
    </row>
    <row r="394" spans="2:9" ht="15" customHeight="1">
      <c r="B394" s="1998" t="s">
        <v>1033</v>
      </c>
      <c r="C394" s="1998" t="s">
        <v>1213</v>
      </c>
      <c r="F394" s="1999">
        <v>0</v>
      </c>
      <c r="G394" s="2001">
        <v>0</v>
      </c>
      <c r="H394" s="2007"/>
      <c r="I394" s="2007"/>
    </row>
    <row r="395" spans="2:9" ht="15" customHeight="1">
      <c r="B395" s="1998" t="s">
        <v>1033</v>
      </c>
      <c r="C395" s="1998" t="s">
        <v>1214</v>
      </c>
      <c r="F395" s="1999">
        <v>0</v>
      </c>
      <c r="G395" s="2001">
        <v>0</v>
      </c>
      <c r="H395" s="2007"/>
      <c r="I395" s="2007"/>
    </row>
    <row r="396" spans="2:9" ht="15" customHeight="1">
      <c r="B396" s="1998" t="s">
        <v>1033</v>
      </c>
      <c r="C396" s="1998" t="s">
        <v>1215</v>
      </c>
      <c r="F396" s="1999">
        <f>SUM(F382:F388)</f>
        <v>-2.0615000000000001</v>
      </c>
      <c r="G396" s="2001">
        <f>SUM(G382:G388)</f>
        <v>-2.9065000000000003</v>
      </c>
      <c r="H396" s="2001">
        <f>SUM(H382:H388)</f>
        <v>0</v>
      </c>
      <c r="I396" s="2001">
        <f>SUM(I382:I388)</f>
        <v>0</v>
      </c>
    </row>
    <row r="397" spans="2:9" ht="15" customHeight="1">
      <c r="B397" s="1998" t="s">
        <v>1033</v>
      </c>
      <c r="C397" s="1998" t="s">
        <v>1216</v>
      </c>
      <c r="F397" s="1999">
        <f>SUM(F389:F395)</f>
        <v>0</v>
      </c>
      <c r="G397" s="2001">
        <f>SUM(G389:G395)</f>
        <v>0</v>
      </c>
      <c r="H397" s="2001">
        <f>SUM(H389:H395)</f>
        <v>0</v>
      </c>
      <c r="I397" s="2001">
        <f>SUM(I389:I395)</f>
        <v>0</v>
      </c>
    </row>
    <row r="398" spans="2:9" ht="15" customHeight="1" thickBot="1">
      <c r="B398" s="2013"/>
      <c r="C398" s="2025" t="s">
        <v>1046</v>
      </c>
      <c r="D398" s="2014"/>
      <c r="E398" s="2014"/>
      <c r="F398" s="2026">
        <f>F396+F397</f>
        <v>-2.0615000000000001</v>
      </c>
      <c r="G398" s="2026">
        <f>G396+G397</f>
        <v>-2.9065000000000003</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1222</v>
      </c>
      <c r="C400" s="2030"/>
      <c r="D400" s="2031"/>
      <c r="E400" s="2031"/>
      <c r="F400" s="2032"/>
      <c r="G400" s="2032"/>
      <c r="H400" s="2032"/>
      <c r="I400" s="2032"/>
    </row>
    <row r="401" spans="2:9" ht="15" customHeight="1">
      <c r="B401" s="2033" t="s">
        <v>1223</v>
      </c>
      <c r="C401" s="2030"/>
      <c r="D401" s="2031"/>
      <c r="E401" s="2031"/>
      <c r="F401" s="2032"/>
      <c r="G401" s="2032"/>
      <c r="H401" s="2032"/>
      <c r="I401" s="2032"/>
    </row>
    <row r="402" spans="2:9" ht="15" customHeight="1">
      <c r="B402" s="1998"/>
      <c r="C402" s="1998"/>
      <c r="F402" s="1998"/>
      <c r="I402" s="462" t="s">
        <v>1119</v>
      </c>
    </row>
    <row r="403" spans="2:9" ht="27.6">
      <c r="B403" s="1998"/>
      <c r="C403" s="1998"/>
      <c r="F403" s="2023" t="s">
        <v>968</v>
      </c>
      <c r="G403" s="1937" t="s">
        <v>980</v>
      </c>
      <c r="H403" s="1937" t="s">
        <v>985</v>
      </c>
      <c r="I403" s="2043" t="s">
        <v>1120</v>
      </c>
    </row>
    <row r="404" spans="2:9" ht="15" customHeight="1">
      <c r="B404" s="2028" t="s">
        <v>1035</v>
      </c>
      <c r="C404" s="1998"/>
      <c r="F404" s="2023" t="s">
        <v>141</v>
      </c>
      <c r="G404" s="1937" t="s">
        <v>141</v>
      </c>
      <c r="H404" s="1937" t="s">
        <v>141</v>
      </c>
      <c r="I404" s="1937" t="s">
        <v>141</v>
      </c>
    </row>
    <row r="405" spans="2:9" ht="15" customHeight="1">
      <c r="B405" s="1998" t="s">
        <v>1036</v>
      </c>
      <c r="C405" s="1998" t="s">
        <v>1201</v>
      </c>
      <c r="F405" s="1999">
        <v>0</v>
      </c>
      <c r="G405" s="2001">
        <v>0</v>
      </c>
      <c r="H405" s="2007"/>
      <c r="I405" s="2007"/>
    </row>
    <row r="406" spans="2:9" ht="15" customHeight="1">
      <c r="B406" s="1998" t="s">
        <v>1036</v>
      </c>
      <c r="C406" s="1998" t="s">
        <v>1202</v>
      </c>
      <c r="F406" s="1999">
        <v>-1.5164</v>
      </c>
      <c r="G406" s="2001">
        <v>-2.5516000000000001</v>
      </c>
      <c r="H406" s="2007"/>
      <c r="I406" s="2007"/>
    </row>
    <row r="407" spans="2:9" ht="15" customHeight="1">
      <c r="B407" s="1998" t="s">
        <v>1036</v>
      </c>
      <c r="C407" s="1998" t="s">
        <v>1203</v>
      </c>
      <c r="F407" s="1999">
        <v>0</v>
      </c>
      <c r="G407" s="2001">
        <v>0</v>
      </c>
      <c r="H407" s="2007"/>
      <c r="I407" s="2007"/>
    </row>
    <row r="408" spans="2:9" ht="15" customHeight="1">
      <c r="B408" s="1998" t="s">
        <v>1036</v>
      </c>
      <c r="C408" s="1998" t="s">
        <v>1204</v>
      </c>
      <c r="F408" s="1999">
        <v>0</v>
      </c>
      <c r="G408" s="2001">
        <v>0</v>
      </c>
      <c r="H408" s="2007"/>
      <c r="I408" s="2007"/>
    </row>
    <row r="409" spans="2:9" ht="15" customHeight="1">
      <c r="B409" s="1998" t="s">
        <v>1036</v>
      </c>
      <c r="C409" s="1998" t="s">
        <v>1205</v>
      </c>
      <c r="F409" s="1999">
        <v>0</v>
      </c>
      <c r="G409" s="2001">
        <v>0</v>
      </c>
      <c r="H409" s="2007"/>
      <c r="I409" s="2007"/>
    </row>
    <row r="410" spans="2:9" ht="15" customHeight="1">
      <c r="B410" s="1998" t="s">
        <v>1036</v>
      </c>
      <c r="C410" s="1998" t="s">
        <v>1206</v>
      </c>
      <c r="F410" s="1999">
        <v>0</v>
      </c>
      <c r="G410" s="2001">
        <v>0</v>
      </c>
      <c r="H410" s="2007"/>
      <c r="I410" s="2007"/>
    </row>
    <row r="411" spans="2:9" ht="15" customHeight="1">
      <c r="B411" s="2008" t="s">
        <v>1036</v>
      </c>
      <c r="C411" s="2008" t="s">
        <v>1207</v>
      </c>
      <c r="D411" s="2009"/>
      <c r="E411" s="2009"/>
      <c r="F411" s="2010">
        <v>0</v>
      </c>
      <c r="G411" s="2011">
        <v>0</v>
      </c>
      <c r="H411" s="2012"/>
      <c r="I411" s="2012"/>
    </row>
    <row r="412" spans="2:9" ht="15" customHeight="1">
      <c r="B412" s="1998" t="s">
        <v>1036</v>
      </c>
      <c r="C412" s="1998" t="s">
        <v>1208</v>
      </c>
      <c r="F412" s="1999">
        <v>0</v>
      </c>
      <c r="G412" s="2001">
        <v>0</v>
      </c>
      <c r="H412" s="2007"/>
      <c r="I412" s="2007"/>
    </row>
    <row r="413" spans="2:9" ht="15" customHeight="1">
      <c r="B413" s="1998" t="s">
        <v>1036</v>
      </c>
      <c r="C413" s="1998" t="s">
        <v>1209</v>
      </c>
      <c r="F413" s="1999">
        <v>0</v>
      </c>
      <c r="G413" s="2001">
        <v>0</v>
      </c>
      <c r="H413" s="2007"/>
      <c r="I413" s="2007"/>
    </row>
    <row r="414" spans="2:9" ht="15" customHeight="1">
      <c r="B414" s="1998" t="s">
        <v>1036</v>
      </c>
      <c r="C414" s="1998" t="s">
        <v>1210</v>
      </c>
      <c r="F414" s="1999">
        <v>0</v>
      </c>
      <c r="G414" s="2001">
        <v>0</v>
      </c>
      <c r="H414" s="2007"/>
      <c r="I414" s="2007"/>
    </row>
    <row r="415" spans="2:9" ht="15" customHeight="1">
      <c r="B415" s="1998" t="s">
        <v>1036</v>
      </c>
      <c r="C415" s="1998" t="s">
        <v>1211</v>
      </c>
      <c r="F415" s="1999">
        <v>0</v>
      </c>
      <c r="G415" s="2001">
        <v>0</v>
      </c>
      <c r="H415" s="2007"/>
      <c r="I415" s="2007"/>
    </row>
    <row r="416" spans="2:9" ht="15" customHeight="1">
      <c r="B416" s="1998" t="s">
        <v>1036</v>
      </c>
      <c r="C416" s="1998" t="s">
        <v>1212</v>
      </c>
      <c r="F416" s="1999">
        <v>0</v>
      </c>
      <c r="G416" s="2001">
        <v>0</v>
      </c>
      <c r="H416" s="2007"/>
      <c r="I416" s="2007"/>
    </row>
    <row r="417" spans="2:9" ht="15" customHeight="1">
      <c r="B417" s="1998" t="s">
        <v>1036</v>
      </c>
      <c r="C417" s="1998" t="s">
        <v>1213</v>
      </c>
      <c r="F417" s="1999">
        <v>0</v>
      </c>
      <c r="G417" s="2001">
        <v>0</v>
      </c>
      <c r="H417" s="2007"/>
      <c r="I417" s="2007"/>
    </row>
    <row r="418" spans="2:9" ht="15" customHeight="1">
      <c r="B418" s="1998" t="s">
        <v>1036</v>
      </c>
      <c r="C418" s="1998" t="s">
        <v>1214</v>
      </c>
      <c r="F418" s="1999">
        <v>0</v>
      </c>
      <c r="G418" s="2001">
        <v>0</v>
      </c>
      <c r="H418" s="2007"/>
      <c r="I418" s="2007"/>
    </row>
    <row r="419" spans="2:9" ht="15" customHeight="1">
      <c r="B419" s="1998" t="s">
        <v>1036</v>
      </c>
      <c r="C419" s="1998" t="s">
        <v>1215</v>
      </c>
      <c r="F419" s="1999">
        <f>SUM(F405:F411)</f>
        <v>-1.5164</v>
      </c>
      <c r="G419" s="2001">
        <f>SUM(G405:G411)</f>
        <v>-2.5516000000000001</v>
      </c>
      <c r="H419" s="2001">
        <f>SUM(H405:H411)</f>
        <v>0</v>
      </c>
      <c r="I419" s="2001">
        <f>SUM(I405:I411)</f>
        <v>0</v>
      </c>
    </row>
    <row r="420" spans="2:9" ht="15" customHeight="1">
      <c r="B420" s="1998" t="s">
        <v>1036</v>
      </c>
      <c r="C420" s="1998" t="s">
        <v>1216</v>
      </c>
      <c r="F420" s="1999">
        <f>SUM(F412:F418)</f>
        <v>0</v>
      </c>
      <c r="G420" s="2001">
        <f>SUM(G412:G418)</f>
        <v>0</v>
      </c>
      <c r="H420" s="2001">
        <f>SUM(H412:H418)</f>
        <v>0</v>
      </c>
      <c r="I420" s="2001">
        <f>SUM(I412:I418)</f>
        <v>0</v>
      </c>
    </row>
    <row r="421" spans="2:9" ht="15" customHeight="1" thickBot="1">
      <c r="B421" s="2013"/>
      <c r="C421" s="2025" t="s">
        <v>1046</v>
      </c>
      <c r="D421" s="2014"/>
      <c r="E421" s="2014"/>
      <c r="F421" s="2026">
        <f>F419+F420</f>
        <v>-1.5164</v>
      </c>
      <c r="G421" s="2027">
        <f>G419+G420</f>
        <v>-2.5516000000000001</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1218</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1119</v>
      </c>
    </row>
    <row r="426" spans="2:9" ht="27.6">
      <c r="B426" s="1998"/>
      <c r="C426" s="1998"/>
      <c r="F426" s="2023" t="s">
        <v>968</v>
      </c>
      <c r="G426" s="1937" t="s">
        <v>980</v>
      </c>
      <c r="H426" s="1937" t="s">
        <v>985</v>
      </c>
      <c r="I426" s="2043" t="s">
        <v>1120</v>
      </c>
    </row>
    <row r="427" spans="2:9" ht="15" customHeight="1">
      <c r="B427" s="2028" t="s">
        <v>1028</v>
      </c>
      <c r="C427" s="1998"/>
      <c r="F427" s="2023" t="s">
        <v>141</v>
      </c>
      <c r="G427" s="1937" t="s">
        <v>141</v>
      </c>
      <c r="H427" s="1937" t="s">
        <v>141</v>
      </c>
      <c r="I427" s="1937" t="s">
        <v>141</v>
      </c>
    </row>
    <row r="428" spans="2:9" ht="15" customHeight="1">
      <c r="B428" s="1998" t="s">
        <v>1029</v>
      </c>
      <c r="C428" s="1998" t="s">
        <v>1201</v>
      </c>
      <c r="F428" s="1999">
        <v>0</v>
      </c>
      <c r="G428" s="2001">
        <v>0</v>
      </c>
      <c r="H428" s="2007"/>
      <c r="I428" s="2007"/>
    </row>
    <row r="429" spans="2:9" ht="15" customHeight="1">
      <c r="B429" s="1998" t="s">
        <v>1029</v>
      </c>
      <c r="C429" s="1998" t="s">
        <v>1202</v>
      </c>
      <c r="F429" s="1999">
        <v>-0.61599999999999999</v>
      </c>
      <c r="G429" s="2001">
        <v>-0.62480000000000002</v>
      </c>
      <c r="H429" s="2007"/>
      <c r="I429" s="2007"/>
    </row>
    <row r="430" spans="2:9" ht="15" customHeight="1">
      <c r="B430" s="1998" t="s">
        <v>1029</v>
      </c>
      <c r="C430" s="1998" t="s">
        <v>1203</v>
      </c>
      <c r="F430" s="1999">
        <v>0</v>
      </c>
      <c r="G430" s="2001">
        <v>0</v>
      </c>
      <c r="H430" s="2007"/>
      <c r="I430" s="2007"/>
    </row>
    <row r="431" spans="2:9" ht="15" customHeight="1">
      <c r="B431" s="1998" t="s">
        <v>1029</v>
      </c>
      <c r="C431" s="1998" t="s">
        <v>1204</v>
      </c>
      <c r="F431" s="1999">
        <v>0</v>
      </c>
      <c r="G431" s="2001">
        <v>0</v>
      </c>
      <c r="H431" s="2007"/>
      <c r="I431" s="2007"/>
    </row>
    <row r="432" spans="2:9" ht="15" customHeight="1">
      <c r="B432" s="1998" t="s">
        <v>1029</v>
      </c>
      <c r="C432" s="1998" t="s">
        <v>1205</v>
      </c>
      <c r="F432" s="1999">
        <v>0</v>
      </c>
      <c r="G432" s="2001">
        <v>0</v>
      </c>
      <c r="H432" s="2007"/>
      <c r="I432" s="2007"/>
    </row>
    <row r="433" spans="2:9" ht="15" customHeight="1">
      <c r="B433" s="1998" t="s">
        <v>1029</v>
      </c>
      <c r="C433" s="1998" t="s">
        <v>1206</v>
      </c>
      <c r="F433" s="1999">
        <v>0</v>
      </c>
      <c r="G433" s="2001">
        <v>0</v>
      </c>
      <c r="H433" s="2007"/>
      <c r="I433" s="2007"/>
    </row>
    <row r="434" spans="2:9" ht="15" customHeight="1">
      <c r="B434" s="2008" t="s">
        <v>1029</v>
      </c>
      <c r="C434" s="2008" t="s">
        <v>1207</v>
      </c>
      <c r="D434" s="2009"/>
      <c r="E434" s="2009"/>
      <c r="F434" s="2010">
        <v>0</v>
      </c>
      <c r="G434" s="2011">
        <v>0</v>
      </c>
      <c r="H434" s="2012"/>
      <c r="I434" s="2012"/>
    </row>
    <row r="435" spans="2:9" ht="15" customHeight="1">
      <c r="B435" s="1998" t="s">
        <v>1029</v>
      </c>
      <c r="C435" s="1998" t="s">
        <v>1208</v>
      </c>
      <c r="F435" s="1999">
        <v>0</v>
      </c>
      <c r="G435" s="2001">
        <v>0</v>
      </c>
      <c r="H435" s="2007"/>
      <c r="I435" s="2007"/>
    </row>
    <row r="436" spans="2:9" ht="15" customHeight="1">
      <c r="B436" s="1998" t="s">
        <v>1029</v>
      </c>
      <c r="C436" s="1998" t="s">
        <v>1209</v>
      </c>
      <c r="F436" s="1999">
        <v>0</v>
      </c>
      <c r="G436" s="2001">
        <v>0</v>
      </c>
      <c r="H436" s="2007"/>
      <c r="I436" s="2007"/>
    </row>
    <row r="437" spans="2:9" ht="15" customHeight="1">
      <c r="B437" s="1998" t="s">
        <v>1029</v>
      </c>
      <c r="C437" s="1998" t="s">
        <v>1210</v>
      </c>
      <c r="F437" s="1999">
        <v>0</v>
      </c>
      <c r="G437" s="2001">
        <v>0</v>
      </c>
      <c r="H437" s="2007"/>
      <c r="I437" s="2007"/>
    </row>
    <row r="438" spans="2:9" ht="15" customHeight="1">
      <c r="B438" s="1998" t="s">
        <v>1029</v>
      </c>
      <c r="C438" s="1998" t="s">
        <v>1211</v>
      </c>
      <c r="F438" s="1999">
        <v>0</v>
      </c>
      <c r="G438" s="2001">
        <v>0</v>
      </c>
      <c r="H438" s="2007"/>
      <c r="I438" s="2007"/>
    </row>
    <row r="439" spans="2:9" ht="15" customHeight="1">
      <c r="B439" s="1998" t="s">
        <v>1029</v>
      </c>
      <c r="C439" s="1998" t="s">
        <v>1212</v>
      </c>
      <c r="F439" s="1999">
        <v>0</v>
      </c>
      <c r="G439" s="2001">
        <v>0</v>
      </c>
      <c r="H439" s="2007"/>
      <c r="I439" s="2007"/>
    </row>
    <row r="440" spans="2:9" ht="15" customHeight="1">
      <c r="B440" s="1998" t="s">
        <v>1029</v>
      </c>
      <c r="C440" s="1998" t="s">
        <v>1213</v>
      </c>
      <c r="F440" s="1999">
        <v>0</v>
      </c>
      <c r="G440" s="2001">
        <v>0</v>
      </c>
      <c r="H440" s="2007"/>
      <c r="I440" s="2007"/>
    </row>
    <row r="441" spans="2:9" ht="15" customHeight="1">
      <c r="B441" s="1998" t="s">
        <v>1029</v>
      </c>
      <c r="C441" s="1998" t="s">
        <v>1214</v>
      </c>
      <c r="F441" s="1999">
        <v>0</v>
      </c>
      <c r="G441" s="2001">
        <v>0</v>
      </c>
      <c r="H441" s="2007"/>
      <c r="I441" s="2007"/>
    </row>
    <row r="442" spans="2:9" ht="15" customHeight="1">
      <c r="B442" s="1998" t="s">
        <v>1029</v>
      </c>
      <c r="C442" s="1998" t="s">
        <v>1215</v>
      </c>
      <c r="F442" s="1999">
        <f>SUM(F428:F434)</f>
        <v>-0.61599999999999999</v>
      </c>
      <c r="G442" s="2001">
        <f>SUM(G428:G434)</f>
        <v>-0.62480000000000002</v>
      </c>
      <c r="H442" s="2001">
        <f>SUM(H428:H434)</f>
        <v>0</v>
      </c>
      <c r="I442" s="2001">
        <f>SUM(I428:I434)</f>
        <v>0</v>
      </c>
    </row>
    <row r="443" spans="2:9" ht="15" customHeight="1">
      <c r="B443" s="1998" t="s">
        <v>1029</v>
      </c>
      <c r="C443" s="1998" t="s">
        <v>1216</v>
      </c>
      <c r="F443" s="1999">
        <f>SUM(F435:F441)</f>
        <v>0</v>
      </c>
      <c r="G443" s="2001">
        <f>SUM(G435:G441)</f>
        <v>0</v>
      </c>
      <c r="H443" s="2001">
        <f>SUM(H435:H441)</f>
        <v>0</v>
      </c>
      <c r="I443" s="2001">
        <f>SUM(I435:I441)</f>
        <v>0</v>
      </c>
    </row>
    <row r="444" spans="2:9" ht="15" customHeight="1" thickBot="1">
      <c r="B444" s="2013"/>
      <c r="C444" s="2025" t="s">
        <v>1046</v>
      </c>
      <c r="D444" s="2014"/>
      <c r="E444" s="2014"/>
      <c r="F444" s="2026">
        <f>F442+F443</f>
        <v>-0.61599999999999999</v>
      </c>
      <c r="G444" s="2027">
        <f>G442+G443</f>
        <v>-0.62480000000000002</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1218</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935</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8">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551">
        <f>IF(Ofwat_PC_Interventions!J7&lt;&gt;"",Ofwat_PC_Interventions!J7,IF(Company_PC_inputs!J7&lt;&gt;"",Company_PC_inputs!J7,""))</f>
        <v>1.2</v>
      </c>
      <c r="K7" s="552">
        <f>IF(Ofwat_PC_Interventions!K7&lt;&gt;"",Ofwat_PC_Interventions!K7,IF(Company_PC_inputs!K7&lt;&gt;"",Company_PC_inputs!K7,""))</f>
        <v>2.5347222222222221E-3</v>
      </c>
      <c r="L7" s="551">
        <f>IF(Ofwat_PC_Interventions!L7&lt;&gt;"",Ofwat_PC_Interventions!L7,IF(Company_PC_inputs!L7&lt;&gt;"",Company_PC_inputs!L7,""))</f>
        <v>14.993122420907845</v>
      </c>
      <c r="M7" s="551">
        <f>IF(Ofwat_PC_Interventions!M7&lt;&gt;"",Ofwat_PC_Interventions!M7,IF(Company_PC_inputs!M7&lt;&gt;"",Company_PC_inputs!M7,""))</f>
        <v>14.743589743589736</v>
      </c>
      <c r="N7" s="551">
        <f>IF(Ofwat_PC_Interventions!N7&lt;&gt;"",Ofwat_PC_Interventions!N7,IF(Company_PC_inputs!N7&lt;&gt;"",Company_PC_inputs!N7,""))</f>
        <v>-10.116731517509736</v>
      </c>
      <c r="O7" s="551">
        <f>IF(Ofwat_PC_Interventions!O7&lt;&gt;"",Ofwat_PC_Interventions!O7,IF(Company_PC_inputs!O7&lt;&gt;"",Company_PC_inputs!O7,""))</f>
        <v>3.3382789317507378</v>
      </c>
      <c r="P7" s="553">
        <f>IF(Ofwat_PC_Interventions!P7&lt;&gt;"",Ofwat_PC_Interventions!P7,IF(Company_PC_inputs!P7&lt;&gt;"",Company_PC_inputs!P7,""))</f>
        <v>122.4</v>
      </c>
      <c r="Q7" s="554">
        <f>IF(Ofwat_PC_Interventions!Q7&lt;&gt;"",Ofwat_PC_Interventions!Q7,IF(Company_PC_inputs!Q7&lt;&gt;"",Company_PC_inputs!Q7,""))</f>
        <v>1.47</v>
      </c>
      <c r="R7" s="555">
        <f>IF(Ofwat_PC_Interventions!R7&lt;&gt;"",Ofwat_PC_Interventions!R7,IF(Company_PC_inputs!R7&lt;&gt;"",Company_PC_inputs!R7,""))</f>
        <v>58000</v>
      </c>
      <c r="S7" s="556">
        <f>IF(Ofwat_PC_Interventions!S7&lt;&gt;"",Ofwat_PC_Interventions!S7,IF(Company_PC_inputs!S7&lt;&gt;"",Company_PC_inputs!S7,""))</f>
        <v>5</v>
      </c>
      <c r="T7" s="555">
        <f>IF(Ofwat_PC_Interventions!T7&lt;&gt;"",Ofwat_PC_Interventions!T7,IF(Company_PC_inputs!T7&lt;&gt;"",Company_PC_inputs!T7,""))</f>
        <v>6000</v>
      </c>
      <c r="U7" s="551">
        <f>IF(Ofwat_PC_Interventions!U7&lt;&gt;"",Ofwat_PC_Interventions!U7,IF(Company_PC_inputs!U7&lt;&gt;"",Company_PC_inputs!U7,""))</f>
        <v>0</v>
      </c>
      <c r="V7" s="553">
        <f>IF(Ofwat_PC_Interventions!V7&lt;&gt;"",Ofwat_PC_Interventions!V7,IF(Company_PC_inputs!V7&lt;&gt;"",Company_PC_inputs!V7,""))</f>
        <v>783.3</v>
      </c>
      <c r="W7" s="556">
        <f>IF(Ofwat_PC_Interventions!W7&lt;&gt;"",Ofwat_PC_Interventions!W7,IF(Company_PC_inputs!W7&lt;&gt;"",Company_PC_inputs!W7,""))</f>
        <v>0.6</v>
      </c>
      <c r="X7" s="556">
        <f>IF(Ofwat_PC_Interventions!X7&lt;&gt;"",Ofwat_PC_Interventions!X7,IF(Company_PC_inputs!X7&lt;&gt;"",Company_PC_inputs!X7,""))</f>
        <v>4</v>
      </c>
      <c r="Y7" s="557">
        <f>IF(Ofwat_PC_Interventions!Y7&lt;&gt;"",Ofwat_PC_Interventions!Y7,IF(Company_PC_inputs!Y7&lt;&gt;"",Company_PC_inputs!Y7,""))</f>
        <v>100</v>
      </c>
      <c r="Z7" s="551">
        <f>IF(Ofwat_PC_Interventions!Z7&lt;&gt;"",Ofwat_PC_Interventions!Z7,IF(Company_PC_inputs!Z7&lt;&gt;"",Company_PC_inputs!Z7,""))</f>
        <v>100</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8">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72.7</v>
      </c>
      <c r="M8" s="560">
        <f>IF(Ofwat_PC_Interventions!M8&lt;&gt;"",Ofwat_PC_Interventions!M8,IF(Company_PC_inputs!M8&lt;&gt;"",Company_PC_inputs!M8,""))</f>
        <v>15.6</v>
      </c>
      <c r="N8" s="560">
        <f>IF(Ofwat_PC_Interventions!N8&lt;&gt;"",Ofwat_PC_Interventions!N8,IF(Company_PC_inputs!N8&lt;&gt;"",Company_PC_inputs!N8,""))</f>
        <v>128.5</v>
      </c>
      <c r="O8" s="560">
        <f>IF(Ofwat_PC_Interventions!O8&lt;&gt;"",Ofwat_PC_Interventions!O8,IF(Company_PC_inputs!O8&lt;&gt;"",Company_PC_inputs!O8,""))</f>
        <v>134.80000000000001</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8">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425</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8">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563" t="str">
        <f>IF(Ofwat_PC_Interventions!J16&lt;&gt;"",Ofwat_PC_Interventions!J16,IF(Company_PC_inputs!J16&lt;&gt;"",Company_PC_inputs!J16,""))</f>
        <v>PR19SSC_D1</v>
      </c>
      <c r="K16" s="563" t="str">
        <f>IF(Ofwat_PC_Interventions!K16&lt;&gt;"",Ofwat_PC_Interventions!K16,IF(Company_PC_inputs!K16&lt;&gt;"",Company_PC_inputs!K16,""))</f>
        <v>PR19SSC_D2</v>
      </c>
      <c r="L16" s="563" t="str">
        <f>IF(Ofwat_PC_Interventions!L16&lt;&gt;"",Ofwat_PC_Interventions!L16,IF(Company_PC_inputs!L16&lt;&gt;"",Company_PC_inputs!L16,""))</f>
        <v>PR19SSC_C1</v>
      </c>
      <c r="M16" s="563" t="str">
        <f>IF(Ofwat_PC_Interventions!M16&lt;&gt;"",Ofwat_PC_Interventions!M16,IF(Company_PC_inputs!M16&lt;&gt;"",Company_PC_inputs!M16,""))</f>
        <v>PR19SSC_C2</v>
      </c>
      <c r="N16" s="563" t="str">
        <f>IF(Ofwat_PC_Interventions!N16&lt;&gt;"",Ofwat_PC_Interventions!N16,IF(Company_PC_inputs!N16&lt;&gt;"",Company_PC_inputs!N16,""))</f>
        <v>PR19SSC_C3</v>
      </c>
      <c r="O16" s="563" t="str">
        <f>IF(Ofwat_PC_Interventions!O16&lt;&gt;"",Ofwat_PC_Interventions!O16,IF(Company_PC_inputs!O16&lt;&gt;"",Company_PC_inputs!O16,""))</f>
        <v>PR19SSC_C4</v>
      </c>
      <c r="P16" s="563" t="str">
        <f>IF(Ofwat_PC_Interventions!P16&lt;&gt;"",Ofwat_PC_Interventions!P16,IF(Company_PC_inputs!P16&lt;&gt;"",Company_PC_inputs!P16,""))</f>
        <v>PR19SSC_D4</v>
      </c>
      <c r="Q16" s="564" t="str">
        <f>IF(Ofwat_PC_Interventions!Q16&lt;&gt;"",Ofwat_PC_Interventions!Q16,IF(Company_PC_inputs!Q16&lt;&gt;"",Company_PC_inputs!Q16,""))</f>
        <v>PR19SSC_D5</v>
      </c>
      <c r="R16" s="563" t="str">
        <f>IF(Ofwat_PC_Interventions!R16&lt;&gt;"",Ofwat_PC_Interventions!R16,IF(Company_PC_inputs!R16&lt;&gt;"",Company_PC_inputs!R16,""))</f>
        <v>PR19SSC_B1</v>
      </c>
      <c r="S16" s="563" t="str">
        <f>IF(Ofwat_PC_Interventions!S16&lt;&gt;"",Ofwat_PC_Interventions!S16,IF(Company_PC_inputs!S16&lt;&gt;"",Company_PC_inputs!S16,""))</f>
        <v>PR19SSC_B2</v>
      </c>
      <c r="T16" s="563" t="str">
        <f>IF(Ofwat_PC_Interventions!T16&lt;&gt;"",Ofwat_PC_Interventions!T16,IF(Company_PC_inputs!T16&lt;&gt;"",Company_PC_inputs!T16,""))</f>
        <v>PR19SSC_B3</v>
      </c>
      <c r="U16" s="563" t="str">
        <f>IF(Ofwat_PC_Interventions!U16&lt;&gt;"",Ofwat_PC_Interventions!U16,IF(Company_PC_inputs!U16&lt;&gt;"",Company_PC_inputs!U16,""))</f>
        <v>PR19SSC_C5</v>
      </c>
      <c r="V16" s="563" t="str">
        <f>IF(Ofwat_PC_Interventions!V16&lt;&gt;"",Ofwat_PC_Interventions!V16,IF(Company_PC_inputs!V16&lt;&gt;"",Company_PC_inputs!V16,""))</f>
        <v>PR19SSC_C7</v>
      </c>
      <c r="W16" s="563" t="str">
        <f>IF(Ofwat_PC_Interventions!W16&lt;&gt;"",Ofwat_PC_Interventions!W16,IF(Company_PC_inputs!W16&lt;&gt;"",Company_PC_inputs!W16,""))</f>
        <v>PR19SSC_D6</v>
      </c>
      <c r="X16" s="563" t="str">
        <f>IF(Ofwat_PC_Interventions!X16&lt;&gt;"",Ofwat_PC_Interventions!X16,IF(Company_PC_inputs!X16&lt;&gt;"",Company_PC_inputs!X16,""))</f>
        <v>PR19SSC_D7</v>
      </c>
      <c r="Y16" s="563" t="str">
        <f>IF(Ofwat_PC_Interventions!Y16&lt;&gt;"",Ofwat_PC_Interventions!Y16,IF(Company_PC_inputs!Y16&lt;&gt;"",Company_PC_inputs!Y16,""))</f>
        <v>PR19SSC_D8</v>
      </c>
      <c r="Z16" s="563" t="str">
        <f>IF(Ofwat_PC_Interventions!Z16&lt;&gt;"",Ofwat_PC_Interventions!Z16,IF(Company_PC_inputs!Z16&lt;&gt;"",Company_PC_inputs!Z16,""))</f>
        <v>PR19SSC_E2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7.6">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South Staffs region</v>
      </c>
      <c r="M17" s="565" t="str">
        <f>IF(Ofwat_PC_Interventions!M17&lt;&gt;"",Ofwat_PC_Interventions!M17,IF(Company_PC_inputs!M17&lt;&gt;"",Company_PC_inputs!M17,""))</f>
        <v>Leakage Cambridge region</v>
      </c>
      <c r="N17" s="565" t="str">
        <f>IF(Ofwat_PC_Interventions!N17&lt;&gt;"",Ofwat_PC_Interventions!N17,IF(Company_PC_inputs!N17&lt;&gt;"",Company_PC_inputs!N17,""))</f>
        <v>Per capita consumption South Staffs region</v>
      </c>
      <c r="O17" s="565" t="str">
        <f>IF(Ofwat_PC_Interventions!O17&lt;&gt;"",Ofwat_PC_Interventions!O17,IF(Company_PC_inputs!O17&lt;&gt;"",Company_PC_inputs!O17,""))</f>
        <v>Per capita consumption Cambridge region</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Financial support</v>
      </c>
      <c r="S17" s="565" t="str">
        <f>IF(Ofwat_PC_Interventions!S17&lt;&gt;"",Ofwat_PC_Interventions!S17,IF(Company_PC_inputs!S17&lt;&gt;"",Company_PC_inputs!S17,""))</f>
        <v>Extra Care assistance</v>
      </c>
      <c r="T17" s="565" t="str">
        <f>IF(Ofwat_PC_Interventions!T17&lt;&gt;"",Ofwat_PC_Interventions!T17,IF(Company_PC_inputs!T17&lt;&gt;"",Company_PC_inputs!T17,""))</f>
        <v>Education activity</v>
      </c>
      <c r="U17" s="565" t="str">
        <f>IF(Ofwat_PC_Interventions!U17&lt;&gt;"",Ofwat_PC_Interventions!U17,IF(Company_PC_inputs!U17&lt;&gt;"",Company_PC_inputs!U17,""))</f>
        <v>Environmentally sensitive water abstraction</v>
      </c>
      <c r="V17" s="565" t="str">
        <f>IF(Ofwat_PC_Interventions!V17&lt;&gt;"",Ofwat_PC_Interventions!V17,IF(Company_PC_inputs!V17&lt;&gt;"",Company_PC_inputs!V17,""))</f>
        <v>Protecting wildlife, plants, habitats and catchments</v>
      </c>
      <c r="W17" s="565" t="str">
        <f>IF(Ofwat_PC_Interventions!W17&lt;&gt;"",Ofwat_PC_Interventions!W17,IF(Company_PC_inputs!W17&lt;&gt;"",Company_PC_inputs!W17,""))</f>
        <v>Customer contact about water quality</v>
      </c>
      <c r="X17" s="565" t="str">
        <f>IF(Ofwat_PC_Interventions!X17&lt;&gt;"",Ofwat_PC_Interventions!X17,IF(Company_PC_inputs!X17&lt;&gt;"",Company_PC_inputs!X17,""))</f>
        <v>Visible leak repair time</v>
      </c>
      <c r="Y17" s="565" t="str">
        <f>IF(Ofwat_PC_Interventions!Y17&lt;&gt;"",Ofwat_PC_Interventions!Y17,IF(Company_PC_inputs!Y17&lt;&gt;"",Company_PC_inputs!Y17,""))</f>
        <v>Water treatment works delivery programme</v>
      </c>
      <c r="Z17" s="565" t="str">
        <f>IF(Ofwat_PC_Interventions!Z17&lt;&gt;"",Ofwat_PC_Interventions!Z17,IF(Company_PC_inputs!Z17&lt;&gt;"",Company_PC_inputs!Z17,""))</f>
        <v>Residential void properties and gap sites</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8">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8">
      <c r="A19" s="444"/>
      <c r="B19" s="444"/>
      <c r="C19" s="444"/>
      <c r="D19" s="444"/>
      <c r="E19" s="444" t="s">
        <v>1080</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8">
      <c r="A20" s="444"/>
      <c r="B20" s="444"/>
      <c r="C20" s="444"/>
      <c r="D20" s="444"/>
      <c r="E20" s="444" t="s">
        <v>1081</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8">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8">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8">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8">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8">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8">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8">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8">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8">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8">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8">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xml:space="preserve">%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number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text</v>
      </c>
      <c r="Y31" s="481" t="str">
        <f>IF(Ofwat_PC_Interventions!Y31&lt;&gt;"",Ofwat_PC_Interventions!Y31,IF(Company_PC_inputs!Y31&lt;&gt;"",Company_PC_inputs!Y31,""))</f>
        <v>%</v>
      </c>
      <c r="Z31" s="481" t="str">
        <f>IF(Ofwat_PC_Interventions!Z31&lt;&gt;"",Ofwat_PC_Interventions!Z31,IF(Company_PC_inputs!Z31&lt;&gt;"",Company_PC_inputs!Z31,""))</f>
        <v>%</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8">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8">
      <c r="A33" s="444"/>
      <c r="B33" s="444"/>
      <c r="C33" s="444"/>
      <c r="D33" s="444"/>
      <c r="E33" s="444" t="s">
        <v>943</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Revenue</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8">
      <c r="A34" s="444"/>
      <c r="B34" s="444"/>
      <c r="C34" s="444"/>
      <c r="D34" s="444"/>
      <c r="E34" s="444" t="s">
        <v>944</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End of period</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8">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8">
      <c r="A36" s="444"/>
      <c r="B36" s="444"/>
      <c r="C36" s="444"/>
      <c r="D36" s="444"/>
      <c r="E36" s="444" t="s">
        <v>1089</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8">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8">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Up</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Up</v>
      </c>
      <c r="T38" s="485" t="str">
        <f>IF(Ofwat_PC_Interventions!T38&lt;&gt;"",Ofwat_PC_Interventions!T38,IF(Company_PC_inputs!T38&lt;&gt;"",Company_PC_inputs!T38,""))</f>
        <v>Up</v>
      </c>
      <c r="U38" s="485" t="str">
        <f>IF(Ofwat_PC_Interventions!U38&lt;&gt;"",Ofwat_PC_Interventions!U38,IF(Company_PC_inputs!U38&lt;&gt;"",Company_PC_inputs!U38,""))</f>
        <v>Down</v>
      </c>
      <c r="V38" s="485" t="str">
        <f>IF(Ofwat_PC_Interventions!V38&lt;&gt;"",Ofwat_PC_Interventions!V38,IF(Company_PC_inputs!V38&lt;&gt;"",Company_PC_inputs!V38,""))</f>
        <v>Up</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Up</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8">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8">
      <c r="A40" s="444"/>
      <c r="B40" s="444"/>
      <c r="C40" s="444"/>
      <c r="D40" s="444"/>
      <c r="E40" s="444" t="s">
        <v>132</v>
      </c>
      <c r="F40" s="444"/>
      <c r="G40" s="444" t="s">
        <v>410</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f>IF(Ofwat_PC_Interventions!O40&lt;&gt;"",Ofwat_PC_Interventions!O40,IF(Company_PC_inputs!O40&lt;&gt;"",Company_PC_inputs!O40,""))</f>
        <v>1</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1</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1</v>
      </c>
      <c r="W40" s="485">
        <f>IF(Ofwat_PC_Interventions!W40&lt;&gt;"",Ofwat_PC_Interventions!W40,IF(Company_PC_inputs!W40&lt;&gt;"",Company_PC_inputs!W40,""))</f>
        <v>2</v>
      </c>
      <c r="X40" s="485">
        <f>IF(Ofwat_PC_Interventions!X40&lt;&gt;"",Ofwat_PC_Interventions!X40,IF(Company_PC_inputs!X40&lt;&gt;"",Company_PC_inputs!X40,""))</f>
        <v>0</v>
      </c>
      <c r="Y40" s="485">
        <f>IF(Ofwat_PC_Interventions!Y40&lt;&gt;"",Ofwat_PC_Interventions!Y40,IF(Company_PC_inputs!Y40&lt;&gt;"",Company_PC_inputs!Y40,""))</f>
        <v>1</v>
      </c>
      <c r="Z40" s="485">
        <f>IF(Ofwat_PC_Interventions!Z40&lt;&gt;"",Ofwat_PC_Interventions!Z40,IF(Company_PC_inputs!Z40&lt;&gt;"",Company_PC_inputs!Z40,""))</f>
        <v>0</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8">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8">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8">
      <c r="A43" s="444"/>
      <c r="B43" s="444"/>
      <c r="C43" s="444"/>
      <c r="D43" s="444"/>
      <c r="E43" s="444" t="s">
        <v>949</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1.7592592592592592E-3</v>
      </c>
      <c r="L43" s="481">
        <f>IF(Ofwat_PC_Interventions!L43&lt;&gt;"",Ofwat_PC_Interventions!L43,IF(Company_PC_inputs!L43&lt;&gt;"",Company_PC_inputs!L43,""))</f>
        <v>19.2</v>
      </c>
      <c r="M43" s="481">
        <f>IF(Ofwat_PC_Interventions!M43&lt;&gt;"",Ofwat_PC_Interventions!M43,IF(Company_PC_inputs!M43&lt;&gt;"",Company_PC_inputs!M43,""))</f>
        <v>19.5</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104.4</v>
      </c>
      <c r="Q43" s="482">
        <f>IF(Ofwat_PC_Interventions!Q43&lt;&gt;"",Ofwat_PC_Interventions!Q43,IF(Company_PC_inputs!Q43&lt;&gt;"",Company_PC_inputs!Q43,""))</f>
        <v>1.64</v>
      </c>
      <c r="R43" s="481" t="str">
        <f>IF(Ofwat_PC_Interventions!R43&lt;&gt;"",Ofwat_PC_Interventions!R43,IF(Company_PC_inputs!R43&lt;&gt;"",Company_PC_inputs!R43,""))</f>
        <v/>
      </c>
      <c r="S43" s="481" t="str">
        <f>IF(Ofwat_PC_Interventions!S43&lt;&gt;"",Ofwat_PC_Interventions!S43,IF(Company_PC_inputs!S43&lt;&gt;"",Company_PC_inputs!S43,""))</f>
        <v/>
      </c>
      <c r="T43" s="481">
        <f>IF(Ofwat_PC_Interventions!T43&lt;&gt;"",Ofwat_PC_Interventions!T43,IF(Company_PC_inputs!T43&lt;&gt;"",Company_PC_inputs!T43,""))</f>
        <v>7000</v>
      </c>
      <c r="U43" s="481" t="str">
        <f>IF(Ofwat_PC_Interventions!U43&lt;&gt;"",Ofwat_PC_Interventions!U43,IF(Company_PC_inputs!U43&lt;&gt;"",Company_PC_inputs!U43,""))</f>
        <v/>
      </c>
      <c r="V43" s="481">
        <f>IF(Ofwat_PC_Interventions!V43&lt;&gt;"",Ofwat_PC_Interventions!V43,IF(Company_PC_inputs!V43&lt;&gt;"",Company_PC_inputs!V43,""))</f>
        <v>725</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8">
      <c r="A44" s="444"/>
      <c r="B44" s="444"/>
      <c r="C44" s="444"/>
      <c r="D44" s="444"/>
      <c r="E44" s="444" t="s">
        <v>950</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8">
      <c r="A45" s="444"/>
      <c r="B45" s="444"/>
      <c r="C45" s="444"/>
      <c r="D45" s="444"/>
      <c r="E45" s="444" t="s">
        <v>951</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15</v>
      </c>
      <c r="M45" s="481">
        <f>IF(Ofwat_PC_Interventions!M45&lt;&gt;"",Ofwat_PC_Interventions!M45,IF(Company_PC_inputs!M45&lt;&gt;"",Company_PC_inputs!M45,""))</f>
        <v>13.8</v>
      </c>
      <c r="N45" s="481">
        <f>IF(Ofwat_PC_Interventions!N45&lt;&gt;"",Ofwat_PC_Interventions!N45,IF(Company_PC_inputs!N45&lt;&gt;"",Company_PC_inputs!N45,""))</f>
        <v>1</v>
      </c>
      <c r="O45" s="481">
        <f>IF(Ofwat_PC_Interventions!O45&lt;&gt;"",Ofwat_PC_Interventions!O45,IF(Company_PC_inputs!O45&lt;&gt;"",Company_PC_inputs!O45,""))</f>
        <v>6.3</v>
      </c>
      <c r="P45" s="481">
        <f>IF(Ofwat_PC_Interventions!P45&lt;&gt;"",Ofwat_PC_Interventions!P45,IF(Company_PC_inputs!P45&lt;&gt;"",Company_PC_inputs!P45,""))</f>
        <v>122.4</v>
      </c>
      <c r="Q45" s="482">
        <f>IF(Ofwat_PC_Interventions!Q45&lt;&gt;"",Ofwat_PC_Interventions!Q45,IF(Company_PC_inputs!Q45&lt;&gt;"",Company_PC_inputs!Q45,""))</f>
        <v>2.34</v>
      </c>
      <c r="R45" s="481">
        <f>IF(Ofwat_PC_Interventions!R45&lt;&gt;"",Ofwat_PC_Interventions!R45,IF(Company_PC_inputs!R45&lt;&gt;"",Company_PC_inputs!R45,""))</f>
        <v>40000</v>
      </c>
      <c r="S45" s="481">
        <f>IF(Ofwat_PC_Interventions!S45&lt;&gt;"",Ofwat_PC_Interventions!S45,IF(Company_PC_inputs!S45&lt;&gt;"",Company_PC_inputs!S45,""))</f>
        <v>5</v>
      </c>
      <c r="T45" s="481">
        <f>IF(Ofwat_PC_Interventions!T45&lt;&gt;"",Ofwat_PC_Interventions!T45,IF(Company_PC_inputs!T45&lt;&gt;"",Company_PC_inputs!T45,""))</f>
        <v>6000</v>
      </c>
      <c r="U45" s="481">
        <f>IF(Ofwat_PC_Interventions!U45&lt;&gt;"",Ofwat_PC_Interventions!U45,IF(Company_PC_inputs!U45&lt;&gt;"",Company_PC_inputs!U45,""))</f>
        <v>0</v>
      </c>
      <c r="V45" s="481">
        <f>IF(Ofwat_PC_Interventions!V45&lt;&gt;"",Ofwat_PC_Interventions!V45,IF(Company_PC_inputs!V45&lt;&gt;"",Company_PC_inputs!V45,""))</f>
        <v>690</v>
      </c>
      <c r="W45" s="481">
        <f>IF(Ofwat_PC_Interventions!W45&lt;&gt;"",Ofwat_PC_Interventions!W45,IF(Company_PC_inputs!W45&lt;&gt;"",Company_PC_inputs!W45,""))</f>
        <v>0.76</v>
      </c>
      <c r="X45" s="481">
        <f>IF(Ofwat_PC_Interventions!X45&lt;&gt;"",Ofwat_PC_Interventions!X45,IF(Company_PC_inputs!X45&lt;&gt;"",Company_PC_inputs!X45,""))</f>
        <v>4</v>
      </c>
      <c r="Y45" s="481">
        <f>IF(Ofwat_PC_Interventions!Y45&lt;&gt;"",Ofwat_PC_Interventions!Y45,IF(Company_PC_inputs!Y45&lt;&gt;"",Company_PC_inputs!Y45,""))</f>
        <v>100</v>
      </c>
      <c r="Z45" s="481">
        <f>IF(Ofwat_PC_Interventions!Z45&lt;&gt;"",Ofwat_PC_Interventions!Z45,IF(Company_PC_inputs!Z45&lt;&gt;"",Company_PC_inputs!Z45,""))</f>
        <v>100</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8">
      <c r="A46" s="444"/>
      <c r="B46" s="444"/>
      <c r="C46" s="444"/>
      <c r="D46" s="444"/>
      <c r="E46" s="444" t="s">
        <v>952</v>
      </c>
      <c r="F46" s="444"/>
      <c r="G46" s="444" t="s">
        <v>1073</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8">
      <c r="A47" s="444"/>
      <c r="B47" s="444"/>
      <c r="C47" s="444"/>
      <c r="D47" s="444"/>
      <c r="E47" s="444" t="s">
        <v>953</v>
      </c>
      <c r="F47" s="444"/>
      <c r="G47" s="444" t="s">
        <v>1073</v>
      </c>
      <c r="H47" s="444"/>
      <c r="I47" s="444"/>
      <c r="J47" s="481">
        <f>IF(Ofwat_PC_Interventions!J47&lt;&gt;"",Ofwat_PC_Interventions!J47,IF(Company_PC_inputs!J47&lt;&gt;"",Company_PC_inputs!J47,""))</f>
        <v>9.5</v>
      </c>
      <c r="K47" s="481">
        <f>IF(Ofwat_PC_Interventions!K47&lt;&gt;"",Ofwat_PC_Interventions!K47,IF(Company_PC_inputs!K47&lt;&gt;"",Company_PC_inputs!K47,""))</f>
        <v>8.6805555555555594E-3</v>
      </c>
      <c r="L47" s="481">
        <f>IF(Ofwat_PC_Interventions!L47&lt;&gt;"",Ofwat_PC_Interventions!L47,IF(Company_PC_inputs!L47&lt;&gt;"",Company_PC_inputs!L47,""))</f>
        <v>-5</v>
      </c>
      <c r="M47" s="481">
        <f>IF(Ofwat_PC_Interventions!M47&lt;&gt;"",Ofwat_PC_Interventions!M47,IF(Company_PC_inputs!M47&lt;&gt;"",Company_PC_inputs!M47,""))</f>
        <v>-5</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150</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8">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8">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0.19700000000000001</v>
      </c>
      <c r="L49" s="567">
        <f>IF(Ofwat_PC_Interventions!L49&lt;&gt;"",Ofwat_PC_Interventions!L49,IF(Company_PC_inputs!L49&lt;&gt;"",Company_PC_inputs!L49,""))</f>
        <v>0.19600000000000001</v>
      </c>
      <c r="M49" s="567">
        <f>IF(Ofwat_PC_Interventions!M49&lt;&gt;"",Ofwat_PC_Interventions!M49,IF(Company_PC_inputs!M49&lt;&gt;"",Company_PC_inputs!M49,""))</f>
        <v>0.21099999999999999</v>
      </c>
      <c r="N49" s="567">
        <f>IF(Ofwat_PC_Interventions!N49&lt;&gt;"",Ofwat_PC_Interventions!N49,IF(Company_PC_inputs!N49&lt;&gt;"",Company_PC_inputs!N49,""))</f>
        <v>0.125</v>
      </c>
      <c r="O49" s="567">
        <f>IF(Ofwat_PC_Interventions!O49&lt;&gt;"",Ofwat_PC_Interventions!O49,IF(Company_PC_inputs!O49&lt;&gt;"",Company_PC_inputs!O49,""))</f>
        <v>2.1000000000000001E-2</v>
      </c>
      <c r="P49" s="567">
        <f>IF(Ofwat_PC_Interventions!P49&lt;&gt;"",Ofwat_PC_Interventions!P49,IF(Company_PC_inputs!P49&lt;&gt;"",Company_PC_inputs!P49,""))</f>
        <v>1.9E-2</v>
      </c>
      <c r="Q49" s="568">
        <f>IF(Ofwat_PC_Interventions!Q49&lt;&gt;"",Ofwat_PC_Interventions!Q49,IF(Company_PC_inputs!Q49&lt;&gt;"",Company_PC_inputs!Q49,""))</f>
        <v>0.36199999999999999</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7.9999999999999996E-6</v>
      </c>
      <c r="U49" s="567">
        <f>IF(Ofwat_PC_Interventions!U49&lt;&gt;"",Ofwat_PC_Interventions!U49,IF(Company_PC_inputs!U49&lt;&gt;"",Company_PC_inputs!U49,""))</f>
        <v>4.9099999999999998E-2</v>
      </c>
      <c r="V49" s="567">
        <f>IF(Ofwat_PC_Interventions!V49&lt;&gt;"",Ofwat_PC_Interventions!V49,IF(Company_PC_inputs!V49&lt;&gt;"",Company_PC_inputs!V49,""))</f>
        <v>1.25E-3</v>
      </c>
      <c r="W49" s="567">
        <f>IF(Ofwat_PC_Interventions!W49&lt;&gt;"",Ofwat_PC_Interventions!W49,IF(Company_PC_inputs!W49&lt;&gt;"",Company_PC_inputs!W49,""))</f>
        <v>0.90200000000000002</v>
      </c>
      <c r="X49" s="567">
        <f>IF(Ofwat_PC_Interventions!X49&lt;&gt;"",Ofwat_PC_Interventions!X49,IF(Company_PC_inputs!X49&lt;&gt;"",Company_PC_inputs!X49,""))</f>
        <v>6.8000000000000005E-2</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8">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-0.26700000000000002</v>
      </c>
      <c r="K50" s="567">
        <f>IF(Ofwat_PC_Interventions!K50&lt;&gt;"",Ofwat_PC_Interventions!K50,IF(Company_PC_inputs!K50&lt;&gt;"",Company_PC_inputs!K50,""))</f>
        <v>-0.19700000000000001</v>
      </c>
      <c r="L50" s="567">
        <f>IF(Ofwat_PC_Interventions!L50&lt;&gt;"",Ofwat_PC_Interventions!L50,IF(Company_PC_inputs!L50&lt;&gt;"",Company_PC_inputs!L50,""))</f>
        <v>-0.23499999999999999</v>
      </c>
      <c r="M50" s="567">
        <f>IF(Ofwat_PC_Interventions!M50&lt;&gt;"",Ofwat_PC_Interventions!M50,IF(Company_PC_inputs!M50&lt;&gt;"",Company_PC_inputs!M50,""))</f>
        <v>-0.254</v>
      </c>
      <c r="N50" s="567">
        <f>IF(Ofwat_PC_Interventions!N50&lt;&gt;"",Ofwat_PC_Interventions!N50,IF(Company_PC_inputs!N50&lt;&gt;"",Company_PC_inputs!N50,""))</f>
        <v>-0.16900000000000001</v>
      </c>
      <c r="O50" s="567">
        <f>IF(Ofwat_PC_Interventions!O50&lt;&gt;"",Ofwat_PC_Interventions!O50,IF(Company_PC_inputs!O50&lt;&gt;"",Company_PC_inputs!O50,""))</f>
        <v>-2.5000000000000001E-2</v>
      </c>
      <c r="P50" s="567">
        <f>IF(Ofwat_PC_Interventions!P50&lt;&gt;"",Ofwat_PC_Interventions!P50,IF(Company_PC_inputs!P50&lt;&gt;"",Company_PC_inputs!P50,""))</f>
        <v>-5.6000000000000001E-2</v>
      </c>
      <c r="Q50" s="568">
        <f>IF(Ofwat_PC_Interventions!Q50&lt;&gt;"",Ofwat_PC_Interventions!Q50,IF(Company_PC_inputs!Q50&lt;&gt;"",Company_PC_inputs!Q50,""))</f>
        <v>-0.54700000000000004</v>
      </c>
      <c r="R50" s="567">
        <f>IF(Ofwat_PC_Interventions!R50&lt;&gt;"",Ofwat_PC_Interventions!R50,IF(Company_PC_inputs!R50&lt;&gt;"",Company_PC_inputs!R50,""))</f>
        <v>-6.0000000000000002E-6</v>
      </c>
      <c r="S50" s="567">
        <f>IF(Ofwat_PC_Interventions!S50&lt;&gt;"",Ofwat_PC_Interventions!S50,IF(Company_PC_inputs!S50&lt;&gt;"",Company_PC_inputs!S50,""))</f>
        <v>-3.2231999999999997E-2</v>
      </c>
      <c r="T50" s="567">
        <f>IF(Ofwat_PC_Interventions!T50&lt;&gt;"",Ofwat_PC_Interventions!T50,IF(Company_PC_inputs!T50&lt;&gt;"",Company_PC_inputs!T50,""))</f>
        <v>-1.5E-5</v>
      </c>
      <c r="U50" s="567">
        <f>IF(Ofwat_PC_Interventions!U50&lt;&gt;"",Ofwat_PC_Interventions!U50,IF(Company_PC_inputs!U50&lt;&gt;"",Company_PC_inputs!U50,""))</f>
        <v>-9.8199999999999996E-2</v>
      </c>
      <c r="V50" s="567">
        <f>IF(Ofwat_PC_Interventions!V50&lt;&gt;"",Ofwat_PC_Interventions!V50,IF(Company_PC_inputs!V50&lt;&gt;"",Company_PC_inputs!V50,""))</f>
        <v>-2.5000000000000001E-3</v>
      </c>
      <c r="W50" s="567">
        <f>IF(Ofwat_PC_Interventions!W50&lt;&gt;"",Ofwat_PC_Interventions!W50,IF(Company_PC_inputs!W50&lt;&gt;"",Company_PC_inputs!W50,""))</f>
        <v>-1.083</v>
      </c>
      <c r="X50" s="567">
        <f>IF(Ofwat_PC_Interventions!X50&lt;&gt;"",Ofwat_PC_Interventions!X50,IF(Company_PC_inputs!X50&lt;&gt;"",Company_PC_inputs!X50,""))</f>
        <v>-0.129</v>
      </c>
      <c r="Y50" s="567">
        <f>IF(Ofwat_PC_Interventions!Y50&lt;&gt;"",Ofwat_PC_Interventions!Y50,IF(Company_PC_inputs!Y50&lt;&gt;"",Company_PC_inputs!Y50,""))</f>
        <v>-5.8200000000000002E-2</v>
      </c>
      <c r="Z50" s="567">
        <f>IF(Ofwat_PC_Interventions!Z50&lt;&gt;"",Ofwat_PC_Interventions!Z50,IF(Company_PC_inputs!Z50&lt;&gt;"",Company_PC_inputs!Z50,""))</f>
        <v>-6.7450000000000001E-3</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8">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8">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8">
      <c r="A53" s="444"/>
      <c r="B53" s="444"/>
      <c r="C53" s="444"/>
      <c r="D53" s="444"/>
      <c r="E53" s="444" t="s">
        <v>1096</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8">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8">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8">
      <c r="A56" s="444"/>
      <c r="B56" s="444"/>
      <c r="C56" s="444"/>
      <c r="D56" s="444"/>
      <c r="E56" s="444" t="s">
        <v>954</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8">
      <c r="A57" s="444"/>
      <c r="B57" s="444"/>
      <c r="C57" s="444"/>
      <c r="D57" s="444"/>
      <c r="E57" s="444" t="s">
        <v>955</v>
      </c>
      <c r="F57" s="444"/>
      <c r="G57" s="444" t="s">
        <v>1073</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8">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8">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8">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8">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8">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8">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8">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8">
      <c r="A65" s="444"/>
      <c r="B65" s="444"/>
      <c r="C65" s="444"/>
      <c r="D65" s="444"/>
      <c r="E65" s="444" t="s">
        <v>1104</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8">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8">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8">
      <c r="A68" s="444"/>
      <c r="B68" s="444"/>
      <c r="C68" s="444"/>
      <c r="D68" s="444"/>
      <c r="E68" s="444" t="s">
        <v>1106</v>
      </c>
      <c r="F68" s="444"/>
      <c r="G68" s="444" t="s">
        <v>1061</v>
      </c>
      <c r="H68" s="444"/>
      <c r="I68" s="444"/>
      <c r="J68" s="569">
        <f>IF(Ofwat_PC_Interventions!J68&lt;&gt;"",Ofwat_PC_Interventions!J68,IF(Company_PC_inputs!J68&lt;&gt;"",Company_PC_inputs!J68,""))</f>
        <v>0</v>
      </c>
      <c r="K68" s="569">
        <f>IF(Ofwat_PC_Interventions!K68&lt;&gt;"",Ofwat_PC_Interventions!K68,IF(Company_PC_inputs!K68&lt;&gt;"",Company_PC_inputs!K68,""))</f>
        <v>0</v>
      </c>
      <c r="L68" s="569">
        <f>IF(Ofwat_PC_Interventions!L68&lt;&gt;"",Ofwat_PC_Interventions!L68,IF(Company_PC_inputs!L68&lt;&gt;"",Company_PC_inputs!L68,""))</f>
        <v>0</v>
      </c>
      <c r="M68" s="569">
        <f>IF(Ofwat_PC_Interventions!M68&lt;&gt;"",Ofwat_PC_Interventions!M68,IF(Company_PC_inputs!M68&lt;&gt;"",Company_PC_inputs!M68,""))</f>
        <v>0</v>
      </c>
      <c r="N68" s="569">
        <f>IF(Ofwat_PC_Interventions!N68&lt;&gt;"",Ofwat_PC_Interventions!N68,IF(Company_PC_inputs!N68&lt;&gt;"",Company_PC_inputs!N68,""))</f>
        <v>0</v>
      </c>
      <c r="O68" s="569">
        <f>IF(Ofwat_PC_Interventions!O68&lt;&gt;"",Ofwat_PC_Interventions!O68,IF(Company_PC_inputs!O68&lt;&gt;"",Company_PC_inputs!O68,""))</f>
        <v>0</v>
      </c>
      <c r="P68" s="569">
        <f>IF(Ofwat_PC_Interventions!P68&lt;&gt;"",Ofwat_PC_Interventions!P68,IF(Company_PC_inputs!P68&lt;&gt;"",Company_PC_inputs!P68,""))</f>
        <v>0</v>
      </c>
      <c r="Q68" s="570">
        <f>IF(Ofwat_PC_Interventions!Q68&lt;&gt;"",Ofwat_PC_Interventions!Q68,IF(Company_PC_inputs!Q68&lt;&gt;"",Company_PC_inputs!Q68,""))</f>
        <v>0.10100000000000001</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8.1000000000000003E-2</v>
      </c>
      <c r="U68" s="569">
        <f>IF(Ofwat_PC_Interventions!U68&lt;&gt;"",Ofwat_PC_Interventions!U68,IF(Company_PC_inputs!U68&lt;&gt;"",Company_PC_inputs!U68,""))</f>
        <v>1</v>
      </c>
      <c r="V68" s="569">
        <f>IF(Ofwat_PC_Interventions!V68&lt;&gt;"",Ofwat_PC_Interventions!V68,IF(Company_PC_inputs!V68&lt;&gt;"",Company_PC_inputs!V68,""))</f>
        <v>0.5</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8">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f>IF(Ofwat_PC_Interventions!O69&lt;&gt;"",Ofwat_PC_Interventions!O69,IF(Company_PC_inputs!O69&lt;&gt;"",Company_PC_inputs!O69,""))</f>
        <v>1</v>
      </c>
      <c r="P69" s="569">
        <f>IF(Ofwat_PC_Interventions!P69&lt;&gt;"",Ofwat_PC_Interventions!P69,IF(Company_PC_inputs!P69&lt;&gt;"",Company_PC_inputs!P69,""))</f>
        <v>1</v>
      </c>
      <c r="Q69" s="570">
        <f>IF(Ofwat_PC_Interventions!Q69&lt;&gt;"",Ofwat_PC_Interventions!Q69,IF(Company_PC_inputs!Q69&lt;&gt;"",Company_PC_inputs!Q69,""))</f>
        <v>0.89900000000000002</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0.91900000000000004</v>
      </c>
      <c r="U69" s="569">
        <f>IF(Ofwat_PC_Interventions!U69&lt;&gt;"",Ofwat_PC_Interventions!U69,IF(Company_PC_inputs!U69&lt;&gt;"",Company_PC_inputs!U69,""))</f>
        <v>0</v>
      </c>
      <c r="V69" s="569">
        <f>IF(Ofwat_PC_Interventions!V69&lt;&gt;"",Ofwat_PC_Interventions!V69,IF(Company_PC_inputs!V69&lt;&gt;"",Company_PC_inputs!V69,""))</f>
        <v>0.5</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1</v>
      </c>
      <c r="Z69" s="569">
        <f>IF(Ofwat_PC_Interventions!Z69&lt;&gt;"",Ofwat_PC_Interventions!Z69,IF(Company_PC_inputs!Z69&lt;&gt;"",Company_PC_inputs!Z69,""))</f>
        <v>0</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8">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8">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8">
      <c r="A72" s="444"/>
      <c r="B72" s="444"/>
      <c r="C72" s="444"/>
      <c r="D72" s="444"/>
      <c r="E72" s="444" t="s">
        <v>1110</v>
      </c>
      <c r="F72" s="444"/>
      <c r="G72" s="444" t="s">
        <v>1061</v>
      </c>
      <c r="H72" s="444"/>
      <c r="I72" s="444"/>
      <c r="J72" s="569">
        <f>IF(Ofwat_PC_Interventions!J72&lt;&gt;"",Ofwat_PC_Interventions!J72,IF(Company_PC_inputs!J72&lt;&gt;"",Company_PC_inputs!J72,""))</f>
        <v>0</v>
      </c>
      <c r="K72" s="569">
        <f>IF(Ofwat_PC_Interventions!K72&lt;&gt;"",Ofwat_PC_Interventions!K72,IF(Company_PC_inputs!K72&lt;&gt;"",Company_PC_inputs!K72,""))</f>
        <v>0</v>
      </c>
      <c r="L72" s="569">
        <f>IF(Ofwat_PC_Interventions!L72&lt;&gt;"",Ofwat_PC_Interventions!L72,IF(Company_PC_inputs!L72&lt;&gt;"",Company_PC_inputs!L72,""))</f>
        <v>0</v>
      </c>
      <c r="M72" s="569">
        <f>IF(Ofwat_PC_Interventions!M72&lt;&gt;"",Ofwat_PC_Interventions!M72,IF(Company_PC_inputs!M72&lt;&gt;"",Company_PC_inputs!M72,""))</f>
        <v>0</v>
      </c>
      <c r="N72" s="569">
        <f>IF(Ofwat_PC_Interventions!N72&lt;&gt;"",Ofwat_PC_Interventions!N72,IF(Company_PC_inputs!N72&lt;&gt;"",Company_PC_inputs!N72,""))</f>
        <v>0</v>
      </c>
      <c r="O72" s="569">
        <f>IF(Ofwat_PC_Interventions!O72&lt;&gt;"",Ofwat_PC_Interventions!O72,IF(Company_PC_inputs!O72&lt;&gt;"",Company_PC_inputs!O72,""))</f>
        <v>0</v>
      </c>
      <c r="P72" s="569">
        <f>IF(Ofwat_PC_Interventions!P72&lt;&gt;"",Ofwat_PC_Interventions!P72,IF(Company_PC_inputs!P72&lt;&gt;"",Company_PC_inputs!P72,""))</f>
        <v>0</v>
      </c>
      <c r="Q72" s="570">
        <f>IF(Ofwat_PC_Interventions!Q72&lt;&gt;"",Ofwat_PC_Interventions!Q72,IF(Company_PC_inputs!Q72&lt;&gt;"",Company_PC_inputs!Q72,""))</f>
        <v>0</v>
      </c>
      <c r="R72" s="569">
        <f>IF(Ofwat_PC_Interventions!R72&lt;&gt;"",Ofwat_PC_Interventions!R72,IF(Company_PC_inputs!R72&lt;&gt;"",Company_PC_inputs!R72,""))</f>
        <v>1</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1</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8">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8">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8">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935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800-000000000000}">
      <formula1>J50&lt;0</formula1>
    </dataValidation>
    <dataValidation type="custom" allowBlank="1" showInputMessage="1" showErrorMessage="1" sqref="J49:BS49 J59:BS59 J63:BS63" xr:uid="{00000000-0002-0000-1800-000001000000}">
      <formula1>J49&gt;0</formula1>
    </dataValidation>
    <dataValidation type="list" allowBlank="1" showInputMessage="1" showErrorMessage="1" sqref="BD19:BS20 BD53:BS53" xr:uid="{00000000-0002-0000-1800-000002000000}">
      <formula1>"TRUE, FALSE"</formula1>
    </dataValidation>
    <dataValidation type="custom" allowBlank="1" showInputMessage="1" showErrorMessage="1" sqref="J27:BS29" xr:uid="{00000000-0002-0000-1800-000003000000}">
      <formula1>J27&lt;=0</formula1>
    </dataValidation>
    <dataValidation type="custom" allowBlank="1" showInputMessage="1" showErrorMessage="1" sqref="J23:BS23" xr:uid="{00000000-0002-0000-1800-000004000000}">
      <formula1>J23&gt;=0</formula1>
    </dataValidation>
    <dataValidation type="custom" allowBlank="1" showInputMessage="1" showErrorMessage="1" sqref="J24:BS25" xr:uid="{00000000-0002-0000-18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6000000}">
          <x14:formula1>
            <xm:f>Validation!$L$5:$L$6</xm:f>
          </x14:formula1>
          <xm:sqref>BD65:BS65</xm:sqref>
        </x14:dataValidation>
        <x14:dataValidation type="list" allowBlank="1" showInputMessage="1" showErrorMessage="1" xr:uid="{00000000-0002-0000-1800-000007000000}">
          <x14:formula1>
            <xm:f>Validation!$I$4:$I$7</xm:f>
          </x14:formula1>
          <xm:sqref>J33:BS33</xm:sqref>
        </x14:dataValidation>
        <x14:dataValidation type="list" allowBlank="1" showInputMessage="1" showErrorMessage="1" xr:uid="{00000000-0002-0000-1800-000008000000}">
          <x14:formula1>
            <xm:f>Validation!$J$4:$J$7</xm:f>
          </x14:formula1>
          <xm:sqref>J34:BS34</xm:sqref>
        </x14:dataValidation>
        <x14:dataValidation type="list" allowBlank="1" showInputMessage="1" showErrorMessage="1" xr:uid="{00000000-0002-0000-1800-000009000000}">
          <x14:formula1>
            <xm:f>Validation!$L$4:$L$7</xm:f>
          </x14:formula1>
          <xm:sqref>BD36:BS36</xm:sqref>
        </x14:dataValidation>
        <x14:dataValidation type="list" allowBlank="1" showInputMessage="1" showErrorMessage="1" xr:uid="{00000000-0002-0000-1800-00000A000000}">
          <x14:formula1>
            <xm:f>Validation!$M$4:$M$7</xm:f>
          </x14:formula1>
          <xm:sqref>J38:BS38</xm:sqref>
        </x14:dataValidation>
        <x14:dataValidation type="list" allowBlank="1" showInputMessage="1" showErrorMessage="1" xr:uid="{00000000-0002-0000-18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76.398437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25" customFormat="1" ht="45">
      <c r="A1" s="438" t="str">
        <f ca="1" xml:space="preserve"> RIGHT(CELL("filename", $A$1), LEN(CELL("filename", $A$1)) - SEARCH("]", CELL("filename", $A$1)))</f>
        <v>Performance</v>
      </c>
      <c r="B1" s="438"/>
      <c r="C1" s="198"/>
      <c r="D1" s="198"/>
      <c r="E1" s="198"/>
      <c r="F1" s="198"/>
      <c r="G1" s="198"/>
      <c r="H1" s="198"/>
      <c r="I1" s="198"/>
      <c r="J1" s="438" t="str">
        <f>InpCompany!F5</f>
        <v>South Staffs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8">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8">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8">
      <c r="A5" s="574"/>
      <c r="B5" s="574"/>
      <c r="C5" s="574"/>
      <c r="D5" s="574"/>
      <c r="E5" s="574" t="str">
        <f>InpPerformance!E16</f>
        <v>Performance commitment reference</v>
      </c>
      <c r="F5" s="574"/>
      <c r="G5" s="574" t="str">
        <f>InpPerformance!G16</f>
        <v>Text</v>
      </c>
      <c r="H5" s="575"/>
      <c r="I5" s="575"/>
      <c r="J5" s="576" t="str">
        <f>IF(InpPerformance!J16&lt;&gt;"",InpPerformance!J16,"")</f>
        <v>PR19SSC_D1</v>
      </c>
      <c r="K5" s="576" t="str">
        <f>IF(InpPerformance!K16&lt;&gt;"",InpPerformance!K16,"")</f>
        <v>PR19SSC_D2</v>
      </c>
      <c r="L5" s="576" t="str">
        <f>IF(InpPerformance!L16&lt;&gt;"",InpPerformance!L16,"")</f>
        <v>PR19SSC_C1</v>
      </c>
      <c r="M5" s="576" t="str">
        <f>IF(InpPerformance!M16&lt;&gt;"",InpPerformance!M16,"")</f>
        <v>PR19SSC_C2</v>
      </c>
      <c r="N5" s="576" t="str">
        <f>IF(InpPerformance!N16&lt;&gt;"",InpPerformance!N16,"")</f>
        <v>PR19SSC_C3</v>
      </c>
      <c r="O5" s="576" t="str">
        <f>IF(InpPerformance!O16&lt;&gt;"",InpPerformance!O16,"")</f>
        <v>PR19SSC_C4</v>
      </c>
      <c r="P5" s="576" t="str">
        <f>IF(InpPerformance!P16&lt;&gt;"",InpPerformance!P16,"")</f>
        <v>PR19SSC_D4</v>
      </c>
      <c r="Q5" s="577" t="str">
        <f>IF(InpPerformance!Q16&lt;&gt;"",InpPerformance!Q16,"")</f>
        <v>PR19SSC_D5</v>
      </c>
      <c r="R5" s="576" t="str">
        <f>IF(InpPerformance!R16&lt;&gt;"",InpPerformance!R16,"")</f>
        <v>PR19SSC_B1</v>
      </c>
      <c r="S5" s="576" t="str">
        <f>IF(InpPerformance!S16&lt;&gt;"",InpPerformance!S16,"")</f>
        <v>PR19SSC_B2</v>
      </c>
      <c r="T5" s="576" t="str">
        <f>IF(InpPerformance!T16&lt;&gt;"",InpPerformance!T16,"")</f>
        <v>PR19SSC_B3</v>
      </c>
      <c r="U5" s="576" t="str">
        <f>IF(InpPerformance!U16&lt;&gt;"",InpPerformance!U16,"")</f>
        <v>PR19SSC_C5</v>
      </c>
      <c r="V5" s="576" t="str">
        <f>IF(InpPerformance!V16&lt;&gt;"",InpPerformance!V16,"")</f>
        <v>PR19SSC_C7</v>
      </c>
      <c r="W5" s="576" t="str">
        <f>IF(InpPerformance!W16&lt;&gt;"",InpPerformance!W16,"")</f>
        <v>PR19SSC_D6</v>
      </c>
      <c r="X5" s="576" t="str">
        <f>IF(InpPerformance!X16&lt;&gt;"",InpPerformance!X16,"")</f>
        <v>PR19SSC_D7</v>
      </c>
      <c r="Y5" s="576" t="str">
        <f>IF(InpPerformance!Y16&lt;&gt;"",InpPerformance!Y16,"")</f>
        <v>PR19SSC_D8</v>
      </c>
      <c r="Z5" s="576" t="str">
        <f>IF(InpPerformance!Z16&lt;&gt;"",InpPerformance!Z16,"")</f>
        <v>PR19SSC_E2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South Staffs region</v>
      </c>
      <c r="M6" s="576" t="str">
        <f>IF(InpPerformance!M17&lt;&gt;"",InpPerformance!M17,"")</f>
        <v>Leakage Cambridge region</v>
      </c>
      <c r="N6" s="576" t="str">
        <f>IF(InpPerformance!N17&lt;&gt;"",InpPerformance!N17,"")</f>
        <v>Per capita consumption South Staffs region</v>
      </c>
      <c r="O6" s="576" t="str">
        <f>IF(InpPerformance!O17&lt;&gt;"",InpPerformance!O17,"")</f>
        <v>Per capita consumption Cambridge region</v>
      </c>
      <c r="P6" s="576" t="str">
        <f>IF(InpPerformance!P17&lt;&gt;"",InpPerformance!P17,"")</f>
        <v>Mains repairs</v>
      </c>
      <c r="Q6" s="577" t="str">
        <f>IF(InpPerformance!Q17&lt;&gt;"",InpPerformance!Q17,"")</f>
        <v>Unplanned outage</v>
      </c>
      <c r="R6" s="576" t="str">
        <f>IF(InpPerformance!R17&lt;&gt;"",InpPerformance!R17,"")</f>
        <v>Financial support</v>
      </c>
      <c r="S6" s="576" t="str">
        <f>IF(InpPerformance!S17&lt;&gt;"",InpPerformance!S17,"")</f>
        <v>Extra Care assistance</v>
      </c>
      <c r="T6" s="576" t="str">
        <f>IF(InpPerformance!T17&lt;&gt;"",InpPerformance!T17,"")</f>
        <v>Education activity</v>
      </c>
      <c r="U6" s="576" t="str">
        <f>IF(InpPerformance!U17&lt;&gt;"",InpPerformance!U17,"")</f>
        <v>Environmentally sensitive water abstraction</v>
      </c>
      <c r="V6" s="576" t="str">
        <f>IF(InpPerformance!V17&lt;&gt;"",InpPerformance!V17,"")</f>
        <v>Protecting wildlife, plants, habitats and catchments</v>
      </c>
      <c r="W6" s="576" t="str">
        <f>IF(InpPerformance!W17&lt;&gt;"",InpPerformance!W17,"")</f>
        <v>Customer contact about water quality</v>
      </c>
      <c r="X6" s="576" t="str">
        <f>IF(InpPerformance!X17&lt;&gt;"",InpPerformance!X17,"")</f>
        <v>Visible leak repair time</v>
      </c>
      <c r="Y6" s="576" t="str">
        <f>IF(InpPerformance!Y17&lt;&gt;"",InpPerformance!Y17,"")</f>
        <v>Water treatment works delivery programme</v>
      </c>
      <c r="Z6" s="576" t="str">
        <f>IF(InpPerformance!Z17&lt;&gt;"",InpPerformance!Z17,"")</f>
        <v>Residential void properties and gap sites</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8">
      <c r="A7" s="574"/>
      <c r="B7" s="574"/>
      <c r="C7" s="574"/>
      <c r="D7" s="574"/>
      <c r="E7" s="574" t="str">
        <f>InpPerformance!E7</f>
        <v>Actual performance</v>
      </c>
      <c r="F7" s="574"/>
      <c r="G7" s="574" t="str">
        <f>InpPerformance!G7</f>
        <v>Performance commitment unit</v>
      </c>
      <c r="H7" s="574"/>
      <c r="I7" s="574"/>
      <c r="J7" s="579">
        <f>IF(InpPerformance!J7&lt;&gt;"",InpPerformance!J7,"")</f>
        <v>1.2</v>
      </c>
      <c r="K7" s="580">
        <f>IF(InpPerformance!K7&lt;&gt;"",InpPerformance!K7,"")</f>
        <v>2.5347222222222221E-3</v>
      </c>
      <c r="L7" s="579">
        <f>IF(InpPerformance!L7&lt;&gt;"",InpPerformance!L7,"")</f>
        <v>14.993122420907845</v>
      </c>
      <c r="M7" s="579">
        <f>IF(InpPerformance!M7&lt;&gt;"",InpPerformance!M7,"")</f>
        <v>14.743589743589736</v>
      </c>
      <c r="N7" s="579">
        <f>IF(InpPerformance!N7&lt;&gt;"",InpPerformance!N7,"")</f>
        <v>-10.116731517509736</v>
      </c>
      <c r="O7" s="579">
        <f>IF(InpPerformance!O7&lt;&gt;"",InpPerformance!O7,"")</f>
        <v>3.3382789317507378</v>
      </c>
      <c r="P7" s="579">
        <f>IF(InpPerformance!P7&lt;&gt;"",InpPerformance!P7,"")</f>
        <v>122.4</v>
      </c>
      <c r="Q7" s="581">
        <f>IF(InpPerformance!Q7&lt;&gt;"",InpPerformance!Q7,"")</f>
        <v>1.47</v>
      </c>
      <c r="R7" s="579">
        <f>IF(InpPerformance!R7&lt;&gt;"",InpPerformance!R7,"")</f>
        <v>58000</v>
      </c>
      <c r="S7" s="579">
        <f>IF(InpPerformance!S7&lt;&gt;"",InpPerformance!S7,"")</f>
        <v>5</v>
      </c>
      <c r="T7" s="579">
        <f>IF(InpPerformance!T7&lt;&gt;"",InpPerformance!T7,"")</f>
        <v>6000</v>
      </c>
      <c r="U7" s="579">
        <f>IF(InpPerformance!U7&lt;&gt;"",InpPerformance!U7,"")</f>
        <v>0</v>
      </c>
      <c r="V7" s="579">
        <f>IF(InpPerformance!V7&lt;&gt;"",InpPerformance!V7,"")</f>
        <v>783.3</v>
      </c>
      <c r="W7" s="579">
        <f>IF(InpPerformance!W7&lt;&gt;"",InpPerformance!W7,"")</f>
        <v>0.6</v>
      </c>
      <c r="X7" s="579">
        <f>IF(InpPerformance!X7&lt;&gt;"",InpPerformance!X7,"")</f>
        <v>4</v>
      </c>
      <c r="Y7" s="579">
        <f>IF(InpPerformance!Y7&lt;&gt;"",InpPerformance!Y7,"")</f>
        <v>100</v>
      </c>
      <c r="Z7" s="579">
        <f>IF(InpPerformance!Z7&lt;&gt;"",InpPerformance!Z7,"")</f>
        <v>100</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8">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8">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xml:space="preserve">%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number</v>
      </c>
      <c r="V9" s="582" t="str">
        <f>IF(InpPerformance!V31&lt;&gt;"",InpPerformance!V31,"")</f>
        <v>nr</v>
      </c>
      <c r="W9" s="582" t="str">
        <f>IF(InpPerformance!W31&lt;&gt;"",InpPerformance!W31,"")</f>
        <v>nr</v>
      </c>
      <c r="X9" s="582" t="str">
        <f>IF(InpPerformance!X31&lt;&gt;"",InpPerformance!X31,"")</f>
        <v>text</v>
      </c>
      <c r="Y9" s="582" t="str">
        <f>IF(InpPerformance!Y31&lt;&gt;"",InpPerformance!Y31,"")</f>
        <v>%</v>
      </c>
      <c r="Z9" s="582" t="str">
        <f>IF(InpPerformance!Z31&lt;&gt;"",InpPerformance!Z31,"")</f>
        <v>%</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8">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Up</v>
      </c>
      <c r="P10" s="582" t="str">
        <f>IF(InpPerformance!P38&lt;&gt;"",InpPerformance!P38,"")</f>
        <v>Down</v>
      </c>
      <c r="Q10" s="583" t="str">
        <f>IF(InpPerformance!Q38&lt;&gt;"",InpPerformance!Q38,"")</f>
        <v>Down</v>
      </c>
      <c r="R10" s="582" t="str">
        <f>IF(InpPerformance!R38&lt;&gt;"",InpPerformance!R38,"")</f>
        <v>Up</v>
      </c>
      <c r="S10" s="582" t="str">
        <f>IF(InpPerformance!S38&lt;&gt;"",InpPerformance!S38,"")</f>
        <v>Up</v>
      </c>
      <c r="T10" s="582" t="str">
        <f>IF(InpPerformance!T38&lt;&gt;"",InpPerformance!T38,"")</f>
        <v>Up</v>
      </c>
      <c r="U10" s="582" t="str">
        <f>IF(InpPerformance!U38&lt;&gt;"",InpPerformance!U38,"")</f>
        <v>Down</v>
      </c>
      <c r="V10" s="582" t="str">
        <f>IF(InpPerformance!V38&lt;&gt;"",InpPerformance!V38,"")</f>
        <v>Up</v>
      </c>
      <c r="W10" s="582" t="str">
        <f>IF(InpPerformance!W38&lt;&gt;"",InpPerformance!W38,"")</f>
        <v>Down</v>
      </c>
      <c r="X10" s="582" t="str">
        <f>IF(InpPerformance!X38&lt;&gt;"",InpPerformance!X38,"")</f>
        <v>Down</v>
      </c>
      <c r="Y10" s="582" t="str">
        <f>IF(InpPerformance!Y38&lt;&gt;"",InpPerformance!Y38,"")</f>
        <v>Up</v>
      </c>
      <c r="Z10" s="582" t="str">
        <f>IF(InpPerformance!Z38&lt;&gt;"",InpPerformance!Z38,"")</f>
        <v>Up</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8">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f>IF(InpPerformance!O40&lt;&gt;"",InpPerformance!O40,"")</f>
        <v>1</v>
      </c>
      <c r="P11" s="582">
        <f>IF(InpPerformance!P40&lt;&gt;"",InpPerformance!P40,"")</f>
        <v>1</v>
      </c>
      <c r="Q11" s="583">
        <f>IF(InpPerformance!Q40&lt;&gt;"",InpPerformance!Q40,"")</f>
        <v>2</v>
      </c>
      <c r="R11" s="582">
        <f>IF(InpPerformance!R40&lt;&gt;"",InpPerformance!R40,"")</f>
        <v>0</v>
      </c>
      <c r="S11" s="582">
        <f>IF(InpPerformance!S40&lt;&gt;"",InpPerformance!S40,"")</f>
        <v>1</v>
      </c>
      <c r="T11" s="582">
        <f>IF(InpPerformance!T40&lt;&gt;"",InpPerformance!T40,"")</f>
        <v>0</v>
      </c>
      <c r="U11" s="582">
        <f>IF(InpPerformance!U40&lt;&gt;"",InpPerformance!U40,"")</f>
        <v>2</v>
      </c>
      <c r="V11" s="582">
        <f>IF(InpPerformance!V40&lt;&gt;"",InpPerformance!V40,"")</f>
        <v>1</v>
      </c>
      <c r="W11" s="582">
        <f>IF(InpPerformance!W40&lt;&gt;"",InpPerformance!W40,"")</f>
        <v>2</v>
      </c>
      <c r="X11" s="582">
        <f>IF(InpPerformance!X40&lt;&gt;"",InpPerformance!X40,"")</f>
        <v>0</v>
      </c>
      <c r="Y11" s="582">
        <f>IF(InpPerformance!Y40&lt;&gt;"",InpPerformance!Y40,"")</f>
        <v>1</v>
      </c>
      <c r="Z11" s="582">
        <f>IF(InpPerformance!Z40&lt;&gt;"",InpPerformance!Z40,"")</f>
        <v>0</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8">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8">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8">
      <c r="A14" s="444"/>
      <c r="B14" s="444"/>
      <c r="C14" s="444"/>
      <c r="D14" s="444"/>
      <c r="E14" s="444" t="s">
        <v>1225</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8">
      <c r="A15" s="444"/>
      <c r="B15" s="444"/>
      <c r="C15" s="444"/>
      <c r="D15" s="444"/>
      <c r="E15" s="444" t="s">
        <v>1226</v>
      </c>
      <c r="F15" s="444"/>
      <c r="G15" s="444" t="s">
        <v>425</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8">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8">
      <c r="A17" s="444"/>
      <c r="B17" s="444"/>
      <c r="C17" s="444"/>
      <c r="D17" s="444"/>
      <c r="E17" s="444" t="s">
        <v>1227</v>
      </c>
      <c r="F17" s="444"/>
      <c r="G17" s="444" t="str">
        <f>G7</f>
        <v>Performance commitment unit</v>
      </c>
      <c r="H17" s="444"/>
      <c r="I17" s="444"/>
      <c r="J17" s="584">
        <f>IF(AND(ISNUMBER(J7),J15=FALSE,J16=FALSE),ROUND(J7,J11),J7)</f>
        <v>1.2</v>
      </c>
      <c r="K17" s="483">
        <f t="shared" ref="K17:BC17" si="2">IF(AND(ISNUMBER(K7),K15=FALSE,K16=FALSE),ROUND(K7,K11),K7)</f>
        <v>2.5347222222222221E-3</v>
      </c>
      <c r="L17" s="483">
        <f t="shared" si="2"/>
        <v>14.993122420907845</v>
      </c>
      <c r="M17" s="483">
        <f t="shared" si="2"/>
        <v>14.743589743589736</v>
      </c>
      <c r="N17" s="483">
        <f t="shared" si="2"/>
        <v>-10.116731517509736</v>
      </c>
      <c r="O17" s="483">
        <f t="shared" si="2"/>
        <v>3.3382789317507378</v>
      </c>
      <c r="P17" s="483">
        <f t="shared" si="2"/>
        <v>122.4</v>
      </c>
      <c r="Q17" s="484">
        <f t="shared" si="2"/>
        <v>1.47</v>
      </c>
      <c r="R17" s="483">
        <f t="shared" si="2"/>
        <v>58000</v>
      </c>
      <c r="S17" s="483">
        <f t="shared" si="2"/>
        <v>5</v>
      </c>
      <c r="T17" s="483">
        <f t="shared" si="2"/>
        <v>6000</v>
      </c>
      <c r="U17" s="483">
        <f t="shared" si="2"/>
        <v>0</v>
      </c>
      <c r="V17" s="483">
        <f t="shared" si="2"/>
        <v>783.3</v>
      </c>
      <c r="W17" s="483">
        <f t="shared" si="2"/>
        <v>0.6</v>
      </c>
      <c r="X17" s="584">
        <f t="shared" si="2"/>
        <v>4</v>
      </c>
      <c r="Y17" s="483">
        <f t="shared" si="2"/>
        <v>100</v>
      </c>
      <c r="Z17" s="483">
        <f t="shared" si="2"/>
        <v>100</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8">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8">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8">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1.7592592592592592E-3</v>
      </c>
      <c r="L20" s="579">
        <f>IF(InpPerformance!L$43&lt;&gt;"",InpPerformance!L$43,"")</f>
        <v>19.2</v>
      </c>
      <c r="M20" s="579">
        <f>IF(InpPerformance!M$43&lt;&gt;"",InpPerformance!M$43,"")</f>
        <v>19.5</v>
      </c>
      <c r="N20" s="579" t="str">
        <f>IF(InpPerformance!N$43&lt;&gt;"",InpPerformance!N$43,"")</f>
        <v/>
      </c>
      <c r="O20" s="579" t="str">
        <f>IF(InpPerformance!O$43&lt;&gt;"",InpPerformance!O$43,"")</f>
        <v/>
      </c>
      <c r="P20" s="579">
        <f>IF(InpPerformance!P$43&lt;&gt;"",InpPerformance!P$43,"")</f>
        <v>104.4</v>
      </c>
      <c r="Q20" s="581">
        <f>IF(InpPerformance!Q$43&lt;&gt;"",InpPerformance!Q$43,"")</f>
        <v>1.64</v>
      </c>
      <c r="R20" s="579" t="str">
        <f>IF(InpPerformance!R$43&lt;&gt;"",InpPerformance!R$43,"")</f>
        <v/>
      </c>
      <c r="S20" s="579" t="str">
        <f>IF(InpPerformance!S$43&lt;&gt;"",InpPerformance!S$43,"")</f>
        <v/>
      </c>
      <c r="T20" s="579">
        <f>IF(InpPerformance!T$43&lt;&gt;"",InpPerformance!T$43,"")</f>
        <v>7000</v>
      </c>
      <c r="U20" s="579" t="str">
        <f>IF(InpPerformance!U$43&lt;&gt;"",InpPerformance!U$43,"")</f>
        <v/>
      </c>
      <c r="V20" s="579">
        <f>IF(InpPerformance!V$43&lt;&gt;"",InpPerformance!V$43,"")</f>
        <v>725</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8">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8">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15</v>
      </c>
      <c r="M22" s="579">
        <f>IF(InpPerformance!M$45&lt;&gt;"",InpPerformance!M$45,"")</f>
        <v>13.8</v>
      </c>
      <c r="N22" s="579">
        <f>IF(InpPerformance!N$45&lt;&gt;"",InpPerformance!N$45,"")</f>
        <v>1</v>
      </c>
      <c r="O22" s="579">
        <f>IF(InpPerformance!O$45&lt;&gt;"",InpPerformance!O$45,"")</f>
        <v>6.3</v>
      </c>
      <c r="P22" s="579">
        <f>IF(InpPerformance!P$45&lt;&gt;"",InpPerformance!P$45,"")</f>
        <v>122.4</v>
      </c>
      <c r="Q22" s="581">
        <f>IF(InpPerformance!Q$45&lt;&gt;"",InpPerformance!Q$45,"")</f>
        <v>2.34</v>
      </c>
      <c r="R22" s="579">
        <f>IF(InpPerformance!R$45&lt;&gt;"",InpPerformance!R$45,"")</f>
        <v>40000</v>
      </c>
      <c r="S22" s="579">
        <f>IF(InpPerformance!S$45&lt;&gt;"",InpPerformance!S$45,"")</f>
        <v>5</v>
      </c>
      <c r="T22" s="579">
        <f>IF(InpPerformance!T$45&lt;&gt;"",InpPerformance!T$45,"")</f>
        <v>6000</v>
      </c>
      <c r="U22" s="579">
        <f>IF(InpPerformance!U$45&lt;&gt;"",InpPerformance!U$45,"")</f>
        <v>0</v>
      </c>
      <c r="V22" s="579">
        <f>IF(InpPerformance!V$45&lt;&gt;"",InpPerformance!V$45,"")</f>
        <v>690</v>
      </c>
      <c r="W22" s="579">
        <f>IF(InpPerformance!W$45&lt;&gt;"",InpPerformance!W$45,"")</f>
        <v>0.76</v>
      </c>
      <c r="X22" s="579">
        <f>IF(InpPerformance!X$45&lt;&gt;"",InpPerformance!X$45,"")</f>
        <v>4</v>
      </c>
      <c r="Y22" s="579">
        <f>IF(InpPerformance!Y$45&lt;&gt;"",InpPerformance!Y$45,"")</f>
        <v>100</v>
      </c>
      <c r="Z22" s="579">
        <f>IF(InpPerformance!Z$45&lt;&gt;"",InpPerformance!Z$45,"")</f>
        <v>100</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8">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8">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8.6805555555555594E-3</v>
      </c>
      <c r="L24" s="579">
        <f>IF(InpPerformance!L$47&lt;&gt;"",InpPerformance!L$47,"")</f>
        <v>-5</v>
      </c>
      <c r="M24" s="579">
        <f>IF(InpPerformance!M$47&lt;&gt;"",InpPerformance!M$47,"")</f>
        <v>-5</v>
      </c>
      <c r="N24" s="579" t="str">
        <f>IF(InpPerformance!N$47&lt;&gt;"",InpPerformance!N$47,"")</f>
        <v/>
      </c>
      <c r="O24" s="579" t="str">
        <f>IF(InpPerformance!O$47&lt;&gt;"",InpPerformance!O$47,"")</f>
        <v/>
      </c>
      <c r="P24" s="579">
        <f>IF(InpPerformance!P$47&lt;&gt;"",InpPerformance!P$47,"")</f>
        <v>150</v>
      </c>
      <c r="Q24" s="581">
        <f>IF(InpPerformance!Q$47&lt;&gt;"",InpPerformance!Q$47,"")</f>
        <v>4.68</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8">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0.19700000000000001</v>
      </c>
      <c r="L26" s="587">
        <f>IF(InpPerformance!L$49&lt;&gt;"",InpPerformance!L$49,"")</f>
        <v>0.19600000000000001</v>
      </c>
      <c r="M26" s="587">
        <f>IF(InpPerformance!M$49&lt;&gt;"",InpPerformance!M$49,"")</f>
        <v>0.21099999999999999</v>
      </c>
      <c r="N26" s="587">
        <f>IF(InpPerformance!N$49&lt;&gt;"",InpPerformance!N$49,"")</f>
        <v>0.125</v>
      </c>
      <c r="O26" s="587">
        <f>IF(InpPerformance!O$49&lt;&gt;"",InpPerformance!O$49,"")</f>
        <v>2.1000000000000001E-2</v>
      </c>
      <c r="P26" s="587">
        <f>IF(InpPerformance!P$49&lt;&gt;"",InpPerformance!P$49,"")</f>
        <v>1.9E-2</v>
      </c>
      <c r="Q26" s="588">
        <f>IF(InpPerformance!Q$49&lt;&gt;"",InpPerformance!Q$49,"")</f>
        <v>0.36199999999999999</v>
      </c>
      <c r="R26" s="587" t="str">
        <f>IF(InpPerformance!R$49&lt;&gt;"",InpPerformance!R$49,"")</f>
        <v/>
      </c>
      <c r="S26" s="587" t="str">
        <f>IF(InpPerformance!S$49&lt;&gt;"",InpPerformance!S$49,"")</f>
        <v/>
      </c>
      <c r="T26" s="587">
        <f>IF(InpPerformance!T$49&lt;&gt;"",InpPerformance!T$49,"")</f>
        <v>7.9999999999999996E-6</v>
      </c>
      <c r="U26" s="587">
        <f>IF(InpPerformance!U$49&lt;&gt;"",InpPerformance!U$49,"")</f>
        <v>4.9099999999999998E-2</v>
      </c>
      <c r="V26" s="587">
        <f>IF(InpPerformance!V$49&lt;&gt;"",InpPerformance!V$49,"")</f>
        <v>1.25E-3</v>
      </c>
      <c r="W26" s="587">
        <f>IF(InpPerformance!W$49&lt;&gt;"",InpPerformance!W$49,"")</f>
        <v>0.90200000000000002</v>
      </c>
      <c r="X26" s="587">
        <f>IF(InpPerformance!X$49&lt;&gt;"",InpPerformance!X$49,"")</f>
        <v>6.8000000000000005E-2</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-0.26700000000000002</v>
      </c>
      <c r="K27" s="587">
        <f>IF(InpPerformance!K$50&lt;&gt;"",InpPerformance!K$50,"")</f>
        <v>-0.19700000000000001</v>
      </c>
      <c r="L27" s="587">
        <f>IF(InpPerformance!L$50&lt;&gt;"",InpPerformance!L$50,"")</f>
        <v>-0.23499999999999999</v>
      </c>
      <c r="M27" s="587">
        <f>IF(InpPerformance!M$50&lt;&gt;"",InpPerformance!M$50,"")</f>
        <v>-0.254</v>
      </c>
      <c r="N27" s="587">
        <f>IF(InpPerformance!N$50&lt;&gt;"",InpPerformance!N$50,"")</f>
        <v>-0.16900000000000001</v>
      </c>
      <c r="O27" s="587">
        <f>IF(InpPerformance!O$50&lt;&gt;"",InpPerformance!O$50,"")</f>
        <v>-2.5000000000000001E-2</v>
      </c>
      <c r="P27" s="587">
        <f>IF(InpPerformance!P$50&lt;&gt;"",InpPerformance!P$50,"")</f>
        <v>-5.6000000000000001E-2</v>
      </c>
      <c r="Q27" s="588">
        <f>IF(InpPerformance!Q$50&lt;&gt;"",InpPerformance!Q$50,"")</f>
        <v>-0.54700000000000004</v>
      </c>
      <c r="R27" s="587">
        <f>IF(InpPerformance!R$50&lt;&gt;"",InpPerformance!R$50,"")</f>
        <v>-6.0000000000000002E-6</v>
      </c>
      <c r="S27" s="587">
        <f>IF(InpPerformance!S$50&lt;&gt;"",InpPerformance!S$50,"")</f>
        <v>-3.2231999999999997E-2</v>
      </c>
      <c r="T27" s="587">
        <f>IF(InpPerformance!T$50&lt;&gt;"",InpPerformance!T$50,"")</f>
        <v>-1.5E-5</v>
      </c>
      <c r="U27" s="587">
        <f>IF(InpPerformance!U$50&lt;&gt;"",InpPerformance!U$50,"")</f>
        <v>-9.8199999999999996E-2</v>
      </c>
      <c r="V27" s="587">
        <f>IF(InpPerformance!V$50&lt;&gt;"",InpPerformance!V$50,"")</f>
        <v>-2.5000000000000001E-3</v>
      </c>
      <c r="W27" s="587">
        <f>IF(InpPerformance!W$50&lt;&gt;"",InpPerformance!W$50,"")</f>
        <v>-1.083</v>
      </c>
      <c r="X27" s="587">
        <f>IF(InpPerformance!X$50&lt;&gt;"",InpPerformance!X$50,"")</f>
        <v>-0.129</v>
      </c>
      <c r="Y27" s="587">
        <f>IF(InpPerformance!Y$50&lt;&gt;"",InpPerformance!Y$50,"")</f>
        <v>-5.8200000000000002E-2</v>
      </c>
      <c r="Z27" s="587">
        <f>IF(InpPerformance!Z$50&lt;&gt;"",InpPerformance!Z$50,"")</f>
        <v>-6.7450000000000001E-3</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8">
      <c r="A29" s="444"/>
      <c r="B29" s="444"/>
      <c r="C29" s="454" t="s">
        <v>1228</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8">
      <c r="A30" s="444"/>
      <c r="B30" s="444"/>
      <c r="C30" s="444"/>
      <c r="D30" s="444"/>
      <c r="E30" s="444" t="s">
        <v>1229</v>
      </c>
      <c r="F30" s="444"/>
      <c r="G30" s="444" t="s">
        <v>425</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1</v>
      </c>
      <c r="P30" s="514" t="b">
        <f t="shared" si="4"/>
        <v>1</v>
      </c>
      <c r="Q30" s="515" t="b">
        <f t="shared" si="4"/>
        <v>1</v>
      </c>
      <c r="R30" s="514" t="b">
        <f t="shared" si="4"/>
        <v>0</v>
      </c>
      <c r="S30" s="514" t="b">
        <f t="shared" si="4"/>
        <v>0</v>
      </c>
      <c r="T30" s="514" t="b">
        <f t="shared" si="4"/>
        <v>1</v>
      </c>
      <c r="U30" s="514" t="b">
        <f t="shared" si="4"/>
        <v>1</v>
      </c>
      <c r="V30" s="514" t="b">
        <f t="shared" si="4"/>
        <v>1</v>
      </c>
      <c r="W30" s="514" t="b">
        <f t="shared" si="4"/>
        <v>1</v>
      </c>
      <c r="X30" s="514" t="b">
        <f t="shared" si="4"/>
        <v>1</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8">
      <c r="A31" s="444"/>
      <c r="B31" s="444"/>
      <c r="C31" s="444"/>
      <c r="D31" s="444"/>
      <c r="E31" s="444" t="s">
        <v>1230</v>
      </c>
      <c r="F31" s="444"/>
      <c r="G31" s="444" t="s">
        <v>425</v>
      </c>
      <c r="H31" s="444"/>
      <c r="I31" s="444"/>
      <c r="J31" s="506" t="b">
        <f>IF(J30=TRUE,IF(((J$17-J$22)*J$14)&gt;0,TRUE,FALSE),FALSE)</f>
        <v>0</v>
      </c>
      <c r="K31" s="502" t="b">
        <f t="shared" ref="K31:BC31" si="5">IF(K30=TRUE,IF(((K$17-K$22)*K$14)&gt;0,TRUE,FALSE),FALSE)</f>
        <v>1</v>
      </c>
      <c r="L31" s="502" t="b">
        <f t="shared" si="5"/>
        <v>0</v>
      </c>
      <c r="M31" s="502" t="b">
        <f t="shared" si="5"/>
        <v>1</v>
      </c>
      <c r="N31" s="502" t="b">
        <f t="shared" si="5"/>
        <v>0</v>
      </c>
      <c r="O31" s="502" t="b">
        <f t="shared" si="5"/>
        <v>0</v>
      </c>
      <c r="P31" s="502" t="b">
        <f t="shared" si="5"/>
        <v>0</v>
      </c>
      <c r="Q31" s="503" t="b">
        <f t="shared" si="5"/>
        <v>1</v>
      </c>
      <c r="R31" s="502" t="b">
        <f t="shared" si="5"/>
        <v>0</v>
      </c>
      <c r="S31" s="502" t="b">
        <f t="shared" si="5"/>
        <v>0</v>
      </c>
      <c r="T31" s="502" t="b">
        <f t="shared" si="5"/>
        <v>0</v>
      </c>
      <c r="U31" s="502" t="b">
        <f t="shared" si="5"/>
        <v>0</v>
      </c>
      <c r="V31" s="502" t="b">
        <f t="shared" si="5"/>
        <v>1</v>
      </c>
      <c r="W31" s="502" t="b">
        <f t="shared" si="5"/>
        <v>1</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8">
      <c r="A32" s="444"/>
      <c r="B32" s="444"/>
      <c r="C32" s="444"/>
      <c r="D32" s="444"/>
      <c r="E32" s="444" t="s">
        <v>1231</v>
      </c>
      <c r="F32" s="444"/>
      <c r="G32" s="444" t="s">
        <v>425</v>
      </c>
      <c r="H32" s="444"/>
      <c r="I32" s="444"/>
      <c r="J32" s="502" t="b">
        <f>IF(J31=TRUE,IF(J21="",TRUE,ABS(J17-J22)&gt;ABS(J21-J22)),FALSE)</f>
        <v>0</v>
      </c>
      <c r="K32" s="502" t="b">
        <f t="shared" ref="K32:BS32" si="7">IF(K31=TRUE,IF(K21="",TRUE,ABS(K17-K22)&gt;ABS(K21-K22)),FALSE)</f>
        <v>1</v>
      </c>
      <c r="L32" s="502" t="b">
        <f t="shared" si="7"/>
        <v>0</v>
      </c>
      <c r="M32" s="502" t="b">
        <f>IF(M31=TRUE,IF(M21="",TRUE,ABS(M17-M22)&gt;ABS(M21-M22)),FALSE)</f>
        <v>1</v>
      </c>
      <c r="N32" s="502" t="b">
        <f t="shared" si="7"/>
        <v>0</v>
      </c>
      <c r="O32" s="502" t="b">
        <f>IF(O31=TRUE,IF(O21="",TRUE,ABS(O17-O22)&gt;ABS(O21-O22)),FALSE)</f>
        <v>0</v>
      </c>
      <c r="P32" s="502" t="b">
        <f t="shared" si="7"/>
        <v>0</v>
      </c>
      <c r="Q32" s="503" t="b">
        <f t="shared" si="7"/>
        <v>1</v>
      </c>
      <c r="R32" s="502" t="b">
        <f t="shared" si="7"/>
        <v>0</v>
      </c>
      <c r="S32" s="502" t="b">
        <f t="shared" si="7"/>
        <v>0</v>
      </c>
      <c r="T32" s="502" t="b">
        <f t="shared" si="7"/>
        <v>0</v>
      </c>
      <c r="U32" s="502" t="b">
        <f t="shared" si="7"/>
        <v>0</v>
      </c>
      <c r="V32" s="502" t="b">
        <f t="shared" si="7"/>
        <v>1</v>
      </c>
      <c r="W32" s="502" t="b">
        <f t="shared" si="7"/>
        <v>1</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8">
      <c r="A33" s="444"/>
      <c r="B33" s="444"/>
      <c r="C33" s="444"/>
      <c r="D33" s="444"/>
      <c r="E33" s="444" t="s">
        <v>1232</v>
      </c>
      <c r="F33" s="444"/>
      <c r="G33" s="444" t="str">
        <f>G7</f>
        <v>Performance commitment unit</v>
      </c>
      <c r="H33" s="444"/>
      <c r="I33" s="444"/>
      <c r="J33" s="483" t="str">
        <f t="shared" ref="J33:BS33" si="8">IF(J32=TRUE,IF(J$14&gt;0,MIN(J$17,J20),MAX(J$17,J20)),"")</f>
        <v/>
      </c>
      <c r="K33" s="483">
        <f t="shared" si="8"/>
        <v>2.5347222222222221E-3</v>
      </c>
      <c r="L33" s="483" t="str">
        <f t="shared" si="8"/>
        <v/>
      </c>
      <c r="M33" s="483">
        <f>IF(M32=TRUE,IF(M$14&gt;0,MIN(M$17,M20),MAX(M$17,M20)),"")</f>
        <v>14.743589743589736</v>
      </c>
      <c r="N33" s="483" t="str">
        <f t="shared" si="8"/>
        <v/>
      </c>
      <c r="O33" s="483" t="str">
        <f>IF(O32=TRUE,IF(O$14&gt;0,MIN(O$17,O20),MAX(O$17,O20)),"")</f>
        <v/>
      </c>
      <c r="P33" s="483" t="str">
        <f t="shared" si="8"/>
        <v/>
      </c>
      <c r="Q33" s="484">
        <f t="shared" si="8"/>
        <v>1.64</v>
      </c>
      <c r="R33" s="483" t="str">
        <f t="shared" si="8"/>
        <v/>
      </c>
      <c r="S33" s="483" t="str">
        <f t="shared" si="8"/>
        <v/>
      </c>
      <c r="T33" s="483" t="str">
        <f t="shared" si="8"/>
        <v/>
      </c>
      <c r="U33" s="483" t="str">
        <f t="shared" si="8"/>
        <v/>
      </c>
      <c r="V33" s="483">
        <f t="shared" si="8"/>
        <v>725</v>
      </c>
      <c r="W33" s="483">
        <f t="shared" si="8"/>
        <v>0.6</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8">
      <c r="A34" s="444"/>
      <c r="B34" s="444"/>
      <c r="C34" s="444"/>
      <c r="D34" s="444"/>
      <c r="E34" s="444" t="s">
        <v>1233</v>
      </c>
      <c r="F34" s="444"/>
      <c r="G34" s="444" t="str">
        <f>G7</f>
        <v>Performance commitment unit</v>
      </c>
      <c r="H34" s="444"/>
      <c r="I34" s="444"/>
      <c r="J34" s="483" t="str">
        <f>IF(J32=TRUE,ABS(IF(J21&lt;&gt;"",J21,J22)-J33),"")</f>
        <v/>
      </c>
      <c r="K34" s="483">
        <f t="shared" ref="K34:BS34" si="9">IF(K32=TRUE,ABS(IF(K21&lt;&gt;"",K21,K22)-K33),"")</f>
        <v>9.3749999999999997E-4</v>
      </c>
      <c r="L34" s="483" t="str">
        <f t="shared" si="9"/>
        <v/>
      </c>
      <c r="M34" s="483">
        <f>IF(M32=TRUE,ABS(IF(M21&lt;&gt;"",M21,M22)-M33),"")</f>
        <v>0.94358974358973491</v>
      </c>
      <c r="N34" s="483" t="str">
        <f t="shared" si="9"/>
        <v/>
      </c>
      <c r="O34" s="483" t="str">
        <f>IF(O32=TRUE,ABS(IF(O21&lt;&gt;"",O21,O22)-O33),"")</f>
        <v/>
      </c>
      <c r="P34" s="483" t="str">
        <f t="shared" si="9"/>
        <v/>
      </c>
      <c r="Q34" s="484">
        <f t="shared" si="9"/>
        <v>0.7</v>
      </c>
      <c r="R34" s="483" t="str">
        <f t="shared" si="9"/>
        <v/>
      </c>
      <c r="S34" s="483" t="str">
        <f t="shared" si="9"/>
        <v/>
      </c>
      <c r="T34" s="483" t="str">
        <f t="shared" si="9"/>
        <v/>
      </c>
      <c r="U34" s="483" t="str">
        <f t="shared" si="9"/>
        <v/>
      </c>
      <c r="V34" s="483">
        <f t="shared" si="9"/>
        <v>35</v>
      </c>
      <c r="W34" s="483">
        <f t="shared" si="9"/>
        <v>0.16000000000000003</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8">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8">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8">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8">
      <c r="A38" s="444"/>
      <c r="B38" s="444"/>
      <c r="C38" s="444"/>
      <c r="D38" s="444"/>
      <c r="E38" s="444" t="s">
        <v>1235</v>
      </c>
      <c r="F38" s="444"/>
      <c r="G38" s="444" t="s">
        <v>1073</v>
      </c>
      <c r="H38" s="444"/>
      <c r="I38" s="444"/>
      <c r="J38" s="591" t="str">
        <f>IF(AND(J37=TRUE,J32=TRUE),J34*24*60,J34)</f>
        <v/>
      </c>
      <c r="K38" s="591">
        <f t="shared" ref="K38:BS38" si="10">IF(AND(K37=TRUE,K32=TRUE),K34*24*60,K34)</f>
        <v>1.3499999999999999</v>
      </c>
      <c r="L38" s="591" t="str">
        <f t="shared" si="10"/>
        <v/>
      </c>
      <c r="M38" s="591">
        <f>IF(AND(M37=TRUE,M32=TRUE),M34*24*60,M34)</f>
        <v>0.94358974358973491</v>
      </c>
      <c r="N38" s="591" t="str">
        <f t="shared" si="10"/>
        <v/>
      </c>
      <c r="O38" s="591" t="str">
        <f>IF(AND(O37=TRUE,O32=TRUE),O34*24*60,O34)</f>
        <v/>
      </c>
      <c r="P38" s="591" t="str">
        <f t="shared" si="10"/>
        <v/>
      </c>
      <c r="Q38" s="592">
        <f t="shared" si="10"/>
        <v>0.7</v>
      </c>
      <c r="R38" s="591" t="str">
        <f t="shared" si="10"/>
        <v/>
      </c>
      <c r="S38" s="591" t="str">
        <f t="shared" si="10"/>
        <v/>
      </c>
      <c r="T38" s="591" t="str">
        <f t="shared" si="10"/>
        <v/>
      </c>
      <c r="U38" s="591" t="str">
        <f t="shared" si="10"/>
        <v/>
      </c>
      <c r="V38" s="591">
        <f t="shared" si="10"/>
        <v>35</v>
      </c>
      <c r="W38" s="591">
        <f t="shared" si="10"/>
        <v>0.16000000000000003</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8">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8">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72.7</v>
      </c>
      <c r="M40" s="579">
        <f>IF(InpPerformance!M$8&lt;&gt;"",ROUND(InpPerformance!M$8,1),"")</f>
        <v>15.6</v>
      </c>
      <c r="N40" s="579">
        <f>IF(InpPerformance!N$8&lt;&gt;"",ROUND(InpPerformance!N$8,1),"")</f>
        <v>128.5</v>
      </c>
      <c r="O40" s="579">
        <f>IF(InpPerformance!O$8&lt;&gt;"",ROUND(InpPerformance!O$8,1),"")</f>
        <v>134.80000000000001</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8">
      <c r="A41" s="444"/>
      <c r="B41" s="444"/>
      <c r="C41" s="444"/>
      <c r="D41" s="444"/>
      <c r="E41" s="444" t="s">
        <v>1236</v>
      </c>
      <c r="F41" s="444"/>
      <c r="G41" s="444" t="s">
        <v>1073</v>
      </c>
      <c r="H41" s="444"/>
      <c r="I41" s="444"/>
      <c r="J41" s="591" t="str">
        <f>IF(AND(J39=TRUE,J32=TRUE),ROUND((J38/100)*J40,1),J38)</f>
        <v/>
      </c>
      <c r="K41" s="591">
        <f t="shared" ref="K41:BS41" si="11">IF(AND(K39=TRUE,K32=TRUE),ROUND((K38/100)*K40,1),K38)</f>
        <v>1.3499999999999999</v>
      </c>
      <c r="L41" s="591" t="str">
        <f>IF(AND(L39=TRUE,L32=TRUE),ROUND((L38/100)*L40,1),L38)</f>
        <v/>
      </c>
      <c r="M41" s="591">
        <f>IF(AND(M39=TRUE,M32=TRUE),ROUND((M38/100)*M40,1),M38)</f>
        <v>0.1</v>
      </c>
      <c r="N41" s="591" t="str">
        <f t="shared" si="11"/>
        <v/>
      </c>
      <c r="O41" s="591" t="str">
        <f>IF(AND(O39=TRUE,O32=TRUE),ROUND((O38/100)*O40,1),O38)</f>
        <v/>
      </c>
      <c r="P41" s="591" t="str">
        <f t="shared" si="11"/>
        <v/>
      </c>
      <c r="Q41" s="592">
        <f t="shared" si="11"/>
        <v>0.7</v>
      </c>
      <c r="R41" s="591" t="str">
        <f t="shared" si="11"/>
        <v/>
      </c>
      <c r="S41" s="591" t="str">
        <f t="shared" si="11"/>
        <v/>
      </c>
      <c r="T41" s="591" t="str">
        <f t="shared" si="11"/>
        <v/>
      </c>
      <c r="U41" s="591" t="str">
        <f t="shared" si="11"/>
        <v/>
      </c>
      <c r="V41" s="591">
        <f t="shared" si="11"/>
        <v>35</v>
      </c>
      <c r="W41" s="591">
        <f t="shared" si="11"/>
        <v>0.16000000000000003</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8">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8">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8">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0.19700000000000001</v>
      </c>
      <c r="L44" s="587">
        <f>InpPerformance!L49</f>
        <v>0.19600000000000001</v>
      </c>
      <c r="M44" s="587">
        <f>InpPerformance!M49</f>
        <v>0.21099999999999999</v>
      </c>
      <c r="N44" s="587">
        <f>InpPerformance!N49</f>
        <v>0.125</v>
      </c>
      <c r="O44" s="587">
        <f>InpPerformance!O49</f>
        <v>2.1000000000000001E-2</v>
      </c>
      <c r="P44" s="587">
        <f>InpPerformance!P49</f>
        <v>1.9E-2</v>
      </c>
      <c r="Q44" s="588">
        <f>InpPerformance!Q49</f>
        <v>0.36199999999999999</v>
      </c>
      <c r="R44" s="587" t="str">
        <f>InpPerformance!R49</f>
        <v/>
      </c>
      <c r="S44" s="587" t="str">
        <f>InpPerformance!S49</f>
        <v/>
      </c>
      <c r="T44" s="587">
        <f>InpPerformance!T49</f>
        <v>7.9999999999999996E-6</v>
      </c>
      <c r="U44" s="587">
        <f>InpPerformance!U49</f>
        <v>4.9099999999999998E-2</v>
      </c>
      <c r="V44" s="587">
        <f>InpPerformance!V49</f>
        <v>1.25E-3</v>
      </c>
      <c r="W44" s="587">
        <f>InpPerformance!W49</f>
        <v>0.90200000000000002</v>
      </c>
      <c r="X44" s="587">
        <f>InpPerformance!X49</f>
        <v>6.8000000000000005E-2</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0.26594999999999996</v>
      </c>
      <c r="L45" s="567">
        <f t="shared" si="12"/>
        <v>0</v>
      </c>
      <c r="M45" s="567">
        <f>IF(M32=TRUE,M41*M44,0)</f>
        <v>2.1100000000000001E-2</v>
      </c>
      <c r="N45" s="567">
        <f t="shared" si="12"/>
        <v>0</v>
      </c>
      <c r="O45" s="567">
        <f>IF(O32=TRUE,O41*O44,0)</f>
        <v>0</v>
      </c>
      <c r="P45" s="567">
        <f t="shared" si="12"/>
        <v>0</v>
      </c>
      <c r="Q45" s="568">
        <f t="shared" si="12"/>
        <v>0.25339999999999996</v>
      </c>
      <c r="R45" s="567">
        <f t="shared" si="12"/>
        <v>0</v>
      </c>
      <c r="S45" s="567">
        <f t="shared" si="12"/>
        <v>0</v>
      </c>
      <c r="T45" s="567">
        <f t="shared" si="12"/>
        <v>0</v>
      </c>
      <c r="U45" s="567">
        <f t="shared" si="12"/>
        <v>0</v>
      </c>
      <c r="V45" s="567">
        <f t="shared" si="12"/>
        <v>4.3750000000000004E-2</v>
      </c>
      <c r="W45" s="567">
        <f t="shared" si="12"/>
        <v>0.14432000000000003</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8">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8">
      <c r="A48" s="444"/>
      <c r="B48" s="444"/>
      <c r="C48" s="444"/>
      <c r="D48" s="444"/>
      <c r="E48" s="444" t="s">
        <v>1240</v>
      </c>
      <c r="F48" s="444"/>
      <c r="G48" s="444" t="s">
        <v>425</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1</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8">
      <c r="A49" s="444"/>
      <c r="B49" s="444"/>
      <c r="C49" s="444"/>
      <c r="D49" s="444"/>
      <c r="E49" s="444" t="s">
        <v>1241</v>
      </c>
      <c r="F49" s="444"/>
      <c r="G49" s="444" t="s">
        <v>425</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1</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8">
      <c r="A50" s="444"/>
      <c r="B50" s="444"/>
      <c r="C50" s="444"/>
      <c r="D50" s="444"/>
      <c r="E50" s="444" t="s">
        <v>1242</v>
      </c>
      <c r="F50" s="444"/>
      <c r="G50" s="444" t="s">
        <v>425</v>
      </c>
      <c r="H50" s="444"/>
      <c r="I50" s="444"/>
      <c r="J50" s="506" t="b">
        <f>IF(J49=TRUE,IF(J23="",TRUE,ABS(J$17-J$22)&gt;ABS(J23-J22)),FALSE)</f>
        <v>0</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1</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8">
      <c r="A51" s="444"/>
      <c r="B51" s="444"/>
      <c r="C51" s="444"/>
      <c r="D51" s="444"/>
      <c r="E51" s="444" t="s">
        <v>1243</v>
      </c>
      <c r="F51" s="444"/>
      <c r="G51" s="444" t="str">
        <f>G7</f>
        <v>Performance commitment unit</v>
      </c>
      <c r="H51" s="444"/>
      <c r="I51" s="444"/>
      <c r="J51" s="483" t="str">
        <f t="shared" ref="J51:O51" si="17">IF(J50=TRUE,IF(J14&gt;0,MAX(J17,J24),MIN(J17,J24)),"")</f>
        <v/>
      </c>
      <c r="K51" s="483" t="str">
        <f t="shared" si="17"/>
        <v/>
      </c>
      <c r="L51" s="483">
        <f t="shared" si="17"/>
        <v>14.993122420907845</v>
      </c>
      <c r="M51" s="483" t="str">
        <f t="shared" si="17"/>
        <v/>
      </c>
      <c r="N51" s="483">
        <f t="shared" si="17"/>
        <v>-10.116731517509736</v>
      </c>
      <c r="O51" s="483">
        <f t="shared" si="17"/>
        <v>3.3382789317507378</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8">
      <c r="A52" s="444"/>
      <c r="B52" s="444"/>
      <c r="C52" s="444"/>
      <c r="D52" s="444"/>
      <c r="E52" s="444" t="s">
        <v>1244</v>
      </c>
      <c r="F52" s="444"/>
      <c r="G52" s="444" t="str">
        <f>G7</f>
        <v>Performance commitment unit</v>
      </c>
      <c r="H52" s="444"/>
      <c r="I52" s="444"/>
      <c r="J52" s="483" t="str">
        <f>IF(J50=TRUE,ABS(IF(J23&lt;&gt;"",J23,J22)-J51),"")</f>
        <v/>
      </c>
      <c r="K52" s="483" t="str">
        <f t="shared" ref="K52:BS52" si="19">IF(K50=TRUE,ABS(IF(K23&lt;&gt;"",K23,K22)-K51),"")</f>
        <v/>
      </c>
      <c r="L52" s="483">
        <f t="shared" si="19"/>
        <v>6.8775790921549174E-3</v>
      </c>
      <c r="M52" s="483" t="str">
        <f>IF(M50=TRUE,ABS(IF(M23&lt;&gt;"",M23,M22)-M51),"")</f>
        <v/>
      </c>
      <c r="N52" s="483">
        <f t="shared" si="19"/>
        <v>11.116731517509736</v>
      </c>
      <c r="O52" s="483">
        <f>IF(O50=TRUE,ABS(IF(O23&lt;&gt;"",O23,O22)-O51),"")</f>
        <v>2.9617210682492621</v>
      </c>
      <c r="P52" s="483" t="str">
        <f t="shared" si="19"/>
        <v/>
      </c>
      <c r="Q52" s="484" t="str">
        <f t="shared" si="19"/>
        <v/>
      </c>
      <c r="R52" s="483" t="str">
        <f t="shared" si="19"/>
        <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8">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8">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8">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8">
      <c r="A56" s="444"/>
      <c r="B56" s="444"/>
      <c r="C56" s="444"/>
      <c r="D56" s="444"/>
      <c r="E56" s="444" t="s">
        <v>1235</v>
      </c>
      <c r="F56" s="444"/>
      <c r="G56" s="444" t="s">
        <v>1073</v>
      </c>
      <c r="H56" s="444"/>
      <c r="I56" s="444"/>
      <c r="J56" s="591" t="str">
        <f>IF(AND(J55=TRUE,J50=TRUE),J52*24*60,J52)</f>
        <v/>
      </c>
      <c r="K56" s="594" t="str">
        <f>IF(AND(K55=TRUE,K50=TRUE),K52*24*60,K52)</f>
        <v/>
      </c>
      <c r="L56" s="591">
        <f t="shared" ref="L56:BS56" si="20">IF(AND(L55=TRUE,L50=TRUE),L52*24*60,L52)</f>
        <v>6.8775790921549174E-3</v>
      </c>
      <c r="M56" s="591" t="str">
        <f>IF(AND(M55=TRUE,M50=TRUE),M52*24*60,M52)</f>
        <v/>
      </c>
      <c r="N56" s="591">
        <f t="shared" si="20"/>
        <v>11.116731517509736</v>
      </c>
      <c r="O56" s="591">
        <f>IF(AND(O55=TRUE,O50=TRUE),O52*24*60,O52)</f>
        <v>2.9617210682492621</v>
      </c>
      <c r="P56" s="591" t="str">
        <f t="shared" si="20"/>
        <v/>
      </c>
      <c r="Q56" s="592" t="str">
        <f t="shared" si="20"/>
        <v/>
      </c>
      <c r="R56" s="591" t="str">
        <f t="shared" si="20"/>
        <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8">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8">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72.7</v>
      </c>
      <c r="M58" s="579">
        <f>IF(InpPerformance!M$8&lt;&gt;"",ROUND(InpPerformance!M$8,1),"")</f>
        <v>15.6</v>
      </c>
      <c r="N58" s="579">
        <f>IF(InpPerformance!N$8&lt;&gt;"",ROUND(InpPerformance!N$8,1),"")</f>
        <v>128.5</v>
      </c>
      <c r="O58" s="579">
        <f>IF(InpPerformance!O$8&lt;&gt;"",ROUND(InpPerformance!O$8,1),"")</f>
        <v>134.80000000000001</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8">
      <c r="A59" s="444"/>
      <c r="B59" s="444"/>
      <c r="C59" s="444"/>
      <c r="D59" s="444"/>
      <c r="E59" s="444" t="s">
        <v>1236</v>
      </c>
      <c r="F59" s="444"/>
      <c r="G59" s="444" t="s">
        <v>1073</v>
      </c>
      <c r="H59" s="444"/>
      <c r="I59" s="444"/>
      <c r="J59" s="591" t="str">
        <f>IF(AND(J57=TRUE,J50=TRUE),ROUND((J56/100)*J58,1),J56)</f>
        <v/>
      </c>
      <c r="K59" s="595" t="str">
        <f t="shared" ref="K59:BS59" si="21">IF(AND(K57=TRUE,K50=TRUE),ROUND((K56/100)*K58,1),K56)</f>
        <v/>
      </c>
      <c r="L59" s="591">
        <f>IF(AND(L57=TRUE,L50=TRUE),ROUND((L56/100)*L58,1),L56)</f>
        <v>0</v>
      </c>
      <c r="M59" s="591" t="str">
        <f>IF(AND(M57=TRUE,M50=TRUE),ROUND((M56/100)*M58,1),M56)</f>
        <v/>
      </c>
      <c r="N59" s="591">
        <f t="shared" si="21"/>
        <v>14.3</v>
      </c>
      <c r="O59" s="591">
        <f>IF(AND(O57=TRUE,O50=TRUE),ROUND((O56/100)*O58,1),O56)</f>
        <v>4</v>
      </c>
      <c r="P59" s="591" t="str">
        <f t="shared" si="21"/>
        <v/>
      </c>
      <c r="Q59" s="592" t="str">
        <f t="shared" si="21"/>
        <v/>
      </c>
      <c r="R59" s="591" t="str">
        <f t="shared" si="21"/>
        <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8">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8">
      <c r="A62" s="444"/>
      <c r="B62" s="444"/>
      <c r="C62" s="444"/>
      <c r="D62" s="454"/>
      <c r="E62" s="574" t="str">
        <f>InpPerformance!E50</f>
        <v>Standard underperformance rate</v>
      </c>
      <c r="F62" s="444"/>
      <c r="G62" s="574" t="str">
        <f>InpPerformance!G50</f>
        <v>£m/unit (2017-18 prices)</v>
      </c>
      <c r="H62" s="444"/>
      <c r="I62" s="444"/>
      <c r="J62" s="587">
        <f>InpPerformance!J50</f>
        <v>-0.26700000000000002</v>
      </c>
      <c r="K62" s="587">
        <f>InpPerformance!K50</f>
        <v>-0.19700000000000001</v>
      </c>
      <c r="L62" s="587">
        <f>InpPerformance!L50</f>
        <v>-0.23499999999999999</v>
      </c>
      <c r="M62" s="587">
        <f>InpPerformance!M50</f>
        <v>-0.254</v>
      </c>
      <c r="N62" s="587">
        <f>InpPerformance!N50</f>
        <v>-0.16900000000000001</v>
      </c>
      <c r="O62" s="587">
        <f>InpPerformance!O50</f>
        <v>-2.5000000000000001E-2</v>
      </c>
      <c r="P62" s="587">
        <f>InpPerformance!P50</f>
        <v>-5.6000000000000001E-2</v>
      </c>
      <c r="Q62" s="588">
        <f>InpPerformance!Q50</f>
        <v>-0.54700000000000004</v>
      </c>
      <c r="R62" s="587">
        <f>InpPerformance!R50</f>
        <v>-6.0000000000000002E-6</v>
      </c>
      <c r="S62" s="587">
        <f>InpPerformance!S50</f>
        <v>-3.2231999999999997E-2</v>
      </c>
      <c r="T62" s="587">
        <f>InpPerformance!T50</f>
        <v>-1.5E-5</v>
      </c>
      <c r="U62" s="587">
        <f>InpPerformance!U50</f>
        <v>-9.8199999999999996E-2</v>
      </c>
      <c r="V62" s="587">
        <f>InpPerformance!V50</f>
        <v>-2.5000000000000001E-3</v>
      </c>
      <c r="W62" s="587">
        <f>InpPerformance!W50</f>
        <v>-1.083</v>
      </c>
      <c r="X62" s="587">
        <f>InpPerformance!X50</f>
        <v>-0.129</v>
      </c>
      <c r="Y62" s="587">
        <f>InpPerformance!Y50</f>
        <v>-5.8200000000000002E-2</v>
      </c>
      <c r="Z62" s="587">
        <f>InpPerformance!Z50</f>
        <v>-6.7450000000000001E-3</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8">
      <c r="A63" s="444"/>
      <c r="B63" s="444"/>
      <c r="C63" s="444"/>
      <c r="D63" s="444"/>
      <c r="E63" s="444" t="s">
        <v>1246</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-2.4167000000000001</v>
      </c>
      <c r="O63" s="567">
        <f>IF(O50=TRUE,O59*O62,0)</f>
        <v>-0.1</v>
      </c>
      <c r="P63" s="567">
        <f t="shared" si="22"/>
        <v>0</v>
      </c>
      <c r="Q63" s="568">
        <f t="shared" si="22"/>
        <v>0</v>
      </c>
      <c r="R63" s="567">
        <f t="shared" si="22"/>
        <v>0</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8">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8">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8">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8">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8">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8">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8">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1.7592592592592592E-3</v>
      </c>
      <c r="L70" s="579">
        <f>IF(InpPerformance!L$43&lt;&gt;"",InpPerformance!L$43,"")</f>
        <v>19.2</v>
      </c>
      <c r="M70" s="579">
        <f>IF(InpPerformance!M$43&lt;&gt;"",InpPerformance!M$43,"")</f>
        <v>19.5</v>
      </c>
      <c r="N70" s="579" t="str">
        <f>IF(InpPerformance!N$43&lt;&gt;"",InpPerformance!N$43,"")</f>
        <v/>
      </c>
      <c r="O70" s="579" t="str">
        <f>IF(InpPerformance!O$43&lt;&gt;"",InpPerformance!O$43,"")</f>
        <v/>
      </c>
      <c r="P70" s="579">
        <f>IF(InpPerformance!P$43&lt;&gt;"",InpPerformance!P$43,"")</f>
        <v>104.4</v>
      </c>
      <c r="Q70" s="581">
        <f>IF(InpPerformance!Q$43&lt;&gt;"",InpPerformance!Q$43,"")</f>
        <v>1.64</v>
      </c>
      <c r="R70" s="579" t="str">
        <f>IF(InpPerformance!R$43&lt;&gt;"",InpPerformance!R$43,"")</f>
        <v/>
      </c>
      <c r="S70" s="579" t="str">
        <f>IF(InpPerformance!S$43&lt;&gt;"",InpPerformance!S$43,"")</f>
        <v/>
      </c>
      <c r="T70" s="579">
        <f>IF(InpPerformance!T$43&lt;&gt;"",InpPerformance!T$43,"")</f>
        <v>7000</v>
      </c>
      <c r="U70" s="579" t="str">
        <f>IF(InpPerformance!U$43&lt;&gt;"",InpPerformance!U$43,"")</f>
        <v/>
      </c>
      <c r="V70" s="579">
        <f>IF(InpPerformance!V$43&lt;&gt;"",InpPerformance!V$43,"")</f>
        <v>725</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8">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8">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8">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1.2</v>
      </c>
      <c r="K73" s="601">
        <f t="shared" ref="K73:BS73" si="24">K$17</f>
        <v>2.5347222222222221E-3</v>
      </c>
      <c r="L73" s="601">
        <f t="shared" si="24"/>
        <v>14.993122420907845</v>
      </c>
      <c r="M73" s="601">
        <f t="shared" si="24"/>
        <v>14.743589743589736</v>
      </c>
      <c r="N73" s="601">
        <f t="shared" si="24"/>
        <v>-10.116731517509736</v>
      </c>
      <c r="O73" s="601">
        <f t="shared" si="24"/>
        <v>3.3382789317507378</v>
      </c>
      <c r="P73" s="601">
        <f t="shared" si="24"/>
        <v>122.4</v>
      </c>
      <c r="Q73" s="602">
        <f t="shared" si="24"/>
        <v>1.47</v>
      </c>
      <c r="R73" s="601">
        <f t="shared" si="24"/>
        <v>58000</v>
      </c>
      <c r="S73" s="601">
        <f t="shared" si="24"/>
        <v>5</v>
      </c>
      <c r="T73" s="601">
        <f t="shared" si="24"/>
        <v>6000</v>
      </c>
      <c r="U73" s="601">
        <f t="shared" si="24"/>
        <v>0</v>
      </c>
      <c r="V73" s="601">
        <f t="shared" si="24"/>
        <v>783.3</v>
      </c>
      <c r="W73" s="601">
        <f t="shared" si="24"/>
        <v>0.6</v>
      </c>
      <c r="X73" s="601">
        <f t="shared" si="24"/>
        <v>4</v>
      </c>
      <c r="Y73" s="601">
        <f t="shared" si="24"/>
        <v>100</v>
      </c>
      <c r="Z73" s="601">
        <f t="shared" si="24"/>
        <v>100</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8">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8">
      <c r="A75" s="444"/>
      <c r="B75" s="444"/>
      <c r="C75" s="444"/>
      <c r="D75" s="444"/>
      <c r="E75" s="501" t="s">
        <v>1249</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8">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8">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8">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8">
      <c r="A79" s="444"/>
      <c r="B79" s="444"/>
      <c r="C79" s="444"/>
      <c r="D79" s="444"/>
      <c r="E79" s="596" t="str">
        <f>InpCompany!E17</f>
        <v>Wholesale water RCV (financial year average)</v>
      </c>
      <c r="F79" s="596"/>
      <c r="G79" s="596" t="str">
        <f>InpCompany!G$17</f>
        <v>£m (2017-18 prices)</v>
      </c>
      <c r="H79" s="596"/>
      <c r="I79" s="574"/>
      <c r="J79" s="579">
        <f>InpCompany!$F17</f>
        <v>432.06029480478747</v>
      </c>
      <c r="K79" s="579">
        <f>InpCompany!$F17</f>
        <v>432.06029480478747</v>
      </c>
      <c r="L79" s="579">
        <f>InpCompany!$F17</f>
        <v>432.06029480478747</v>
      </c>
      <c r="M79" s="579">
        <f>InpCompany!$F17</f>
        <v>432.06029480478747</v>
      </c>
      <c r="N79" s="579">
        <f>InpCompany!$F17</f>
        <v>432.06029480478747</v>
      </c>
      <c r="O79" s="579">
        <f>InpCompany!$F17</f>
        <v>432.06029480478747</v>
      </c>
      <c r="P79" s="579">
        <f>InpCompany!$F17</f>
        <v>432.06029480478747</v>
      </c>
      <c r="Q79" s="581">
        <f>InpCompany!$F17</f>
        <v>432.06029480478747</v>
      </c>
      <c r="R79" s="579">
        <f>InpCompany!$F17</f>
        <v>432.06029480478747</v>
      </c>
      <c r="S79" s="579">
        <f>InpCompany!$F17</f>
        <v>432.06029480478747</v>
      </c>
      <c r="T79" s="579">
        <f>InpCompany!$F17</f>
        <v>432.06029480478747</v>
      </c>
      <c r="U79" s="579">
        <f>InpCompany!$F17</f>
        <v>432.06029480478747</v>
      </c>
      <c r="V79" s="579">
        <f>InpCompany!$F17</f>
        <v>432.06029480478747</v>
      </c>
      <c r="W79" s="579">
        <f>InpCompany!$F17</f>
        <v>432.06029480478747</v>
      </c>
      <c r="X79" s="579">
        <f>InpCompany!$F17</f>
        <v>432.06029480478747</v>
      </c>
      <c r="Y79" s="579">
        <f>InpCompany!$F17</f>
        <v>432.06029480478747</v>
      </c>
      <c r="Z79" s="579">
        <f>InpCompany!$F17</f>
        <v>432.06029480478747</v>
      </c>
      <c r="AA79" s="579">
        <f>InpCompany!$F17</f>
        <v>432.06029480478747</v>
      </c>
      <c r="AB79" s="579">
        <f>InpCompany!$F17</f>
        <v>432.06029480478747</v>
      </c>
      <c r="AC79" s="579">
        <f>InpCompany!$F17</f>
        <v>432.06029480478747</v>
      </c>
      <c r="AD79" s="579">
        <f>InpCompany!$F17</f>
        <v>432.06029480478747</v>
      </c>
      <c r="AE79" s="579">
        <f>InpCompany!$F17</f>
        <v>432.06029480478747</v>
      </c>
      <c r="AF79" s="579">
        <f>InpCompany!$F17</f>
        <v>432.06029480478747</v>
      </c>
      <c r="AG79" s="579">
        <f>InpCompany!$F17</f>
        <v>432.06029480478747</v>
      </c>
      <c r="AH79" s="579">
        <f>InpCompany!$F17</f>
        <v>432.06029480478747</v>
      </c>
      <c r="AI79" s="579">
        <f>InpCompany!$F17</f>
        <v>432.06029480478747</v>
      </c>
      <c r="AJ79" s="579">
        <f>InpCompany!$F17</f>
        <v>432.06029480478747</v>
      </c>
      <c r="AK79" s="581">
        <f>InpCompany!$F17</f>
        <v>432.06029480478747</v>
      </c>
      <c r="AL79" s="579">
        <f>InpCompany!$F17</f>
        <v>432.06029480478747</v>
      </c>
      <c r="AM79" s="579">
        <f>InpCompany!$F17</f>
        <v>432.06029480478747</v>
      </c>
      <c r="AN79" s="579">
        <f>InpCompany!$F17</f>
        <v>432.06029480478747</v>
      </c>
      <c r="AO79" s="581">
        <f>InpCompany!$F17</f>
        <v>432.06029480478747</v>
      </c>
      <c r="AP79" s="579">
        <f>InpCompany!$F17</f>
        <v>432.06029480478747</v>
      </c>
      <c r="AQ79" s="579">
        <f>InpCompany!$F17</f>
        <v>432.06029480478747</v>
      </c>
      <c r="AR79" s="579">
        <f>InpCompany!$F17</f>
        <v>432.06029480478747</v>
      </c>
      <c r="AS79" s="579">
        <f>InpCompany!$F17</f>
        <v>432.06029480478747</v>
      </c>
      <c r="AT79" s="579">
        <f>InpCompany!$F17</f>
        <v>432.06029480478747</v>
      </c>
      <c r="AU79" s="579">
        <f>InpCompany!$F17</f>
        <v>432.06029480478747</v>
      </c>
      <c r="AV79" s="579">
        <f>InpCompany!$F17</f>
        <v>432.06029480478747</v>
      </c>
      <c r="AW79" s="579">
        <f>InpCompany!$F17</f>
        <v>432.06029480478747</v>
      </c>
      <c r="AX79" s="579">
        <f>InpCompany!$F17</f>
        <v>432.06029480478747</v>
      </c>
      <c r="AY79" s="579">
        <f>InpCompany!$F17</f>
        <v>432.06029480478747</v>
      </c>
      <c r="AZ79" s="579">
        <f>InpCompany!$F17</f>
        <v>432.06029480478747</v>
      </c>
      <c r="BA79" s="579">
        <f>InpCompany!$F17</f>
        <v>432.06029480478747</v>
      </c>
      <c r="BB79" s="579">
        <f>InpCompany!$F17</f>
        <v>432.06029480478747</v>
      </c>
      <c r="BC79" s="581">
        <f>InpCompany!$F17</f>
        <v>432.06029480478747</v>
      </c>
      <c r="BD79" s="579">
        <f>InpCompany!$F17</f>
        <v>432.06029480478747</v>
      </c>
      <c r="BE79" s="579">
        <f>InpCompany!$F17</f>
        <v>432.06029480478747</v>
      </c>
      <c r="BF79" s="579">
        <f>InpCompany!$F17</f>
        <v>432.06029480478747</v>
      </c>
      <c r="BG79" s="579">
        <f>InpCompany!$F17</f>
        <v>432.06029480478747</v>
      </c>
      <c r="BH79" s="579">
        <f>InpCompany!$F17</f>
        <v>432.06029480478747</v>
      </c>
      <c r="BI79" s="579">
        <f>InpCompany!$F17</f>
        <v>432.06029480478747</v>
      </c>
      <c r="BJ79" s="579">
        <f>InpCompany!$F17</f>
        <v>432.06029480478747</v>
      </c>
      <c r="BK79" s="579">
        <f>InpCompany!$F17</f>
        <v>432.06029480478747</v>
      </c>
      <c r="BL79" s="579">
        <f>InpCompany!$F17</f>
        <v>432.06029480478747</v>
      </c>
      <c r="BM79" s="579">
        <f>InpCompany!$F17</f>
        <v>432.06029480478747</v>
      </c>
      <c r="BN79" s="579">
        <f>InpCompany!$F17</f>
        <v>432.06029480478747</v>
      </c>
      <c r="BO79" s="579">
        <f>InpCompany!$F17</f>
        <v>432.06029480478747</v>
      </c>
      <c r="BP79" s="579">
        <f>InpCompany!$F17</f>
        <v>432.06029480478747</v>
      </c>
      <c r="BQ79" s="579">
        <f>InpCompany!$F17</f>
        <v>432.06029480478747</v>
      </c>
      <c r="BR79" s="579">
        <f>InpCompany!$F17</f>
        <v>432.06029480478747</v>
      </c>
      <c r="BS79" s="579">
        <f>InpCompany!$F17</f>
        <v>432.06029480478747</v>
      </c>
    </row>
    <row r="80" spans="1:71" s="201" customFormat="1" ht="13.8">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8">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8">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8">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8">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8">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8">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8">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8">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8">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8">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8">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8">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8">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72.7</v>
      </c>
      <c r="M93" s="579">
        <f>IF(InpPerformance!M$8&lt;&gt;"",ROUND(InpPerformance!M$8,1),"")</f>
        <v>15.6</v>
      </c>
      <c r="N93" s="579">
        <f>IF(InpPerformance!N$8&lt;&gt;"",ROUND(InpPerformance!N$8,1),"")</f>
        <v>128.5</v>
      </c>
      <c r="O93" s="579">
        <f>IF(InpPerformance!O$8&lt;&gt;"",ROUND(InpPerformance!O$8,1),"")</f>
        <v>134.80000000000001</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8">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8">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8">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8">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1.2</v>
      </c>
      <c r="K97" s="483">
        <f t="shared" si="33"/>
        <v>2.5347222222222221E-3</v>
      </c>
      <c r="L97" s="483">
        <f t="shared" si="33"/>
        <v>14.993122420907845</v>
      </c>
      <c r="M97" s="483">
        <f>M17</f>
        <v>14.743589743589736</v>
      </c>
      <c r="N97" s="483">
        <f t="shared" si="33"/>
        <v>-10.116731517509736</v>
      </c>
      <c r="O97" s="483">
        <f>O17</f>
        <v>3.3382789317507378</v>
      </c>
      <c r="P97" s="483">
        <f t="shared" si="33"/>
        <v>122.4</v>
      </c>
      <c r="Q97" s="484">
        <f t="shared" si="33"/>
        <v>1.47</v>
      </c>
      <c r="R97" s="483">
        <f t="shared" si="33"/>
        <v>58000</v>
      </c>
      <c r="S97" s="483">
        <f t="shared" si="33"/>
        <v>5</v>
      </c>
      <c r="T97" s="483">
        <f t="shared" si="33"/>
        <v>6000</v>
      </c>
      <c r="U97" s="483">
        <f t="shared" si="33"/>
        <v>0</v>
      </c>
      <c r="V97" s="483">
        <f t="shared" si="33"/>
        <v>783.3</v>
      </c>
      <c r="W97" s="483">
        <f t="shared" si="33"/>
        <v>0.6</v>
      </c>
      <c r="X97" s="483">
        <f t="shared" si="33"/>
        <v>4</v>
      </c>
      <c r="Y97" s="483">
        <f t="shared" si="33"/>
        <v>100</v>
      </c>
      <c r="Z97" s="483">
        <f t="shared" si="33"/>
        <v>100</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8">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8">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8">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8">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8">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8">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8">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8">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8">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72.7</v>
      </c>
      <c r="M106" s="579">
        <f>IF(InpPerformance!M$8&lt;&gt;"",ROUND(InpPerformance!M$8,1),"")</f>
        <v>15.6</v>
      </c>
      <c r="N106" s="579">
        <f>IF(InpPerformance!N$8&lt;&gt;"",ROUND(InpPerformance!N$8,1),"")</f>
        <v>128.5</v>
      </c>
      <c r="O106" s="579">
        <f>IF(InpPerformance!O$8&lt;&gt;"",ROUND(InpPerformance!O$8,1),"")</f>
        <v>134.80000000000001</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8">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8">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8">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8">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8">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8">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8">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8">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8.6805555555555594E-3</v>
      </c>
      <c r="L114" s="579">
        <f>IF(InpPerformance!L$47&lt;&gt;"",InpPerformance!L$47,"")</f>
        <v>-5</v>
      </c>
      <c r="M114" s="579">
        <f>IF(InpPerformance!M$47&lt;&gt;"",InpPerformance!M$47,"")</f>
        <v>-5</v>
      </c>
      <c r="N114" s="579" t="str">
        <f>IF(InpPerformance!N$47&lt;&gt;"",InpPerformance!N$47,"")</f>
        <v/>
      </c>
      <c r="O114" s="579" t="str">
        <f>IF(InpPerformance!O$47&lt;&gt;"",InpPerformance!O$47,"")</f>
        <v/>
      </c>
      <c r="P114" s="579">
        <f>IF(InpPerformance!P$47&lt;&gt;"",InpPerformance!P$47,"")</f>
        <v>150</v>
      </c>
      <c r="Q114" s="581">
        <f>IF(InpPerformance!Q$47&lt;&gt;"",InpPerformance!Q$47,"")</f>
        <v>4.68</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8">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8">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8">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1.2</v>
      </c>
      <c r="K117" s="601">
        <f t="shared" ref="K117:BS117" si="41">K$17</f>
        <v>2.5347222222222221E-3</v>
      </c>
      <c r="L117" s="601">
        <f t="shared" si="41"/>
        <v>14.993122420907845</v>
      </c>
      <c r="M117" s="601">
        <f t="shared" si="41"/>
        <v>14.743589743589736</v>
      </c>
      <c r="N117" s="601">
        <f t="shared" si="41"/>
        <v>-10.116731517509736</v>
      </c>
      <c r="O117" s="601">
        <f t="shared" si="41"/>
        <v>3.3382789317507378</v>
      </c>
      <c r="P117" s="601">
        <f t="shared" si="41"/>
        <v>122.4</v>
      </c>
      <c r="Q117" s="602">
        <f t="shared" si="41"/>
        <v>1.47</v>
      </c>
      <c r="R117" s="601">
        <f t="shared" si="41"/>
        <v>58000</v>
      </c>
      <c r="S117" s="601">
        <f t="shared" si="41"/>
        <v>5</v>
      </c>
      <c r="T117" s="601">
        <f t="shared" si="41"/>
        <v>6000</v>
      </c>
      <c r="U117" s="601">
        <f t="shared" si="41"/>
        <v>0</v>
      </c>
      <c r="V117" s="601">
        <f t="shared" si="41"/>
        <v>783.3</v>
      </c>
      <c r="W117" s="601">
        <f t="shared" si="41"/>
        <v>0.6</v>
      </c>
      <c r="X117" s="601">
        <f t="shared" si="41"/>
        <v>4</v>
      </c>
      <c r="Y117" s="601">
        <f t="shared" si="41"/>
        <v>100</v>
      </c>
      <c r="Z117" s="601">
        <f t="shared" si="41"/>
        <v>100</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8">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8">
      <c r="A119" s="444"/>
      <c r="B119" s="444"/>
      <c r="C119" s="444"/>
      <c r="D119" s="444"/>
      <c r="E119" s="501" t="s">
        <v>1259</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8">
      <c r="A120" s="444"/>
      <c r="B120" s="444"/>
      <c r="C120" s="444"/>
      <c r="D120" s="444"/>
      <c r="E120" s="501" t="s">
        <v>1260</v>
      </c>
      <c r="F120" s="501"/>
      <c r="G120" s="501" t="str">
        <f>G7</f>
        <v>Performance commitment unit</v>
      </c>
      <c r="H120" s="501"/>
      <c r="I120" s="444"/>
      <c r="J120" s="483">
        <f>IF(J116&gt;0,MAX(J115,J117),MIN(J115,J117))</f>
        <v>1.2</v>
      </c>
      <c r="K120" s="483">
        <f t="shared" ref="K120:BS120" si="298">IF(K116&gt;0,MAX(K115,K117),MIN(K115,K117))</f>
        <v>2.5347222222222221E-3</v>
      </c>
      <c r="L120" s="483">
        <f t="shared" si="298"/>
        <v>14.993122420907845</v>
      </c>
      <c r="M120" s="483">
        <f>IF(M116&gt;0,MAX(M115,M117),MIN(M115,M117))</f>
        <v>14.743589743589736</v>
      </c>
      <c r="N120" s="483">
        <f t="shared" si="298"/>
        <v>-10.116731517509736</v>
      </c>
      <c r="O120" s="483">
        <f>IF(O116&gt;0,MAX(O115,O117),MIN(O115,O117))</f>
        <v>3.3382789317507378</v>
      </c>
      <c r="P120" s="483">
        <f t="shared" si="298"/>
        <v>122.4</v>
      </c>
      <c r="Q120" s="484">
        <f t="shared" si="298"/>
        <v>1.47</v>
      </c>
      <c r="R120" s="483">
        <f t="shared" si="298"/>
        <v>58000</v>
      </c>
      <c r="S120" s="483">
        <f t="shared" si="298"/>
        <v>5</v>
      </c>
      <c r="T120" s="483">
        <f t="shared" si="298"/>
        <v>6000</v>
      </c>
      <c r="U120" s="483">
        <f t="shared" si="298"/>
        <v>0</v>
      </c>
      <c r="V120" s="483">
        <f t="shared" si="298"/>
        <v>783.3</v>
      </c>
      <c r="W120" s="483">
        <f t="shared" si="298"/>
        <v>0.6</v>
      </c>
      <c r="X120" s="483">
        <f t="shared" si="298"/>
        <v>4</v>
      </c>
      <c r="Y120" s="483">
        <f t="shared" si="298"/>
        <v>100</v>
      </c>
      <c r="Z120" s="483">
        <f t="shared" si="298"/>
        <v>100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8">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8">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8">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8">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8">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8">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8">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72.7</v>
      </c>
      <c r="M127" s="579">
        <f>IF(InpPerformance!M$8&lt;&gt;"",ROUND(InpPerformance!M$8,1),"")</f>
        <v>15.6</v>
      </c>
      <c r="N127" s="579">
        <f>IF(InpPerformance!N$8&lt;&gt;"",ROUND(InpPerformance!N$8,1),"")</f>
        <v>128.5</v>
      </c>
      <c r="O127" s="579">
        <f>IF(InpPerformance!O$8&lt;&gt;"",ROUND(InpPerformance!O$8,1),"")</f>
        <v>134.80000000000001</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8">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8">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8">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8">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8">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8">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8">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8">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8">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8">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8">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8">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9.3749999999999997E-4</v>
      </c>
      <c r="L139" s="481" t="str">
        <f t="shared" si="303"/>
        <v/>
      </c>
      <c r="M139" s="481">
        <f>M34</f>
        <v>0.94358974358973491</v>
      </c>
      <c r="N139" s="481" t="str">
        <f t="shared" si="303"/>
        <v/>
      </c>
      <c r="O139" s="481" t="str">
        <f>O34</f>
        <v/>
      </c>
      <c r="P139" s="481" t="str">
        <f t="shared" si="303"/>
        <v/>
      </c>
      <c r="Q139" s="482">
        <f t="shared" si="303"/>
        <v>0.7</v>
      </c>
      <c r="R139" s="481" t="str">
        <f t="shared" si="303"/>
        <v/>
      </c>
      <c r="S139" s="481" t="str">
        <f t="shared" si="303"/>
        <v/>
      </c>
      <c r="T139" s="481" t="str">
        <f t="shared" si="303"/>
        <v/>
      </c>
      <c r="U139" s="481" t="str">
        <f t="shared" si="303"/>
        <v/>
      </c>
      <c r="V139" s="481">
        <f t="shared" si="303"/>
        <v>35</v>
      </c>
      <c r="W139" s="481">
        <f t="shared" si="303"/>
        <v>0.16000000000000003</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8">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8">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8">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f t="shared" si="305"/>
        <v>6.8775790921549174E-3</v>
      </c>
      <c r="M142" s="481" t="str">
        <f>M52</f>
        <v/>
      </c>
      <c r="N142" s="481">
        <f t="shared" si="305"/>
        <v>11.116731517509736</v>
      </c>
      <c r="O142" s="481">
        <f>O52</f>
        <v>2.9617210682492621</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8">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8">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8">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8">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8">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8">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8">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8">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8">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8">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0.26594999999999996</v>
      </c>
      <c r="L152" s="567">
        <f t="shared" si="308"/>
        <v>0</v>
      </c>
      <c r="M152" s="567">
        <f>M45</f>
        <v>2.1100000000000001E-2</v>
      </c>
      <c r="N152" s="567">
        <f t="shared" si="308"/>
        <v>0</v>
      </c>
      <c r="O152" s="567">
        <f>O45</f>
        <v>0</v>
      </c>
      <c r="P152" s="567">
        <f t="shared" si="308"/>
        <v>0</v>
      </c>
      <c r="Q152" s="568">
        <f t="shared" si="308"/>
        <v>0.25339999999999996</v>
      </c>
      <c r="R152" s="567">
        <f t="shared" si="308"/>
        <v>0</v>
      </c>
      <c r="S152" s="567">
        <f t="shared" si="308"/>
        <v>0</v>
      </c>
      <c r="T152" s="567">
        <f t="shared" si="308"/>
        <v>0</v>
      </c>
      <c r="U152" s="567">
        <f t="shared" si="308"/>
        <v>0</v>
      </c>
      <c r="V152" s="567">
        <f t="shared" si="308"/>
        <v>4.3750000000000004E-2</v>
      </c>
      <c r="W152" s="567">
        <f t="shared" si="308"/>
        <v>0.14432000000000003</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8">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8">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8">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8">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-2.4167000000000001</v>
      </c>
      <c r="O156" s="567">
        <f>O63</f>
        <v>-0.1</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8">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8">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8">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8">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8">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8">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8">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8">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8">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8">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8">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8">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8">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8">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8">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0.26594999999999996</v>
      </c>
      <c r="L171" s="567">
        <f t="shared" si="314"/>
        <v>0</v>
      </c>
      <c r="M171" s="567">
        <f>IF(M$161=TRUE,IF(M162&lt;&gt;"",M162,M152),0)</f>
        <v>2.1100000000000001E-2</v>
      </c>
      <c r="N171" s="567">
        <f t="shared" si="314"/>
        <v>0</v>
      </c>
      <c r="O171" s="567">
        <f>IF(O$161=TRUE,IF(O162&lt;&gt;"",O162,O152),0)</f>
        <v>0</v>
      </c>
      <c r="P171" s="567">
        <f t="shared" si="314"/>
        <v>0</v>
      </c>
      <c r="Q171" s="568">
        <f t="shared" si="314"/>
        <v>0.25339999999999996</v>
      </c>
      <c r="R171" s="567">
        <f t="shared" si="314"/>
        <v>0</v>
      </c>
      <c r="S171" s="567">
        <f t="shared" si="314"/>
        <v>0</v>
      </c>
      <c r="T171" s="567">
        <f t="shared" si="314"/>
        <v>0</v>
      </c>
      <c r="U171" s="567">
        <f t="shared" si="314"/>
        <v>0</v>
      </c>
      <c r="V171" s="567">
        <f t="shared" si="314"/>
        <v>4.3750000000000004E-2</v>
      </c>
      <c r="W171" s="567">
        <f t="shared" si="314"/>
        <v>0.14432000000000003</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8">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8">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8">
      <c r="A174" s="444"/>
      <c r="B174" s="444"/>
      <c r="C174" s="444"/>
      <c r="D174" s="444"/>
      <c r="E174" s="444" t="s">
        <v>1270</v>
      </c>
      <c r="F174" s="444"/>
      <c r="G174" s="609" t="str">
        <f>InpCompany!$F$11</f>
        <v>£m (2017-18 prices)</v>
      </c>
      <c r="H174" s="444"/>
      <c r="I174" s="444"/>
      <c r="J174" s="567">
        <f>SUM(J171:J173)</f>
        <v>0</v>
      </c>
      <c r="K174" s="567">
        <f t="shared" ref="K174:BS174" si="316">SUM(K171:K173)</f>
        <v>0.26594999999999996</v>
      </c>
      <c r="L174" s="567">
        <f t="shared" si="316"/>
        <v>0</v>
      </c>
      <c r="M174" s="567">
        <f>SUM(M171:M173)</f>
        <v>2.1100000000000001E-2</v>
      </c>
      <c r="N174" s="567">
        <f t="shared" si="316"/>
        <v>0</v>
      </c>
      <c r="O174" s="567">
        <f>SUM(O171:O173)</f>
        <v>0</v>
      </c>
      <c r="P174" s="567">
        <f t="shared" si="316"/>
        <v>0</v>
      </c>
      <c r="Q174" s="568">
        <f t="shared" si="316"/>
        <v>0.25339999999999996</v>
      </c>
      <c r="R174" s="567">
        <f t="shared" si="316"/>
        <v>0</v>
      </c>
      <c r="S174" s="567">
        <f t="shared" si="316"/>
        <v>0</v>
      </c>
      <c r="T174" s="567">
        <f t="shared" si="316"/>
        <v>0</v>
      </c>
      <c r="U174" s="567">
        <f t="shared" si="316"/>
        <v>0</v>
      </c>
      <c r="V174" s="567">
        <f t="shared" si="316"/>
        <v>4.3750000000000004E-2</v>
      </c>
      <c r="W174" s="567">
        <f t="shared" si="316"/>
        <v>0.14432000000000003</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8">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8">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-2.4167000000000001</v>
      </c>
      <c r="O176" s="567">
        <f>IF(O$161=TRUE,IF(O166&lt;&gt;"",O166,O156),0)</f>
        <v>-0.1</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8">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8">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8">
      <c r="A179" s="444"/>
      <c r="B179" s="444"/>
      <c r="C179" s="444"/>
      <c r="D179" s="444"/>
      <c r="E179" s="444" t="s">
        <v>1271</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-2.4167000000000001</v>
      </c>
      <c r="O179" s="567">
        <f>SUM(O176:O178)</f>
        <v>-0.1</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8">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8">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8">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End of period</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8">
      <c r="A183" s="444"/>
      <c r="B183" s="444"/>
      <c r="C183" s="444"/>
      <c r="D183" s="444"/>
      <c r="E183" s="608" t="s">
        <v>1273</v>
      </c>
      <c r="F183" s="444"/>
      <c r="G183" s="608" t="s">
        <v>425</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30" t="b">
        <f>IF(OR(AND('Validation summary'!$B$2="2023-24",AQ182="In-period"),AND('Validation summary'!$B$2="2024-25",AQ182="In-period")),TRUE,FALSE)</f>
        <v>0</v>
      </c>
      <c r="AR183" s="485" t="b">
        <f>IF(OR(AND('Validation summary'!$B$2="2023-24",AR182="In-period"),AND('Validation summary'!$B$2="2024-25",AR182="In-period")),TRUE,FALSE)</f>
        <v>0</v>
      </c>
      <c r="AS183" s="2130"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8">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8">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0.26594999999999996</v>
      </c>
      <c r="L185" s="567">
        <f t="shared" si="320"/>
        <v>0</v>
      </c>
      <c r="M185" s="567">
        <f>IF(M$183=TRUE,M174,0)</f>
        <v>2.1100000000000001E-2</v>
      </c>
      <c r="N185" s="567">
        <f t="shared" si="320"/>
        <v>0</v>
      </c>
      <c r="O185" s="567">
        <f>IF(O$183=TRUE,O174,0)</f>
        <v>0</v>
      </c>
      <c r="P185" s="567">
        <f t="shared" si="320"/>
        <v>0</v>
      </c>
      <c r="Q185" s="568">
        <f t="shared" si="320"/>
        <v>0.25339999999999996</v>
      </c>
      <c r="R185" s="567">
        <f t="shared" si="320"/>
        <v>0</v>
      </c>
      <c r="S185" s="567">
        <f t="shared" si="320"/>
        <v>0</v>
      </c>
      <c r="T185" s="567">
        <f t="shared" si="320"/>
        <v>0</v>
      </c>
      <c r="U185" s="567">
        <f t="shared" si="320"/>
        <v>0</v>
      </c>
      <c r="V185" s="567">
        <f t="shared" si="320"/>
        <v>4.3750000000000004E-2</v>
      </c>
      <c r="W185" s="567">
        <f t="shared" si="320"/>
        <v>0.14432000000000003</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8">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8">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8">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8">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8">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Revenue</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8">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8">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0.10100000000000001</v>
      </c>
      <c r="R192" s="614">
        <f>IF(InpPerformance!R68="",0,InpPerformance!R68)</f>
        <v>0</v>
      </c>
      <c r="S192" s="614">
        <f>IF(InpPerformance!S68="",0,InpPerformance!S68)</f>
        <v>0</v>
      </c>
      <c r="T192" s="614">
        <f>IF(InpPerformance!T68="",0,InpPerformance!T68)</f>
        <v>8.1000000000000003E-2</v>
      </c>
      <c r="U192" s="614">
        <f>IF(InpPerformance!U68="",0,InpPerformance!U68)</f>
        <v>1</v>
      </c>
      <c r="V192" s="614">
        <f>IF(InpPerformance!V68="",0,InpPerformance!V68)</f>
        <v>0.5</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8">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1</v>
      </c>
      <c r="P193" s="614">
        <f>IF(InpPerformance!P69="",0,InpPerformance!P69)</f>
        <v>1</v>
      </c>
      <c r="Q193" s="615">
        <f>IF(InpPerformance!Q69="",0,InpPerformance!Q69)</f>
        <v>0.89900000000000002</v>
      </c>
      <c r="R193" s="614">
        <f>IF(InpPerformance!R69="",0,InpPerformance!R69)</f>
        <v>0</v>
      </c>
      <c r="S193" s="614">
        <f>IF(InpPerformance!S69="",0,InpPerformance!S69)</f>
        <v>0</v>
      </c>
      <c r="T193" s="614">
        <f>IF(InpPerformance!T69="",0,InpPerformance!T69)</f>
        <v>0.91900000000000004</v>
      </c>
      <c r="U193" s="614">
        <f>IF(InpPerformance!U69="",0,InpPerformance!U69)</f>
        <v>0</v>
      </c>
      <c r="V193" s="614">
        <f>IF(InpPerformance!V69="",0,InpPerformance!V69)</f>
        <v>0.5</v>
      </c>
      <c r="W193" s="614">
        <f>IF(InpPerformance!W69="",0,InpPerformance!W69)</f>
        <v>1</v>
      </c>
      <c r="X193" s="614">
        <f>IF(InpPerformance!X69="",0,InpPerformance!X69)</f>
        <v>1</v>
      </c>
      <c r="Y193" s="614">
        <f>IF(InpPerformance!Y69="",0,InpPerformance!Y69)</f>
        <v>1</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8">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8">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8">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1</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1</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8">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8">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8">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8">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8">
      <c r="A201" s="444"/>
      <c r="B201" s="444"/>
      <c r="C201" s="444"/>
      <c r="D201" s="444"/>
      <c r="E201" s="444" t="s">
        <v>1275</v>
      </c>
      <c r="F201" s="444"/>
      <c r="G201" s="609" t="str">
        <f>InpCompany!$F$11</f>
        <v>£m (2017-18 prices)</v>
      </c>
      <c r="H201" s="616">
        <f t="shared" ref="H201:H207" si="322">SUM(J201:BS201)</f>
        <v>4.7468400000000001E-2</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2.5593399999999999E-2</v>
      </c>
      <c r="R201" s="567">
        <f t="shared" si="323"/>
        <v>0</v>
      </c>
      <c r="S201" s="686">
        <f t="shared" si="323"/>
        <v>0</v>
      </c>
      <c r="T201" s="567">
        <f t="shared" si="323"/>
        <v>0</v>
      </c>
      <c r="U201" s="567">
        <f t="shared" si="323"/>
        <v>0</v>
      </c>
      <c r="V201" s="567">
        <f t="shared" si="323"/>
        <v>2.1875000000000002E-2</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8">
      <c r="A202" s="444"/>
      <c r="B202" s="444"/>
      <c r="C202" s="444"/>
      <c r="D202" s="444"/>
      <c r="E202" s="444" t="s">
        <v>1276</v>
      </c>
      <c r="F202" s="444"/>
      <c r="G202" s="609" t="str">
        <f>InpCompany!$F$11</f>
        <v>£m (2017-18 prices)</v>
      </c>
      <c r="H202" s="616">
        <f t="shared" si="322"/>
        <v>0.68105159999999987</v>
      </c>
      <c r="I202" s="617"/>
      <c r="J202" s="567">
        <f t="shared" si="323"/>
        <v>0</v>
      </c>
      <c r="K202" s="567">
        <f t="shared" si="323"/>
        <v>0.26594999999999996</v>
      </c>
      <c r="L202" s="567">
        <f t="shared" si="323"/>
        <v>0</v>
      </c>
      <c r="M202" s="567">
        <f t="shared" si="324"/>
        <v>2.1100000000000001E-2</v>
      </c>
      <c r="N202" s="567">
        <f t="shared" si="323"/>
        <v>0</v>
      </c>
      <c r="O202" s="567">
        <f t="shared" si="325"/>
        <v>0</v>
      </c>
      <c r="P202" s="567">
        <f t="shared" si="323"/>
        <v>0</v>
      </c>
      <c r="Q202" s="568">
        <f t="shared" si="323"/>
        <v>0.22780659999999997</v>
      </c>
      <c r="R202" s="567">
        <f t="shared" si="323"/>
        <v>0</v>
      </c>
      <c r="S202" s="567">
        <f t="shared" si="323"/>
        <v>0</v>
      </c>
      <c r="T202" s="567">
        <f t="shared" si="323"/>
        <v>0</v>
      </c>
      <c r="U202" s="567">
        <f t="shared" si="323"/>
        <v>0</v>
      </c>
      <c r="V202" s="567">
        <f t="shared" si="323"/>
        <v>2.1875000000000002E-2</v>
      </c>
      <c r="W202" s="567">
        <f t="shared" si="323"/>
        <v>0.14432000000000003</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8">
      <c r="A203" s="444"/>
      <c r="B203" s="444"/>
      <c r="C203" s="444"/>
      <c r="D203" s="444"/>
      <c r="E203" s="444" t="s">
        <v>1277</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8">
      <c r="A204" s="444"/>
      <c r="B204" s="444"/>
      <c r="C204" s="444"/>
      <c r="D204" s="444"/>
      <c r="E204" s="444" t="s">
        <v>1278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8">
      <c r="A205" s="444"/>
      <c r="B205" s="444"/>
      <c r="C205" s="444"/>
      <c r="D205" s="444"/>
      <c r="E205" s="444" t="s">
        <v>1279</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8">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8">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8">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8">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8">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8">
      <c r="A211" s="444"/>
      <c r="B211" s="444"/>
      <c r="C211" s="444"/>
      <c r="D211" s="444"/>
      <c r="E211" s="444" t="s">
        <v>1284</v>
      </c>
      <c r="F211" s="444"/>
      <c r="G211" s="609" t="str">
        <f>InpCompany!$F$11</f>
        <v>£m (2017-18 prices)</v>
      </c>
      <c r="H211" s="616">
        <f t="shared" si="329"/>
        <v>-2.5167000000000002</v>
      </c>
      <c r="I211" s="617"/>
      <c r="J211" s="567">
        <f t="shared" si="330"/>
        <v>0</v>
      </c>
      <c r="K211" s="567">
        <f t="shared" si="330"/>
        <v>0</v>
      </c>
      <c r="L211" s="567">
        <f t="shared" si="330"/>
        <v>0</v>
      </c>
      <c r="M211" s="567">
        <f t="shared" si="331"/>
        <v>0</v>
      </c>
      <c r="N211" s="686">
        <f t="shared" si="330"/>
        <v>-2.4167000000000001</v>
      </c>
      <c r="O211" s="567">
        <f t="shared" si="332"/>
        <v>-0.1</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8">
      <c r="A212" s="444"/>
      <c r="B212" s="444"/>
      <c r="C212" s="444"/>
      <c r="D212" s="444"/>
      <c r="E212" s="444" t="s">
        <v>1285</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8">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8">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8">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8">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8">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8">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8">
      <c r="A219" s="444"/>
      <c r="B219" s="444"/>
      <c r="C219" s="444"/>
      <c r="D219" s="444"/>
      <c r="E219" s="444" t="s">
        <v>1291</v>
      </c>
      <c r="F219" s="444"/>
      <c r="G219" s="609" t="str">
        <f>InpCompany!$F$11</f>
        <v>£m (2017-18 prices)</v>
      </c>
      <c r="H219" s="616">
        <f t="shared" ref="H219:H225" si="336">SUM(J219:BS219)</f>
        <v>4.7468400000000001E-2</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2.5593399999999999E-2</v>
      </c>
      <c r="R219" s="567">
        <f t="shared" si="337"/>
        <v>0</v>
      </c>
      <c r="S219" s="567">
        <f t="shared" si="337"/>
        <v>0</v>
      </c>
      <c r="T219" s="567">
        <f t="shared" si="337"/>
        <v>0</v>
      </c>
      <c r="U219" s="567">
        <f t="shared" si="337"/>
        <v>0</v>
      </c>
      <c r="V219" s="567">
        <f t="shared" si="337"/>
        <v>2.1875000000000002E-2</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8">
      <c r="A220" s="444"/>
      <c r="B220" s="444"/>
      <c r="C220" s="444"/>
      <c r="D220" s="444"/>
      <c r="E220" s="444" t="s">
        <v>1292</v>
      </c>
      <c r="F220" s="444"/>
      <c r="G220" s="609" t="str">
        <f>InpCompany!$F$11</f>
        <v>£m (2017-18 prices)</v>
      </c>
      <c r="H220" s="616">
        <f t="shared" si="336"/>
        <v>0.68105159999999987</v>
      </c>
      <c r="I220" s="617"/>
      <c r="J220" s="567">
        <f t="shared" si="337"/>
        <v>0</v>
      </c>
      <c r="K220" s="567">
        <f t="shared" si="337"/>
        <v>0.26594999999999996</v>
      </c>
      <c r="L220" s="567">
        <f t="shared" si="337"/>
        <v>0</v>
      </c>
      <c r="M220" s="567">
        <f t="shared" si="338"/>
        <v>2.1100000000000001E-2</v>
      </c>
      <c r="N220" s="567">
        <f t="shared" si="337"/>
        <v>0</v>
      </c>
      <c r="O220" s="567">
        <f t="shared" si="339"/>
        <v>0</v>
      </c>
      <c r="P220" s="567">
        <f t="shared" si="337"/>
        <v>0</v>
      </c>
      <c r="Q220" s="568">
        <f t="shared" si="337"/>
        <v>0.22780659999999997</v>
      </c>
      <c r="R220" s="567">
        <f t="shared" si="337"/>
        <v>0</v>
      </c>
      <c r="S220" s="567">
        <f t="shared" si="337"/>
        <v>0</v>
      </c>
      <c r="T220" s="567">
        <f t="shared" si="337"/>
        <v>0</v>
      </c>
      <c r="U220" s="567">
        <f t="shared" si="337"/>
        <v>0</v>
      </c>
      <c r="V220" s="567">
        <f t="shared" si="337"/>
        <v>2.1875000000000002E-2</v>
      </c>
      <c r="W220" s="567">
        <f t="shared" si="337"/>
        <v>0.14432000000000003</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8">
      <c r="A221" s="444"/>
      <c r="B221" s="444"/>
      <c r="C221" s="444"/>
      <c r="D221" s="444"/>
      <c r="E221" s="444" t="s">
        <v>1293</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8">
      <c r="A222" s="444"/>
      <c r="B222" s="444"/>
      <c r="C222" s="444"/>
      <c r="D222" s="444"/>
      <c r="E222" s="444" t="s">
        <v>1294</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8">
      <c r="A223" s="444"/>
      <c r="B223" s="444"/>
      <c r="C223" s="444"/>
      <c r="D223" s="444"/>
      <c r="E223" s="444" t="s">
        <v>1295</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8">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8">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8">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8">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8">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8">
      <c r="A229" s="444"/>
      <c r="B229" s="444"/>
      <c r="C229" s="444"/>
      <c r="D229" s="454"/>
      <c r="E229" s="444" t="s">
        <v>1300</v>
      </c>
      <c r="F229" s="444"/>
      <c r="G229" s="609" t="str">
        <f>InpCompany!$F$11</f>
        <v>£m (2017-18 prices)</v>
      </c>
      <c r="H229" s="616">
        <f t="shared" si="343"/>
        <v>0</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8">
      <c r="A230" s="444"/>
      <c r="B230" s="444"/>
      <c r="C230" s="444"/>
      <c r="D230" s="444"/>
      <c r="E230" s="444" t="s">
        <v>1301</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8">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8">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8">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8">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8">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8">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8">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8">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8">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8">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8">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8">
      <c r="A242" s="444"/>
      <c r="B242" s="444"/>
      <c r="C242" s="444"/>
      <c r="D242" s="444"/>
      <c r="E242" s="1397" t="s">
        <v>1309</v>
      </c>
      <c r="F242" s="624">
        <f t="shared" ref="F242:F248" si="350">H201</f>
        <v>4.7468400000000001E-2</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8">
      <c r="A243" s="444"/>
      <c r="B243" s="444"/>
      <c r="C243" s="444"/>
      <c r="D243" s="444"/>
      <c r="E243" s="623" t="s">
        <v>1310</v>
      </c>
      <c r="F243" s="624">
        <f t="shared" si="350"/>
        <v>0.68105159999999987</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8">
      <c r="A244" s="444"/>
      <c r="B244" s="444"/>
      <c r="C244" s="444"/>
      <c r="D244" s="444"/>
      <c r="E244" s="623" t="s">
        <v>1311</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8">
      <c r="A245" s="444"/>
      <c r="B245" s="444"/>
      <c r="C245" s="444"/>
      <c r="D245" s="444"/>
      <c r="E245" s="623" t="s">
        <v>1312</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8">
      <c r="A246" s="444"/>
      <c r="B246" s="444"/>
      <c r="C246" s="444"/>
      <c r="D246" s="444"/>
      <c r="E246" s="623" t="s">
        <v>1313</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8">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8">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8">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8">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8">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8">
      <c r="A252" s="444"/>
      <c r="B252" s="444"/>
      <c r="C252" s="444"/>
      <c r="D252" s="444"/>
      <c r="E252" s="623" t="s">
        <v>1318</v>
      </c>
      <c r="F252" s="624">
        <f t="shared" si="351"/>
        <v>-2.5167000000000002</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8">
      <c r="A253" s="444"/>
      <c r="B253" s="444"/>
      <c r="C253" s="444"/>
      <c r="D253" s="444"/>
      <c r="E253" s="623" t="s">
        <v>1319</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8">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8">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8">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8">
      <c r="A257" s="444"/>
      <c r="B257" s="444"/>
      <c r="C257" s="444"/>
      <c r="D257" s="444"/>
      <c r="E257" s="1397"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8">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8">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8">
      <c r="A260" s="444"/>
      <c r="B260" s="444"/>
      <c r="C260" s="444"/>
      <c r="D260" s="444"/>
      <c r="E260" s="444" t="s">
        <v>1325</v>
      </c>
      <c r="F260" s="616">
        <f t="shared" ref="F260:F266" si="352">H219</f>
        <v>4.7468400000000001E-2</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8">
      <c r="A261" s="444"/>
      <c r="B261" s="444"/>
      <c r="C261" s="444"/>
      <c r="D261" s="444"/>
      <c r="E261" s="444" t="s">
        <v>1326</v>
      </c>
      <c r="F261" s="616">
        <f t="shared" si="352"/>
        <v>0.68105159999999987</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8">
      <c r="A262" s="444"/>
      <c r="B262" s="444"/>
      <c r="C262" s="444"/>
      <c r="D262" s="444"/>
      <c r="E262" s="444" t="s">
        <v>1327</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8">
      <c r="A263" s="444"/>
      <c r="B263" s="444"/>
      <c r="C263" s="444"/>
      <c r="D263" s="444"/>
      <c r="E263" s="444" t="s">
        <v>1328</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8">
      <c r="A264" s="444"/>
      <c r="B264" s="444"/>
      <c r="C264" s="444"/>
      <c r="D264" s="444"/>
      <c r="E264" s="444" t="s">
        <v>1329</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8">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8">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8">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8">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8">
      <c r="A269" s="623"/>
      <c r="B269" s="623"/>
      <c r="C269" s="623"/>
      <c r="D269" s="623"/>
      <c r="E269" s="608" t="s">
        <v>1333</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8">
      <c r="A270" s="623"/>
      <c r="B270" s="623"/>
      <c r="C270" s="623"/>
      <c r="D270" s="623"/>
      <c r="E270" s="608" t="s">
        <v>1334</v>
      </c>
      <c r="F270" s="1956">
        <f t="shared" si="353"/>
        <v>0</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8">
      <c r="A271" s="623"/>
      <c r="B271" s="623"/>
      <c r="C271" s="623"/>
      <c r="D271" s="623"/>
      <c r="E271" s="608" t="s">
        <v>1335</v>
      </c>
      <c r="F271" s="1956">
        <f t="shared" si="353"/>
        <v>0</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8">
      <c r="A272" s="623"/>
      <c r="B272" s="623"/>
      <c r="C272" s="623"/>
      <c r="D272" s="623"/>
      <c r="E272" s="608" t="s">
        <v>1336</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8">
      <c r="A273" s="623"/>
      <c r="B273" s="623"/>
      <c r="C273" s="623"/>
      <c r="D273" s="623"/>
      <c r="E273" s="608" t="s">
        <v>1337</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8">
      <c r="A274" s="623"/>
      <c r="B274" s="623"/>
      <c r="C274" s="623"/>
      <c r="D274" s="623"/>
      <c r="E274" s="608" t="s">
        <v>1338</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8">
      <c r="A275" s="623"/>
      <c r="B275" s="623"/>
      <c r="C275" s="623"/>
      <c r="D275" s="623"/>
      <c r="E275" s="608" t="s">
        <v>1339</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8">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8">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8">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8">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8">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8">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8">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8">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8">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8">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8">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8">
      <c r="A287" s="623"/>
      <c r="B287" s="623"/>
      <c r="C287" s="623"/>
      <c r="D287" s="623"/>
      <c r="E287" s="623" t="s">
        <v>1349</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8">
      <c r="A288" s="623"/>
      <c r="B288" s="623"/>
      <c r="C288" s="623"/>
      <c r="D288" s="623"/>
      <c r="E288" s="623" t="s">
        <v>1351</v>
      </c>
      <c r="F288" s="1811">
        <f t="shared" si="355"/>
        <v>-2.5167000000000002</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8">
      <c r="A289" s="623"/>
      <c r="B289" s="623"/>
      <c r="C289" s="623"/>
      <c r="D289" s="623"/>
      <c r="E289" s="623" t="s">
        <v>1352</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8">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8">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8">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8">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8">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8">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8">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8">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8">
      <c r="A298" s="444"/>
      <c r="B298" s="444"/>
      <c r="C298" s="444"/>
      <c r="D298" s="444"/>
      <c r="E298" s="623" t="s">
        <v>1359</v>
      </c>
      <c r="F298" s="627">
        <f t="shared" ref="F298:F304" si="356">IF(F242=0,0,F260/F242)</f>
        <v>1</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8">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8">
      <c r="A300" s="444"/>
      <c r="B300" s="444"/>
      <c r="C300" s="444"/>
      <c r="D300" s="444"/>
      <c r="E300" s="623" t="s">
        <v>1361</v>
      </c>
      <c r="F300" s="627">
        <f t="shared" si="356"/>
        <v>0</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8">
      <c r="A301" s="444"/>
      <c r="B301" s="444"/>
      <c r="C301" s="444"/>
      <c r="D301" s="444"/>
      <c r="E301" s="623" t="s">
        <v>1362</v>
      </c>
      <c r="F301" s="627">
        <f t="shared" si="356"/>
        <v>0</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8">
      <c r="A302" s="444"/>
      <c r="B302" s="444"/>
      <c r="C302" s="444"/>
      <c r="D302" s="444"/>
      <c r="E302" s="623" t="s">
        <v>1363</v>
      </c>
      <c r="F302" s="627">
        <f t="shared" si="356"/>
        <v>0</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8">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8">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8">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8">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8">
      <c r="A307" s="1409"/>
      <c r="B307" s="1409"/>
      <c r="C307" s="1409"/>
      <c r="D307" s="1409"/>
      <c r="E307" s="1397" t="s">
        <v>1367</v>
      </c>
      <c r="F307" s="627">
        <f t="shared" ref="F307:F313" si="357">IF(F269=0,0,F269/F251)</f>
        <v>0</v>
      </c>
      <c r="G307" s="623" t="s">
        <v>1061</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8">
      <c r="A308" s="1409"/>
      <c r="B308" s="1409"/>
      <c r="C308" s="1409"/>
      <c r="D308" s="1409"/>
      <c r="E308" s="623" t="s">
        <v>1368</v>
      </c>
      <c r="F308" s="627">
        <f>IF(F270=0,0,F270/F252)</f>
        <v>0</v>
      </c>
      <c r="G308" s="623" t="s">
        <v>1061</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8">
      <c r="A309" s="1409"/>
      <c r="B309" s="1409"/>
      <c r="C309" s="1409"/>
      <c r="D309" s="1409"/>
      <c r="E309" s="623" t="s">
        <v>1369</v>
      </c>
      <c r="F309" s="627">
        <f t="shared" si="357"/>
        <v>0</v>
      </c>
      <c r="G309" s="623" t="s">
        <v>1061</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8">
      <c r="A310" s="1409"/>
      <c r="B310" s="1409"/>
      <c r="C310" s="1409"/>
      <c r="D310" s="1409"/>
      <c r="E310" s="623" t="s">
        <v>1370</v>
      </c>
      <c r="F310" s="627">
        <f t="shared" si="357"/>
        <v>0</v>
      </c>
      <c r="G310" s="623" t="s">
        <v>1061</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8">
      <c r="A311" s="1409"/>
      <c r="B311" s="1409"/>
      <c r="C311" s="1409"/>
      <c r="D311" s="1409"/>
      <c r="E311" s="623" t="s">
        <v>1371</v>
      </c>
      <c r="F311" s="627">
        <f t="shared" si="357"/>
        <v>0</v>
      </c>
      <c r="G311" s="623" t="s">
        <v>1061</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8">
      <c r="A312" s="1409"/>
      <c r="B312" s="1409"/>
      <c r="C312" s="1409"/>
      <c r="D312" s="1409"/>
      <c r="E312" s="623" t="s">
        <v>1372</v>
      </c>
      <c r="F312" s="627">
        <f t="shared" si="357"/>
        <v>0</v>
      </c>
      <c r="G312" s="623" t="s">
        <v>1061</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8">
      <c r="A313" s="1409"/>
      <c r="B313" s="1409"/>
      <c r="C313" s="1409"/>
      <c r="D313" s="1409"/>
      <c r="E313" s="623" t="s">
        <v>1373</v>
      </c>
      <c r="F313" s="627">
        <f t="shared" si="357"/>
        <v>0</v>
      </c>
      <c r="G313" s="623" t="s">
        <v>1061</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8">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8">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8">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8">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8">
      <c r="A318" s="444"/>
      <c r="B318" s="444"/>
      <c r="C318" s="444"/>
      <c r="D318" s="444"/>
      <c r="E318" s="623" t="s">
        <v>1376</v>
      </c>
      <c r="F318" s="1959">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8">
      <c r="A319" s="444"/>
      <c r="B319" s="444"/>
      <c r="C319" s="444"/>
      <c r="D319" s="444"/>
      <c r="E319" s="623" t="s">
        <v>1378</v>
      </c>
      <c r="F319" s="1959">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8">
      <c r="A320" s="444"/>
      <c r="B320" s="444"/>
      <c r="C320" s="444"/>
      <c r="D320" s="444"/>
      <c r="E320" s="623" t="s">
        <v>1380</v>
      </c>
      <c r="F320" s="1960">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8">
      <c r="A321" s="444"/>
      <c r="B321" s="444"/>
      <c r="C321" s="444"/>
      <c r="D321" s="444"/>
      <c r="E321" s="623" t="s">
        <v>1381</v>
      </c>
      <c r="F321" s="1960">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8">
      <c r="A322" s="444"/>
      <c r="B322" s="444"/>
      <c r="C322" s="444"/>
      <c r="D322" s="444"/>
      <c r="E322" s="623" t="s">
        <v>1382</v>
      </c>
      <c r="F322" s="1960">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8">
      <c r="A323" s="444"/>
      <c r="B323" s="444"/>
      <c r="C323" s="444"/>
      <c r="D323" s="444"/>
      <c r="E323" s="623" t="s">
        <v>1383</v>
      </c>
      <c r="F323" s="1960">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8">
      <c r="A324" s="444"/>
      <c r="B324" s="444"/>
      <c r="C324" s="444"/>
      <c r="D324" s="444"/>
      <c r="E324" s="623" t="s">
        <v>1384</v>
      </c>
      <c r="F324" s="1960">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8">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8">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8">
      <c r="A327" s="444"/>
      <c r="B327" s="444"/>
      <c r="C327" s="444"/>
      <c r="D327" s="444"/>
      <c r="E327" s="623" t="s">
        <v>1386</v>
      </c>
      <c r="F327" s="1959">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8">
      <c r="A328" s="444"/>
      <c r="B328" s="444"/>
      <c r="C328" s="444"/>
      <c r="D328" s="444"/>
      <c r="E328" s="623" t="s">
        <v>1388</v>
      </c>
      <c r="F328" s="1959">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8">
      <c r="A329" s="444"/>
      <c r="B329" s="444"/>
      <c r="C329" s="444"/>
      <c r="D329" s="444"/>
      <c r="E329" s="623" t="s">
        <v>1390</v>
      </c>
      <c r="F329" s="1960">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8">
      <c r="A330" s="444"/>
      <c r="B330" s="444"/>
      <c r="C330" s="444"/>
      <c r="D330" s="444"/>
      <c r="E330" s="623" t="s">
        <v>1391</v>
      </c>
      <c r="F330" s="1960">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8">
      <c r="A331" s="444"/>
      <c r="B331" s="444"/>
      <c r="C331" s="444"/>
      <c r="D331" s="444"/>
      <c r="E331" s="623" t="s">
        <v>1392</v>
      </c>
      <c r="F331" s="1960">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8">
      <c r="A332" s="444"/>
      <c r="B332" s="444"/>
      <c r="C332" s="444"/>
      <c r="D332" s="444"/>
      <c r="E332" s="623" t="s">
        <v>1393</v>
      </c>
      <c r="F332" s="1960">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8">
      <c r="A333" s="444"/>
      <c r="B333" s="444"/>
      <c r="C333" s="444"/>
      <c r="D333" s="444"/>
      <c r="E333" s="623" t="s">
        <v>1394</v>
      </c>
      <c r="F333" s="1960">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8">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935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6" customWidth="1"/>
    <col min="5" max="5" width="76.8984375" style="206" customWidth="1"/>
    <col min="6" max="8" width="15.59765625" style="206" customWidth="1"/>
    <col min="9" max="9" width="2.59765625" style="206" customWidth="1"/>
    <col min="10" max="12" width="18.59765625" style="206" customWidth="1"/>
    <col min="13" max="13" width="8.59765625" style="206" customWidth="1"/>
    <col min="14" max="16384" width="8.59765625" style="206"/>
  </cols>
  <sheetData>
    <row r="1" spans="1:17" s="231" customFormat="1" ht="45">
      <c r="A1" s="675" t="str">
        <f ca="1" xml:space="preserve"> RIGHT(CELL("filename", $A$1), LEN(CELL("filename", $A$1)) - SEARCH("]", CELL("filename", $A$1)))</f>
        <v>Sharing mechanism</v>
      </c>
      <c r="B1" s="630"/>
      <c r="C1" s="230"/>
      <c r="D1" s="230"/>
      <c r="E1" s="230"/>
      <c r="F1" s="230"/>
      <c r="G1" s="230"/>
      <c r="H1" s="230"/>
      <c r="I1" s="230"/>
      <c r="J1" s="230"/>
      <c r="K1" s="230"/>
      <c r="L1" s="631" t="str">
        <f>InpCompany!F5</f>
        <v>South Staffs Water</v>
      </c>
    </row>
    <row r="2" spans="1:17" s="201" customFormat="1" ht="13.8">
      <c r="A2" s="444"/>
      <c r="B2" s="444"/>
      <c r="C2" s="444"/>
      <c r="D2" s="444"/>
      <c r="E2" s="444"/>
      <c r="F2" s="453" t="s">
        <v>1045</v>
      </c>
      <c r="G2" s="453" t="s">
        <v>131</v>
      </c>
      <c r="H2" s="453" t="s">
        <v>1046</v>
      </c>
      <c r="I2" s="454"/>
      <c r="J2" s="444"/>
      <c r="K2" s="444"/>
      <c r="L2" s="444"/>
    </row>
    <row r="3" spans="1:17" s="205" customFormat="1" ht="13.8">
      <c r="A3" s="632" t="s">
        <v>1063</v>
      </c>
      <c r="B3" s="633"/>
      <c r="C3" s="633"/>
      <c r="D3" s="634"/>
      <c r="E3" s="635"/>
      <c r="F3" s="635"/>
      <c r="G3" s="635"/>
      <c r="H3" s="636"/>
      <c r="I3" s="635"/>
      <c r="J3" s="635"/>
      <c r="K3" s="635"/>
      <c r="L3" s="635"/>
    </row>
    <row r="4" spans="1:17" s="201" customFormat="1" ht="13.8">
      <c r="A4" s="444"/>
      <c r="B4" s="444"/>
      <c r="C4" s="444"/>
      <c r="D4" s="444"/>
      <c r="E4" s="444"/>
      <c r="F4" s="444"/>
      <c r="G4" s="485"/>
      <c r="H4" s="444"/>
      <c r="I4" s="444"/>
      <c r="J4" s="637" t="s">
        <v>1114</v>
      </c>
      <c r="K4" s="637" t="s">
        <v>1115</v>
      </c>
      <c r="L4" s="637" t="s">
        <v>1395</v>
      </c>
      <c r="O4" s="215"/>
      <c r="Q4" s="215"/>
    </row>
    <row r="5" spans="1:17" s="232" customFormat="1" ht="13.8">
      <c r="A5" s="638"/>
      <c r="B5" s="639"/>
      <c r="C5" s="640" t="s">
        <v>1396</v>
      </c>
      <c r="D5" s="641"/>
      <c r="E5" s="639"/>
      <c r="F5" s="639"/>
      <c r="G5" s="642"/>
      <c r="H5" s="639"/>
      <c r="I5" s="639"/>
      <c r="J5" s="639"/>
      <c r="K5" s="639"/>
      <c r="L5" s="639"/>
    </row>
    <row r="6" spans="1:17" ht="13.8">
      <c r="A6" s="446"/>
      <c r="B6" s="446"/>
      <c r="C6" s="446"/>
      <c r="D6" s="446"/>
      <c r="E6" s="446"/>
      <c r="F6" s="446"/>
      <c r="G6" s="462"/>
      <c r="H6" s="446"/>
      <c r="I6" s="446"/>
      <c r="J6" s="643"/>
      <c r="K6" s="643"/>
      <c r="L6" s="643"/>
      <c r="M6" s="233"/>
      <c r="O6" s="210"/>
      <c r="Q6" s="210"/>
    </row>
    <row r="7" spans="1:17" ht="13.8">
      <c r="A7" s="446"/>
      <c r="B7" s="446"/>
      <c r="C7" s="446"/>
      <c r="D7" s="451" t="s">
        <v>1308</v>
      </c>
      <c r="E7" s="446"/>
      <c r="F7" s="446"/>
      <c r="G7" s="462"/>
      <c r="H7" s="446"/>
      <c r="I7" s="446"/>
      <c r="J7" s="446"/>
      <c r="K7" s="446"/>
      <c r="L7" s="446"/>
      <c r="O7" s="210"/>
      <c r="Q7" s="210"/>
    </row>
    <row r="8" spans="1:17" s="234" customFormat="1" ht="13.8">
      <c r="A8" s="644"/>
      <c r="B8" s="644"/>
      <c r="C8" s="644"/>
      <c r="D8" s="644"/>
      <c r="E8" s="645" t="str">
        <f>Performance!E242</f>
        <v>Outperformance payments earned this reporting year - Water resources</v>
      </c>
      <c r="F8" s="579">
        <f>Performance!F242</f>
        <v>4.7468400000000001E-2</v>
      </c>
      <c r="G8" s="645" t="str">
        <f>Performance!G242</f>
        <v>£m (2017-18 prices)</v>
      </c>
      <c r="H8" s="579"/>
      <c r="I8" s="644"/>
      <c r="J8" s="644"/>
      <c r="K8" s="644"/>
      <c r="L8" s="644"/>
      <c r="O8" s="235"/>
      <c r="Q8" s="235"/>
    </row>
    <row r="9" spans="1:17" s="234" customFormat="1" ht="13.8">
      <c r="A9" s="644"/>
      <c r="B9" s="644"/>
      <c r="C9" s="644"/>
      <c r="D9" s="644"/>
      <c r="E9" s="645" t="str">
        <f>Performance!E243</f>
        <v>Outperformance payments earned this reporting year - Water network plus</v>
      </c>
      <c r="F9" s="579">
        <f>Performance!F243</f>
        <v>0.68105159999999987</v>
      </c>
      <c r="G9" s="645" t="str">
        <f>Performance!G243</f>
        <v>£m (2017-18 prices)</v>
      </c>
      <c r="H9" s="579"/>
      <c r="I9" s="644"/>
      <c r="J9" s="644"/>
      <c r="K9" s="644"/>
      <c r="L9" s="644"/>
      <c r="O9" s="235"/>
      <c r="Q9" s="235"/>
    </row>
    <row r="10" spans="1:17" s="234" customFormat="1" ht="13.8">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8">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8">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8">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8">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8">
      <c r="A15" s="446"/>
      <c r="B15" s="446"/>
      <c r="C15" s="446"/>
      <c r="D15" s="446"/>
      <c r="E15" s="446"/>
      <c r="F15" s="446"/>
      <c r="G15" s="462"/>
      <c r="H15" s="446"/>
      <c r="I15" s="446"/>
      <c r="J15" s="446"/>
      <c r="K15" s="446"/>
      <c r="L15" s="446"/>
      <c r="O15" s="210"/>
      <c r="Q15" s="210"/>
    </row>
    <row r="16" spans="1:17" ht="13.8">
      <c r="A16" s="446"/>
      <c r="B16" s="446"/>
      <c r="C16" s="446"/>
      <c r="D16" s="451" t="s">
        <v>1397</v>
      </c>
      <c r="E16" s="446"/>
      <c r="F16" s="446"/>
      <c r="G16" s="462"/>
      <c r="H16" s="446"/>
      <c r="I16" s="446"/>
      <c r="J16" s="451"/>
      <c r="K16" s="451"/>
      <c r="L16" s="451"/>
      <c r="M16" s="210"/>
      <c r="O16" s="210"/>
      <c r="Q16" s="210"/>
    </row>
    <row r="17" spans="1:17" ht="13.8">
      <c r="A17" s="446"/>
      <c r="B17" s="446"/>
      <c r="C17" s="446"/>
      <c r="D17" s="446"/>
      <c r="E17" s="444" t="s">
        <v>1398</v>
      </c>
      <c r="F17" s="446"/>
      <c r="G17" s="462" t="str">
        <f>InpCompany!$F$11</f>
        <v>£m (2017-18 prices)</v>
      </c>
      <c r="H17" s="446"/>
      <c r="I17" s="446"/>
      <c r="J17" s="481">
        <f>F8</f>
        <v>4.7468400000000001E-2</v>
      </c>
      <c r="K17" s="446"/>
      <c r="L17" s="446"/>
      <c r="O17" s="210"/>
      <c r="Q17" s="210"/>
    </row>
    <row r="18" spans="1:17" ht="13.8">
      <c r="A18" s="446"/>
      <c r="B18" s="446"/>
      <c r="C18" s="446"/>
      <c r="D18" s="446"/>
      <c r="E18" s="444" t="s">
        <v>1399</v>
      </c>
      <c r="F18" s="446"/>
      <c r="G18" s="462" t="str">
        <f>InpCompany!$F$11</f>
        <v>£m (2017-18 prices)</v>
      </c>
      <c r="H18" s="446"/>
      <c r="I18" s="446"/>
      <c r="J18" s="481">
        <f>F9</f>
        <v>0.68105159999999987</v>
      </c>
      <c r="K18" s="446"/>
      <c r="L18" s="446"/>
      <c r="O18" s="210"/>
      <c r="Q18" s="210"/>
    </row>
    <row r="19" spans="1:17" ht="13.8">
      <c r="A19" s="446"/>
      <c r="B19" s="446"/>
      <c r="C19" s="446"/>
      <c r="D19" s="446"/>
      <c r="E19" s="444" t="s">
        <v>1400</v>
      </c>
      <c r="F19" s="446"/>
      <c r="G19" s="462" t="str">
        <f>InpCompany!$F$11</f>
        <v>£m (2017-18 prices)</v>
      </c>
      <c r="H19" s="446"/>
      <c r="I19" s="446"/>
      <c r="J19" s="643"/>
      <c r="K19" s="481">
        <f>F10</f>
        <v>0</v>
      </c>
      <c r="L19" s="446"/>
      <c r="O19" s="210"/>
      <c r="Q19" s="210"/>
    </row>
    <row r="20" spans="1:17" ht="13.8">
      <c r="A20" s="446"/>
      <c r="B20" s="446"/>
      <c r="C20" s="446"/>
      <c r="D20" s="446"/>
      <c r="E20" s="444" t="s">
        <v>1401</v>
      </c>
      <c r="F20" s="446"/>
      <c r="G20" s="462" t="str">
        <f>InpCompany!$F$11</f>
        <v>£m (2017-18 prices)</v>
      </c>
      <c r="H20" s="446"/>
      <c r="I20" s="446"/>
      <c r="J20" s="643"/>
      <c r="K20" s="481">
        <f>F11</f>
        <v>0</v>
      </c>
      <c r="L20" s="446"/>
      <c r="O20" s="210"/>
      <c r="Q20" s="210"/>
    </row>
    <row r="21" spans="1:17" ht="13.8">
      <c r="A21" s="446"/>
      <c r="B21" s="446"/>
      <c r="C21" s="446"/>
      <c r="D21" s="446"/>
      <c r="E21" s="444" t="s">
        <v>1402</v>
      </c>
      <c r="F21" s="446"/>
      <c r="G21" s="462" t="str">
        <f>InpCompany!$F$11</f>
        <v>£m (2017-18 prices)</v>
      </c>
      <c r="H21" s="446"/>
      <c r="I21" s="446"/>
      <c r="J21" s="643"/>
      <c r="K21" s="446"/>
      <c r="L21" s="481">
        <f>F12</f>
        <v>0</v>
      </c>
      <c r="O21" s="210"/>
      <c r="Q21" s="210"/>
    </row>
    <row r="22" spans="1:17" ht="13.8">
      <c r="A22" s="446"/>
      <c r="B22" s="446"/>
      <c r="C22" s="446"/>
      <c r="D22" s="446"/>
      <c r="E22" s="444" t="s">
        <v>1403</v>
      </c>
      <c r="F22" s="446"/>
      <c r="G22" s="462" t="str">
        <f>InpCompany!$F$11</f>
        <v>£m (2017-18 prices)</v>
      </c>
      <c r="H22" s="446"/>
      <c r="I22" s="446"/>
      <c r="J22" s="643"/>
      <c r="K22" s="446"/>
      <c r="L22" s="481">
        <f>F13</f>
        <v>0</v>
      </c>
      <c r="O22" s="210"/>
      <c r="Q22" s="210"/>
    </row>
    <row r="23" spans="1:17" ht="13.8">
      <c r="A23" s="446"/>
      <c r="B23" s="446"/>
      <c r="C23" s="446"/>
      <c r="D23" s="446"/>
      <c r="E23" s="444" t="s">
        <v>1404</v>
      </c>
      <c r="F23" s="446"/>
      <c r="G23" s="462" t="str">
        <f>InpCompany!$F$11</f>
        <v>£m (2017-18 prices)</v>
      </c>
      <c r="H23" s="446"/>
      <c r="I23" s="446"/>
      <c r="J23" s="643"/>
      <c r="K23" s="446"/>
      <c r="L23" s="481">
        <f>F14</f>
        <v>0</v>
      </c>
      <c r="O23" s="210"/>
      <c r="Q23" s="210"/>
    </row>
    <row r="24" spans="1:17" ht="13.8">
      <c r="A24" s="446"/>
      <c r="B24" s="446"/>
      <c r="C24" s="446"/>
      <c r="D24" s="446"/>
      <c r="E24" s="446"/>
      <c r="F24" s="446"/>
      <c r="G24" s="462"/>
      <c r="H24" s="446"/>
      <c r="I24" s="446"/>
      <c r="J24" s="446"/>
      <c r="K24" s="446"/>
      <c r="L24" s="446"/>
      <c r="O24" s="210"/>
      <c r="Q24" s="210"/>
    </row>
    <row r="25" spans="1:17" ht="13.8">
      <c r="A25" s="446"/>
      <c r="B25" s="446"/>
      <c r="C25" s="446"/>
      <c r="D25" s="446"/>
      <c r="E25" s="446" t="s">
        <v>1405</v>
      </c>
      <c r="F25" s="446"/>
      <c r="G25" s="462" t="str">
        <f>InpCompany!$F$11</f>
        <v>£m (2017-18 prices)</v>
      </c>
      <c r="H25" s="446"/>
      <c r="I25" s="446"/>
      <c r="J25" s="481">
        <f>SUM(J17:J23)</f>
        <v>0.72851999999999983</v>
      </c>
      <c r="K25" s="481">
        <f>SUM(K17:K23)</f>
        <v>0</v>
      </c>
      <c r="L25" s="481">
        <f>SUM(L17:L23)</f>
        <v>0</v>
      </c>
      <c r="O25" s="210"/>
      <c r="Q25" s="210"/>
    </row>
    <row r="26" spans="1:17" ht="13.8">
      <c r="A26" s="446"/>
      <c r="B26" s="446"/>
      <c r="C26" s="446"/>
      <c r="D26" s="446"/>
      <c r="E26" s="446"/>
      <c r="F26" s="446"/>
      <c r="G26" s="462"/>
      <c r="H26" s="446"/>
      <c r="I26" s="446"/>
      <c r="J26" s="446"/>
      <c r="K26" s="643"/>
      <c r="L26" s="446"/>
      <c r="O26" s="210"/>
      <c r="Q26" s="210"/>
    </row>
    <row r="27" spans="1:17" ht="13.8">
      <c r="A27" s="446"/>
      <c r="B27" s="446"/>
      <c r="C27" s="446"/>
      <c r="D27" s="451" t="s">
        <v>1406</v>
      </c>
      <c r="E27" s="446"/>
      <c r="F27" s="446"/>
      <c r="G27" s="462"/>
      <c r="H27" s="446"/>
      <c r="I27" s="446"/>
      <c r="J27" s="446"/>
      <c r="K27" s="643"/>
      <c r="L27" s="446"/>
      <c r="O27" s="210"/>
      <c r="Q27" s="210"/>
    </row>
    <row r="28" spans="1:17" ht="13.8">
      <c r="A28" s="446"/>
      <c r="B28" s="446"/>
      <c r="C28" s="446"/>
      <c r="D28" s="446"/>
      <c r="E28" s="644" t="s">
        <v>1407</v>
      </c>
      <c r="F28" s="644"/>
      <c r="G28" s="646" t="s">
        <v>1408</v>
      </c>
      <c r="H28" s="644"/>
      <c r="I28" s="644"/>
      <c r="J28" s="645">
        <f>InpCompany!$F$17</f>
        <v>432.06029480478747</v>
      </c>
      <c r="K28" s="645">
        <f>InpCompany!$F$21</f>
        <v>0</v>
      </c>
      <c r="L28" s="643"/>
      <c r="M28" s="233"/>
      <c r="O28" s="210"/>
      <c r="Q28" s="210"/>
    </row>
    <row r="29" spans="1:17" ht="13.8">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8">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8">
      <c r="A31" s="446"/>
      <c r="B31" s="446"/>
      <c r="C31" s="446"/>
      <c r="D31" s="446"/>
      <c r="E31" s="446" t="s">
        <v>1410</v>
      </c>
      <c r="F31" s="446"/>
      <c r="G31" s="462" t="str">
        <f>InpCompany!$F$11</f>
        <v>£m (2017-18 prices)</v>
      </c>
      <c r="H31" s="446"/>
      <c r="I31" s="446"/>
      <c r="J31" s="643">
        <f>J28*J29*J30</f>
        <v>5.1847235376574492</v>
      </c>
      <c r="K31" s="643">
        <f>K28*K29*K30</f>
        <v>0</v>
      </c>
      <c r="L31" s="643"/>
      <c r="O31" s="210"/>
      <c r="Q31" s="210"/>
    </row>
    <row r="32" spans="1:17" ht="13.8">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8">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8">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8">
      <c r="A35" s="446"/>
      <c r="B35" s="446"/>
      <c r="C35" s="446"/>
      <c r="D35" s="446"/>
      <c r="E35" s="446"/>
      <c r="F35" s="446"/>
      <c r="G35" s="462"/>
      <c r="H35" s="446"/>
      <c r="I35" s="446"/>
      <c r="J35" s="446"/>
      <c r="K35" s="446"/>
      <c r="L35" s="446"/>
      <c r="O35" s="210"/>
      <c r="Q35" s="210"/>
    </row>
    <row r="36" spans="1:17" ht="13.8">
      <c r="A36" s="446"/>
      <c r="B36" s="446"/>
      <c r="C36" s="653" t="s">
        <v>1414</v>
      </c>
      <c r="D36" s="446"/>
      <c r="E36" s="446"/>
      <c r="F36" s="446"/>
      <c r="G36" s="462"/>
      <c r="H36" s="446"/>
      <c r="I36" s="446"/>
      <c r="J36" s="446"/>
      <c r="K36" s="446"/>
      <c r="L36" s="446"/>
      <c r="O36" s="233"/>
      <c r="Q36" s="233"/>
    </row>
    <row r="37" spans="1:17" ht="13.8">
      <c r="A37" s="446"/>
      <c r="B37" s="446"/>
      <c r="C37" s="446"/>
      <c r="D37" s="446"/>
      <c r="E37" s="446"/>
      <c r="F37" s="446"/>
      <c r="G37" s="462"/>
      <c r="H37" s="446"/>
      <c r="I37" s="446"/>
      <c r="J37" s="446"/>
      <c r="K37" s="446"/>
      <c r="L37" s="446"/>
      <c r="O37" s="233"/>
      <c r="Q37" s="233"/>
    </row>
    <row r="38" spans="1:17" ht="13.8">
      <c r="A38" s="446"/>
      <c r="B38" s="446"/>
      <c r="C38" s="446"/>
      <c r="D38" s="451" t="s">
        <v>1415</v>
      </c>
      <c r="E38" s="446"/>
      <c r="F38" s="446"/>
      <c r="G38" s="462"/>
      <c r="H38" s="446"/>
      <c r="I38" s="446"/>
      <c r="J38" s="643"/>
      <c r="K38" s="643"/>
      <c r="L38" s="643"/>
      <c r="O38" s="233"/>
      <c r="Q38" s="233"/>
    </row>
    <row r="39" spans="1:17" ht="13.8">
      <c r="A39" s="446"/>
      <c r="B39" s="446"/>
      <c r="C39" s="446"/>
      <c r="D39" s="446"/>
      <c r="E39" s="444" t="s">
        <v>1416</v>
      </c>
      <c r="F39" s="446"/>
      <c r="G39" s="462" t="str">
        <f>InpCompany!$F$11</f>
        <v>£m (2017-18 prices)</v>
      </c>
      <c r="H39" s="446"/>
      <c r="I39" s="446"/>
      <c r="J39" s="569">
        <f>IFERROR(J17/J$25,0)</f>
        <v>6.5157305221545073E-2</v>
      </c>
      <c r="K39" s="569">
        <f t="shared" ref="J39:L45" si="0">IFERROR(K17/K$25,0)</f>
        <v>0</v>
      </c>
      <c r="L39" s="569">
        <f>IFERROR(L17/L$25,0)</f>
        <v>0</v>
      </c>
      <c r="O39" s="233"/>
      <c r="Q39" s="233"/>
    </row>
    <row r="40" spans="1:17" ht="13.8">
      <c r="A40" s="446"/>
      <c r="B40" s="446"/>
      <c r="C40" s="446"/>
      <c r="D40" s="446"/>
      <c r="E40" s="444" t="s">
        <v>1417</v>
      </c>
      <c r="F40" s="446"/>
      <c r="G40" s="462" t="str">
        <f>InpCompany!$F$11</f>
        <v>£m (2017-18 prices)</v>
      </c>
      <c r="H40" s="446"/>
      <c r="I40" s="446"/>
      <c r="J40" s="569">
        <f t="shared" si="0"/>
        <v>0.93484269477845494</v>
      </c>
      <c r="K40" s="569">
        <f t="shared" si="0"/>
        <v>0</v>
      </c>
      <c r="L40" s="569">
        <f t="shared" si="0"/>
        <v>0</v>
      </c>
      <c r="O40" s="233"/>
      <c r="Q40" s="233"/>
    </row>
    <row r="41" spans="1:17" ht="13.8">
      <c r="A41" s="446"/>
      <c r="B41" s="446"/>
      <c r="C41" s="446"/>
      <c r="D41" s="446"/>
      <c r="E41" s="444" t="s">
        <v>1418</v>
      </c>
      <c r="F41" s="446"/>
      <c r="G41" s="462" t="str">
        <f>InpCompany!$F$11</f>
        <v>£m (2017-18 prices)</v>
      </c>
      <c r="H41" s="446"/>
      <c r="I41" s="446"/>
      <c r="J41" s="569">
        <f t="shared" si="0"/>
        <v>0</v>
      </c>
      <c r="K41" s="569">
        <f t="shared" si="0"/>
        <v>0</v>
      </c>
      <c r="L41" s="569">
        <f t="shared" si="0"/>
        <v>0</v>
      </c>
      <c r="O41" s="233"/>
      <c r="Q41" s="233"/>
    </row>
    <row r="42" spans="1:17" ht="13.8">
      <c r="A42" s="446"/>
      <c r="B42" s="446"/>
      <c r="C42" s="446"/>
      <c r="D42" s="446"/>
      <c r="E42" s="444" t="s">
        <v>1419</v>
      </c>
      <c r="F42" s="446"/>
      <c r="G42" s="462" t="str">
        <f>InpCompany!$F$11</f>
        <v>£m (2017-18 prices)</v>
      </c>
      <c r="H42" s="446"/>
      <c r="I42" s="446"/>
      <c r="J42" s="569">
        <f t="shared" si="0"/>
        <v>0</v>
      </c>
      <c r="K42" s="569">
        <f t="shared" si="0"/>
        <v>0</v>
      </c>
      <c r="L42" s="569">
        <f t="shared" si="0"/>
        <v>0</v>
      </c>
      <c r="O42" s="233"/>
      <c r="Q42" s="233"/>
    </row>
    <row r="43" spans="1:17" ht="13.8">
      <c r="A43" s="446"/>
      <c r="B43" s="446"/>
      <c r="C43" s="446"/>
      <c r="D43" s="446"/>
      <c r="E43" s="444" t="s">
        <v>1420</v>
      </c>
      <c r="F43" s="446"/>
      <c r="G43" s="462" t="str">
        <f>InpCompany!$F$11</f>
        <v>£m (2017-18 prices)</v>
      </c>
      <c r="H43" s="446"/>
      <c r="I43" s="446"/>
      <c r="J43" s="569">
        <f t="shared" si="0"/>
        <v>0</v>
      </c>
      <c r="K43" s="569">
        <f t="shared" si="0"/>
        <v>0</v>
      </c>
      <c r="L43" s="569">
        <f t="shared" si="0"/>
        <v>0</v>
      </c>
      <c r="O43" s="233"/>
      <c r="Q43" s="233"/>
    </row>
    <row r="44" spans="1:17" ht="13.8">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8">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4">
      <c r="A46" s="446"/>
      <c r="B46" s="446"/>
      <c r="C46" s="446"/>
      <c r="D46" s="446"/>
      <c r="E46" s="1353"/>
      <c r="F46" s="446"/>
      <c r="G46" s="462"/>
      <c r="H46" s="446"/>
      <c r="I46" s="446"/>
      <c r="J46" s="579"/>
      <c r="K46" s="648"/>
      <c r="L46" s="648"/>
      <c r="O46" s="233"/>
      <c r="Q46" s="233"/>
    </row>
    <row r="47" spans="1:17" ht="14.4">
      <c r="A47" s="446"/>
      <c r="B47" s="446"/>
      <c r="C47" s="446"/>
      <c r="D47" s="451" t="str">
        <f>E34</f>
        <v>Outperformance payments shared with customers (£m)</v>
      </c>
      <c r="E47" s="1353"/>
      <c r="F47" s="446"/>
      <c r="G47" s="462"/>
      <c r="H47" s="446"/>
      <c r="I47" s="446"/>
      <c r="J47" s="643"/>
      <c r="K47" s="643"/>
      <c r="L47" s="643"/>
      <c r="O47" s="233"/>
      <c r="Q47" s="233"/>
    </row>
    <row r="48" spans="1:17" ht="13.8">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8">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8">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8">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8">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8">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8">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4">
      <c r="A55" s="446"/>
      <c r="B55" s="446"/>
      <c r="C55" s="446"/>
      <c r="D55" s="446"/>
      <c r="E55" s="1353"/>
      <c r="F55" s="446"/>
      <c r="G55" s="462"/>
      <c r="H55" s="446"/>
      <c r="I55" s="446"/>
      <c r="J55" s="446"/>
      <c r="K55" s="446"/>
      <c r="L55" s="446"/>
      <c r="O55" s="233"/>
      <c r="Q55" s="233"/>
    </row>
    <row r="56" spans="1:17" ht="13.8">
      <c r="A56" s="446"/>
      <c r="B56" s="446"/>
      <c r="C56" s="446"/>
      <c r="D56" s="451" t="s">
        <v>1430</v>
      </c>
      <c r="E56" s="451"/>
      <c r="F56" s="451"/>
      <c r="G56" s="654"/>
      <c r="H56" s="446"/>
      <c r="I56" s="446"/>
      <c r="J56" s="446"/>
      <c r="K56" s="446"/>
      <c r="L56" s="446"/>
      <c r="O56" s="233"/>
      <c r="Q56" s="233"/>
    </row>
    <row r="57" spans="1:17" ht="13.8">
      <c r="A57" s="446"/>
      <c r="B57" s="446"/>
      <c r="C57" s="446"/>
      <c r="D57" s="446"/>
      <c r="E57" s="444" t="s">
        <v>1431</v>
      </c>
      <c r="F57" s="446"/>
      <c r="G57" s="462" t="str">
        <f>InpCompany!$F$11</f>
        <v>£m (2017-18 prices)</v>
      </c>
      <c r="H57" s="620">
        <f t="shared" ref="H57:H63" si="2">J57+K57+L57</f>
        <v>4.7468400000000001E-2</v>
      </c>
      <c r="I57" s="620"/>
      <c r="J57" s="481">
        <f t="shared" ref="J57:L63" si="3">J17-J48</f>
        <v>4.7468400000000001E-2</v>
      </c>
      <c r="K57" s="481">
        <f t="shared" si="3"/>
        <v>0</v>
      </c>
      <c r="L57" s="481">
        <f t="shared" si="3"/>
        <v>0</v>
      </c>
    </row>
    <row r="58" spans="1:17" ht="13.8">
      <c r="A58" s="446"/>
      <c r="B58" s="446"/>
      <c r="C58" s="446"/>
      <c r="D58" s="446"/>
      <c r="E58" s="444" t="s">
        <v>1432</v>
      </c>
      <c r="F58" s="446"/>
      <c r="G58" s="462" t="str">
        <f>InpCompany!$F$11</f>
        <v>£m (2017-18 prices)</v>
      </c>
      <c r="H58" s="620">
        <f t="shared" si="2"/>
        <v>0.68105159999999987</v>
      </c>
      <c r="I58" s="620"/>
      <c r="J58" s="481">
        <f t="shared" si="3"/>
        <v>0.68105159999999987</v>
      </c>
      <c r="K58" s="481">
        <f t="shared" si="3"/>
        <v>0</v>
      </c>
      <c r="L58" s="481">
        <f t="shared" si="3"/>
        <v>0</v>
      </c>
    </row>
    <row r="59" spans="1:17" ht="13.8">
      <c r="A59" s="446"/>
      <c r="B59" s="446"/>
      <c r="C59" s="446"/>
      <c r="D59" s="446"/>
      <c r="E59" s="444" t="s">
        <v>1433</v>
      </c>
      <c r="F59" s="446"/>
      <c r="G59" s="462" t="str">
        <f>InpCompany!$F$11</f>
        <v>£m (2017-18 prices)</v>
      </c>
      <c r="H59" s="620">
        <f t="shared" si="2"/>
        <v>0</v>
      </c>
      <c r="I59" s="620"/>
      <c r="J59" s="481">
        <f t="shared" si="3"/>
        <v>0</v>
      </c>
      <c r="K59" s="481">
        <f t="shared" si="3"/>
        <v>0</v>
      </c>
      <c r="L59" s="481">
        <f t="shared" si="3"/>
        <v>0</v>
      </c>
    </row>
    <row r="60" spans="1:17" ht="13.8">
      <c r="A60" s="446"/>
      <c r="B60" s="446"/>
      <c r="C60" s="446"/>
      <c r="D60" s="446"/>
      <c r="E60" s="444" t="s">
        <v>1434</v>
      </c>
      <c r="F60" s="446"/>
      <c r="G60" s="462" t="str">
        <f>InpCompany!$F$11</f>
        <v>£m (2017-18 prices)</v>
      </c>
      <c r="H60" s="620">
        <f t="shared" si="2"/>
        <v>0</v>
      </c>
      <c r="I60" s="620"/>
      <c r="J60" s="481">
        <f t="shared" si="3"/>
        <v>0</v>
      </c>
      <c r="K60" s="481">
        <f t="shared" si="3"/>
        <v>0</v>
      </c>
      <c r="L60" s="481">
        <f t="shared" si="3"/>
        <v>0</v>
      </c>
    </row>
    <row r="61" spans="1:17" ht="13.8">
      <c r="A61" s="446"/>
      <c r="B61" s="446"/>
      <c r="C61" s="446"/>
      <c r="D61" s="446"/>
      <c r="E61" s="444" t="s">
        <v>1435</v>
      </c>
      <c r="F61" s="446"/>
      <c r="G61" s="462" t="str">
        <f>InpCompany!$F$11</f>
        <v>£m (2017-18 prices)</v>
      </c>
      <c r="H61" s="620">
        <f t="shared" si="2"/>
        <v>0</v>
      </c>
      <c r="I61" s="620"/>
      <c r="J61" s="481">
        <f t="shared" si="3"/>
        <v>0</v>
      </c>
      <c r="K61" s="481">
        <f t="shared" si="3"/>
        <v>0</v>
      </c>
      <c r="L61" s="481">
        <f t="shared" si="3"/>
        <v>0</v>
      </c>
    </row>
    <row r="62" spans="1:17" ht="13.8">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8">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8">
      <c r="A64" s="446"/>
      <c r="B64" s="446"/>
      <c r="C64" s="446"/>
      <c r="D64" s="446"/>
      <c r="E64" s="446"/>
      <c r="F64" s="446"/>
      <c r="G64" s="462"/>
      <c r="H64" s="446"/>
      <c r="I64" s="446"/>
      <c r="J64" s="446"/>
      <c r="K64" s="446"/>
      <c r="L64" s="446"/>
    </row>
    <row r="65" spans="1:12" ht="13.8">
      <c r="A65" s="446"/>
      <c r="B65" s="446"/>
      <c r="C65" s="653" t="s">
        <v>1438</v>
      </c>
      <c r="D65" s="446"/>
      <c r="E65" s="446"/>
      <c r="F65" s="446"/>
      <c r="G65" s="462"/>
      <c r="H65" s="446"/>
      <c r="I65" s="446"/>
      <c r="J65" s="446"/>
      <c r="K65" s="446"/>
      <c r="L65" s="446"/>
    </row>
    <row r="66" spans="1:12" ht="13.8">
      <c r="A66" s="446"/>
      <c r="B66" s="446"/>
      <c r="C66" s="446"/>
      <c r="D66" s="446"/>
      <c r="E66" s="446"/>
      <c r="F66" s="446"/>
      <c r="G66" s="462"/>
      <c r="H66" s="446"/>
      <c r="I66" s="446"/>
      <c r="J66" s="446"/>
      <c r="K66" s="446"/>
      <c r="L66" s="446"/>
    </row>
    <row r="67" spans="1:12" ht="13.8">
      <c r="A67" s="446"/>
      <c r="B67" s="446"/>
      <c r="C67" s="446"/>
      <c r="D67" s="451" t="s">
        <v>1439</v>
      </c>
      <c r="E67" s="446"/>
      <c r="F67" s="446"/>
      <c r="G67" s="654"/>
      <c r="H67" s="451"/>
      <c r="I67" s="451"/>
      <c r="J67" s="446"/>
      <c r="K67" s="446"/>
      <c r="L67" s="446"/>
    </row>
    <row r="68" spans="1:12" s="234" customFormat="1" ht="13.8">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8">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8">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8">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8">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8">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8">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8">
      <c r="A75" s="446"/>
      <c r="B75" s="446"/>
      <c r="C75" s="446"/>
      <c r="D75" s="446"/>
      <c r="E75" s="446"/>
      <c r="F75" s="446"/>
      <c r="G75" s="462"/>
      <c r="H75" s="446"/>
      <c r="I75" s="446"/>
      <c r="J75" s="446"/>
      <c r="K75" s="446"/>
      <c r="L75" s="446"/>
    </row>
    <row r="76" spans="1:12" ht="13.8">
      <c r="A76" s="446"/>
      <c r="B76" s="446"/>
      <c r="C76" s="446"/>
      <c r="D76" s="451" t="s">
        <v>1440</v>
      </c>
      <c r="E76" s="446"/>
      <c r="F76" s="446"/>
      <c r="G76" s="654"/>
      <c r="H76" s="451"/>
      <c r="I76" s="451"/>
      <c r="J76" s="446"/>
      <c r="K76" s="446"/>
      <c r="L76" s="446"/>
    </row>
    <row r="77" spans="1:12" ht="13.8">
      <c r="A77" s="446"/>
      <c r="B77" s="446"/>
      <c r="C77" s="446"/>
      <c r="D77" s="446"/>
      <c r="E77" s="623" t="s">
        <v>1441</v>
      </c>
      <c r="F77" s="626">
        <f>H57*F68</f>
        <v>4.7468400000000001E-2</v>
      </c>
      <c r="G77" s="656" t="str">
        <f>InpCompany!$F$11</f>
        <v>£m (2017-18 prices)</v>
      </c>
      <c r="H77" s="446"/>
      <c r="I77" s="657"/>
      <c r="J77" s="446"/>
      <c r="K77" s="446"/>
      <c r="L77" s="446"/>
    </row>
    <row r="78" spans="1:12" ht="13.8">
      <c r="A78" s="446"/>
      <c r="B78" s="446"/>
      <c r="C78" s="446"/>
      <c r="D78" s="446"/>
      <c r="E78" s="623" t="s">
        <v>1442</v>
      </c>
      <c r="F78" s="626">
        <f t="shared" ref="F78:F83" si="4">H58*F69</f>
        <v>0.68105159999999987</v>
      </c>
      <c r="G78" s="656" t="str">
        <f>InpCompany!$F$11</f>
        <v>£m (2017-18 prices)</v>
      </c>
      <c r="H78" s="446"/>
      <c r="I78" s="657"/>
      <c r="J78" s="446"/>
      <c r="K78" s="446"/>
      <c r="L78" s="446"/>
    </row>
    <row r="79" spans="1:12" ht="13.8">
      <c r="A79" s="446"/>
      <c r="B79" s="446"/>
      <c r="C79" s="446"/>
      <c r="D79" s="446"/>
      <c r="E79" s="623" t="s">
        <v>1443</v>
      </c>
      <c r="F79" s="626">
        <f t="shared" si="4"/>
        <v>0</v>
      </c>
      <c r="G79" s="656" t="str">
        <f>InpCompany!$F$11</f>
        <v>£m (2017-18 prices)</v>
      </c>
      <c r="H79" s="446"/>
      <c r="I79" s="657"/>
      <c r="J79" s="446"/>
      <c r="K79" s="446"/>
      <c r="L79" s="446"/>
    </row>
    <row r="80" spans="1:12" ht="13.8">
      <c r="A80" s="446"/>
      <c r="B80" s="446"/>
      <c r="C80" s="446"/>
      <c r="D80" s="446"/>
      <c r="E80" s="623" t="s">
        <v>1444</v>
      </c>
      <c r="F80" s="626">
        <f t="shared" si="4"/>
        <v>0</v>
      </c>
      <c r="G80" s="656" t="str">
        <f>InpCompany!$F$11</f>
        <v>£m (2017-18 prices)</v>
      </c>
      <c r="H80" s="446"/>
      <c r="I80" s="657"/>
      <c r="J80" s="446"/>
      <c r="K80" s="446"/>
      <c r="L80" s="446"/>
    </row>
    <row r="81" spans="1:12" ht="13.8">
      <c r="A81" s="446"/>
      <c r="B81" s="446"/>
      <c r="C81" s="446"/>
      <c r="D81" s="446"/>
      <c r="E81" s="623" t="s">
        <v>1445</v>
      </c>
      <c r="F81" s="626">
        <f t="shared" si="4"/>
        <v>0</v>
      </c>
      <c r="G81" s="656" t="str">
        <f>InpCompany!$F$11</f>
        <v>£m (2017-18 prices)</v>
      </c>
      <c r="H81" s="446"/>
      <c r="I81" s="657"/>
      <c r="J81" s="446"/>
      <c r="K81" s="446"/>
      <c r="L81" s="446"/>
    </row>
    <row r="82" spans="1:12" ht="13.8">
      <c r="A82" s="446"/>
      <c r="B82" s="446"/>
      <c r="C82" s="446"/>
      <c r="D82" s="446"/>
      <c r="E82" s="623" t="s">
        <v>1446</v>
      </c>
      <c r="F82" s="626">
        <f t="shared" si="4"/>
        <v>0</v>
      </c>
      <c r="G82" s="656" t="str">
        <f>InpCompany!$F$11</f>
        <v>£m (2017-18 prices)</v>
      </c>
      <c r="H82" s="446"/>
      <c r="I82" s="657"/>
      <c r="J82" s="446"/>
      <c r="K82" s="446"/>
      <c r="L82" s="446"/>
    </row>
    <row r="83" spans="1:12" ht="13.8">
      <c r="A83" s="446"/>
      <c r="B83" s="446"/>
      <c r="C83" s="446"/>
      <c r="D83" s="446"/>
      <c r="E83" s="623" t="s">
        <v>1447</v>
      </c>
      <c r="F83" s="626">
        <f t="shared" si="4"/>
        <v>0</v>
      </c>
      <c r="G83" s="656" t="str">
        <f>InpCompany!$F$11</f>
        <v>£m (2017-18 prices)</v>
      </c>
      <c r="H83" s="446"/>
      <c r="I83" s="657"/>
      <c r="J83" s="446"/>
      <c r="K83" s="446"/>
      <c r="L83" s="446"/>
    </row>
    <row r="84" spans="1:12" ht="14.4">
      <c r="A84" s="446"/>
      <c r="B84" s="446"/>
      <c r="C84" s="446"/>
      <c r="D84" s="446"/>
      <c r="E84" s="26"/>
      <c r="F84" s="446"/>
      <c r="G84" s="656"/>
      <c r="H84" s="658"/>
      <c r="I84" s="658"/>
      <c r="J84" s="446"/>
      <c r="K84" s="446"/>
      <c r="L84" s="446"/>
    </row>
    <row r="85" spans="1:12" ht="14.4">
      <c r="A85" s="446"/>
      <c r="B85" s="446"/>
      <c r="C85" s="446"/>
      <c r="D85" s="451" t="s">
        <v>1448</v>
      </c>
      <c r="E85" s="26"/>
      <c r="F85" s="446"/>
      <c r="G85" s="659"/>
      <c r="H85" s="658"/>
      <c r="I85" s="658"/>
      <c r="J85" s="446"/>
      <c r="K85" s="446"/>
      <c r="L85" s="446"/>
    </row>
    <row r="86" spans="1:12" ht="13.8">
      <c r="A86" s="446"/>
      <c r="B86" s="446"/>
      <c r="C86" s="446"/>
      <c r="D86" s="446"/>
      <c r="E86" s="623" t="s">
        <v>1449</v>
      </c>
      <c r="F86" s="626">
        <f t="shared" ref="F86:F92" si="5">H57*(1-F68)</f>
        <v>0</v>
      </c>
      <c r="G86" s="656" t="str">
        <f>InpCompany!$F$11</f>
        <v>£m (2017-18 prices)</v>
      </c>
      <c r="H86" s="446"/>
      <c r="I86" s="657"/>
      <c r="J86" s="446"/>
      <c r="K86" s="446"/>
      <c r="L86" s="446"/>
    </row>
    <row r="87" spans="1:12" ht="13.8">
      <c r="A87" s="446"/>
      <c r="B87" s="446"/>
      <c r="C87" s="446"/>
      <c r="D87" s="446"/>
      <c r="E87" s="623" t="s">
        <v>1450</v>
      </c>
      <c r="F87" s="626">
        <f t="shared" si="5"/>
        <v>0</v>
      </c>
      <c r="G87" s="656" t="str">
        <f>InpCompany!$F$11</f>
        <v>£m (2017-18 prices)</v>
      </c>
      <c r="H87" s="446"/>
      <c r="I87" s="657"/>
      <c r="J87" s="446"/>
      <c r="K87" s="446"/>
      <c r="L87" s="446"/>
    </row>
    <row r="88" spans="1:12" ht="13.8">
      <c r="A88" s="446"/>
      <c r="B88" s="446"/>
      <c r="C88" s="446"/>
      <c r="D88" s="446"/>
      <c r="E88" s="623" t="s">
        <v>1451</v>
      </c>
      <c r="F88" s="626">
        <f t="shared" si="5"/>
        <v>0</v>
      </c>
      <c r="G88" s="656" t="str">
        <f>InpCompany!$F$11</f>
        <v>£m (2017-18 prices)</v>
      </c>
      <c r="H88" s="446"/>
      <c r="I88" s="657"/>
      <c r="J88" s="446"/>
      <c r="K88" s="446"/>
      <c r="L88" s="446"/>
    </row>
    <row r="89" spans="1:12" ht="13.8">
      <c r="A89" s="446"/>
      <c r="B89" s="446"/>
      <c r="C89" s="446"/>
      <c r="D89" s="446"/>
      <c r="E89" s="623" t="s">
        <v>1452</v>
      </c>
      <c r="F89" s="626">
        <f t="shared" si="5"/>
        <v>0</v>
      </c>
      <c r="G89" s="656" t="str">
        <f>InpCompany!$F$11</f>
        <v>£m (2017-18 prices)</v>
      </c>
      <c r="H89" s="446"/>
      <c r="I89" s="657"/>
      <c r="J89" s="446"/>
      <c r="K89" s="446"/>
      <c r="L89" s="446"/>
    </row>
    <row r="90" spans="1:12" ht="13.8">
      <c r="A90" s="446"/>
      <c r="B90" s="446"/>
      <c r="C90" s="446"/>
      <c r="D90" s="446"/>
      <c r="E90" s="623" t="s">
        <v>1453</v>
      </c>
      <c r="F90" s="626">
        <f t="shared" si="5"/>
        <v>0</v>
      </c>
      <c r="G90" s="656" t="str">
        <f>InpCompany!$F$11</f>
        <v>£m (2017-18 prices)</v>
      </c>
      <c r="H90" s="446"/>
      <c r="I90" s="657"/>
      <c r="J90" s="446"/>
      <c r="K90" s="446"/>
      <c r="L90" s="446"/>
    </row>
    <row r="91" spans="1:12" ht="13.8">
      <c r="A91" s="446"/>
      <c r="B91" s="446"/>
      <c r="C91" s="446"/>
      <c r="D91" s="446"/>
      <c r="E91" s="623" t="s">
        <v>1454</v>
      </c>
      <c r="F91" s="626">
        <f t="shared" si="5"/>
        <v>0</v>
      </c>
      <c r="G91" s="656" t="str">
        <f>InpCompany!$F$11</f>
        <v>£m (2017-18 prices)</v>
      </c>
      <c r="H91" s="446"/>
      <c r="I91" s="657"/>
      <c r="J91" s="446"/>
      <c r="K91" s="446"/>
      <c r="L91" s="446"/>
    </row>
    <row r="92" spans="1:12" ht="13.8">
      <c r="A92" s="446"/>
      <c r="B92" s="446"/>
      <c r="C92" s="446"/>
      <c r="D92" s="446"/>
      <c r="E92" s="623" t="s">
        <v>1455</v>
      </c>
      <c r="F92" s="626">
        <f t="shared" si="5"/>
        <v>0</v>
      </c>
      <c r="G92" s="656" t="str">
        <f>InpCompany!$F$11</f>
        <v>£m (2017-18 prices)</v>
      </c>
      <c r="H92" s="446"/>
      <c r="I92" s="657"/>
      <c r="J92" s="446"/>
      <c r="K92" s="446"/>
      <c r="L92" s="446"/>
    </row>
    <row r="93" spans="1:12" ht="13.8">
      <c r="A93" s="446"/>
      <c r="B93" s="446"/>
      <c r="C93" s="446"/>
      <c r="D93" s="446"/>
      <c r="E93" s="623"/>
      <c r="F93" s="626"/>
      <c r="G93" s="656"/>
      <c r="H93" s="446"/>
      <c r="I93" s="657"/>
      <c r="J93" s="446"/>
      <c r="K93" s="446"/>
      <c r="L93" s="446"/>
    </row>
    <row r="94" spans="1:12" s="205" customFormat="1" ht="13.8">
      <c r="A94" s="632" t="s">
        <v>1456</v>
      </c>
      <c r="B94" s="633"/>
      <c r="C94" s="633"/>
      <c r="D94" s="634"/>
      <c r="E94" s="635"/>
      <c r="F94" s="635"/>
      <c r="G94" s="635"/>
      <c r="H94" s="636"/>
      <c r="I94" s="635"/>
      <c r="J94" s="635"/>
      <c r="K94" s="635"/>
      <c r="L94" s="635"/>
    </row>
    <row r="95" spans="1:12" s="1386" customFormat="1" ht="13.8">
      <c r="A95" s="1382"/>
      <c r="B95" s="1382"/>
      <c r="C95" s="1382"/>
      <c r="D95" s="1382"/>
      <c r="E95" s="608"/>
      <c r="F95" s="1383"/>
      <c r="G95" s="1384"/>
      <c r="H95" s="1382"/>
      <c r="I95" s="1385"/>
      <c r="J95" s="1398" t="s">
        <v>1114</v>
      </c>
      <c r="K95" s="1398" t="s">
        <v>1115</v>
      </c>
      <c r="L95" s="1398" t="s">
        <v>1395</v>
      </c>
    </row>
    <row r="96" spans="1:12" s="1386" customFormat="1" ht="13.8">
      <c r="A96" s="1382"/>
      <c r="B96" s="1382"/>
      <c r="C96" s="1399" t="s">
        <v>1457</v>
      </c>
      <c r="D96" s="1382"/>
      <c r="E96" s="608"/>
      <c r="F96" s="1383"/>
      <c r="G96" s="1384"/>
      <c r="H96" s="1382"/>
      <c r="I96" s="1385"/>
      <c r="J96" s="1382"/>
      <c r="K96" s="1382"/>
      <c r="L96" s="1382"/>
    </row>
    <row r="97" spans="1:12" s="234" customFormat="1" ht="13.8">
      <c r="A97" s="644"/>
      <c r="B97" s="1427"/>
      <c r="C97" s="1427"/>
      <c r="D97" s="1427"/>
      <c r="E97" s="596" t="str">
        <f>InpCompany!E5</f>
        <v>Company name</v>
      </c>
      <c r="F97" s="596" t="str">
        <f>InpCompany!F5</f>
        <v>South Staffs Water</v>
      </c>
      <c r="G97" s="596"/>
      <c r="H97" s="574"/>
      <c r="I97" s="645"/>
      <c r="J97" s="644"/>
      <c r="K97" s="644"/>
      <c r="L97" s="644"/>
    </row>
    <row r="98" spans="1:12" s="234" customFormat="1" ht="13.8">
      <c r="A98" s="644"/>
      <c r="B98" s="1427"/>
      <c r="C98" s="1427"/>
      <c r="D98" s="1427"/>
      <c r="E98" s="596" t="str">
        <f>InpCompany!E6</f>
        <v>Ofwat company acronym</v>
      </c>
      <c r="F98" s="596" t="str">
        <f>InpCompany!F6</f>
        <v>SSC</v>
      </c>
      <c r="G98" s="596"/>
      <c r="H98" s="574"/>
      <c r="I98" s="645"/>
      <c r="J98" s="644"/>
      <c r="K98" s="644"/>
      <c r="L98" s="644"/>
    </row>
    <row r="99" spans="1:12" s="1386" customFormat="1" ht="13.8">
      <c r="A99" s="1382"/>
      <c r="B99" s="1238"/>
      <c r="C99" s="1238"/>
      <c r="D99" s="1238"/>
      <c r="E99" s="608"/>
      <c r="F99" s="1383"/>
      <c r="G99" s="1384"/>
      <c r="H99" s="1382"/>
      <c r="I99" s="1385"/>
      <c r="J99" s="1382"/>
      <c r="K99" s="1382"/>
      <c r="L99" s="1382"/>
    </row>
    <row r="100" spans="1:12" s="1386" customFormat="1" ht="13.8">
      <c r="A100" s="1382"/>
      <c r="B100" s="1238"/>
      <c r="C100" s="1238"/>
      <c r="D100" s="1238"/>
      <c r="E100" s="593" t="s">
        <v>1458</v>
      </c>
      <c r="F100" s="1400" t="b">
        <f>IF(IFERROR(VLOOKUP($F$98,Validation!$Z$5:$Z$22,1,FALSE),FALSE)=F98,TRUE,FALSE)</f>
        <v>0</v>
      </c>
      <c r="G100" s="1384"/>
      <c r="H100" s="1382"/>
      <c r="I100" s="1385"/>
      <c r="J100" s="1382"/>
      <c r="K100" s="1382"/>
      <c r="L100" s="1382"/>
    </row>
    <row r="101" spans="1:12" s="1386" customFormat="1" ht="13.8">
      <c r="A101" s="1382"/>
      <c r="B101" s="1238"/>
      <c r="C101" s="1238"/>
      <c r="D101" s="1238"/>
      <c r="E101" s="608"/>
      <c r="F101" s="1383"/>
      <c r="G101" s="1384"/>
      <c r="H101" s="1382"/>
      <c r="I101" s="1385"/>
      <c r="J101" s="1382"/>
      <c r="K101" s="1382"/>
      <c r="L101" s="1382"/>
    </row>
    <row r="102" spans="1:12" s="1386" customFormat="1" ht="13.8">
      <c r="A102" s="1382"/>
      <c r="B102" s="1238"/>
      <c r="C102" s="1399" t="s">
        <v>1396</v>
      </c>
      <c r="D102" s="1238"/>
      <c r="E102" s="608"/>
      <c r="F102" s="1383"/>
      <c r="G102" s="1384"/>
      <c r="H102" s="1382"/>
      <c r="I102" s="1385"/>
      <c r="J102" s="1382"/>
      <c r="K102" s="1382"/>
      <c r="L102" s="1382"/>
    </row>
    <row r="103" spans="1:12" s="1386" customFormat="1" ht="13.8">
      <c r="A103" s="1382"/>
      <c r="B103" s="1238"/>
      <c r="C103" s="1238"/>
      <c r="D103" s="1238"/>
      <c r="E103" s="608"/>
      <c r="F103" s="1383"/>
      <c r="G103" s="1384"/>
      <c r="H103" s="1382"/>
      <c r="I103" s="1385"/>
      <c r="J103" s="1382"/>
      <c r="K103" s="1382"/>
      <c r="L103" s="1382"/>
    </row>
    <row r="104" spans="1:12" s="234" customFormat="1" ht="13.8">
      <c r="A104" s="644"/>
      <c r="B104" s="1427"/>
      <c r="C104" s="1427"/>
      <c r="D104" s="1427"/>
      <c r="E104" s="596" t="str">
        <f>Performance!E242</f>
        <v>Outperformance payments earned this reporting year - Water resources</v>
      </c>
      <c r="F104" s="1412">
        <f>Performance!F242</f>
        <v>4.7468400000000001E-2</v>
      </c>
      <c r="G104" s="596" t="str">
        <f>Performance!G242</f>
        <v>£m (2017-18 prices)</v>
      </c>
      <c r="H104" s="574"/>
      <c r="I104" s="574"/>
      <c r="J104" s="644"/>
      <c r="K104" s="644"/>
      <c r="L104" s="644"/>
    </row>
    <row r="105" spans="1:12" s="234" customFormat="1" ht="13.8">
      <c r="A105" s="644"/>
      <c r="B105" s="1427"/>
      <c r="C105" s="1427"/>
      <c r="D105" s="1427"/>
      <c r="E105" s="596" t="str">
        <f>Performance!E243</f>
        <v>Outperformance payments earned this reporting year - Water network plus</v>
      </c>
      <c r="F105" s="1412">
        <f>Performance!F243</f>
        <v>0.68105159999999987</v>
      </c>
      <c r="G105" s="596" t="str">
        <f>Performance!G243</f>
        <v>£m (2017-18 prices)</v>
      </c>
      <c r="H105" s="574"/>
      <c r="I105" s="645"/>
      <c r="J105" s="644"/>
      <c r="K105" s="644"/>
      <c r="L105" s="644"/>
    </row>
    <row r="106" spans="1:12" s="234" customFormat="1" ht="13.8">
      <c r="A106" s="644"/>
      <c r="B106" s="1427"/>
      <c r="C106" s="1427"/>
      <c r="D106" s="1427"/>
      <c r="E106" s="596" t="str">
        <f>Performance!E244</f>
        <v>Outperformance payments earned this reporting year - Wastewater network plus</v>
      </c>
      <c r="F106" s="1412">
        <f>Performance!F244</f>
        <v>0</v>
      </c>
      <c r="G106" s="596" t="str">
        <f>Performance!G244</f>
        <v>£m (2017-18 prices)</v>
      </c>
      <c r="H106" s="574"/>
      <c r="I106" s="645"/>
      <c r="J106" s="644"/>
      <c r="K106" s="644"/>
      <c r="L106" s="644"/>
    </row>
    <row r="107" spans="1:12" s="234" customFormat="1" ht="13.8">
      <c r="A107" s="644"/>
      <c r="B107" s="1427"/>
      <c r="C107" s="1427"/>
      <c r="D107" s="1427"/>
      <c r="E107" s="596" t="str">
        <f>Performance!E245</f>
        <v>Outperformance payments earned this reporting year - Bioresources (sludge)</v>
      </c>
      <c r="F107" s="1412">
        <f>Performance!F245</f>
        <v>0</v>
      </c>
      <c r="G107" s="596" t="str">
        <f>Performance!G245</f>
        <v>£m (2017-18 prices)</v>
      </c>
      <c r="H107" s="574"/>
      <c r="I107" s="645"/>
      <c r="J107" s="644"/>
      <c r="K107" s="644"/>
      <c r="L107" s="644"/>
    </row>
    <row r="108" spans="1:12" s="234" customFormat="1" ht="13.8">
      <c r="A108" s="644"/>
      <c r="B108" s="1427"/>
      <c r="C108" s="1427"/>
      <c r="D108" s="1427"/>
      <c r="E108" s="596" t="str">
        <f>Performance!E246</f>
        <v>Outperformance payments earned this reporting year - Residential retail</v>
      </c>
      <c r="F108" s="1412">
        <f>Performance!F246</f>
        <v>0</v>
      </c>
      <c r="G108" s="596" t="str">
        <f>Performance!G246</f>
        <v>£m (2017-18 prices)</v>
      </c>
      <c r="H108" s="574"/>
      <c r="I108" s="645"/>
      <c r="J108" s="644"/>
      <c r="K108" s="644"/>
      <c r="L108" s="644"/>
    </row>
    <row r="109" spans="1:12" s="234" customFormat="1" ht="13.8">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8">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8">
      <c r="A111" s="1382"/>
      <c r="B111" s="1238"/>
      <c r="C111" s="1238"/>
      <c r="D111" s="1238"/>
      <c r="E111" s="608"/>
      <c r="F111" s="667"/>
      <c r="G111" s="608"/>
      <c r="H111" s="608"/>
      <c r="I111" s="1385"/>
      <c r="J111" s="1382"/>
      <c r="K111" s="1382"/>
      <c r="L111" s="1382"/>
    </row>
    <row r="112" spans="1:12" s="1386" customFormat="1" ht="13.8">
      <c r="A112" s="1382"/>
      <c r="B112" s="1238"/>
      <c r="C112" s="1238"/>
      <c r="D112" s="1238"/>
      <c r="E112" s="593" t="s">
        <v>1274</v>
      </c>
      <c r="F112" s="1401">
        <f>SUM(F104:F110)</f>
        <v>0.72851999999999983</v>
      </c>
      <c r="G112" s="593" t="str">
        <f>InpCompany!$F$11</f>
        <v>£m (2017-18 prices)</v>
      </c>
      <c r="H112" s="608"/>
      <c r="I112" s="1385"/>
      <c r="J112" s="1382"/>
      <c r="K112" s="1382"/>
      <c r="L112" s="1382"/>
    </row>
    <row r="113" spans="1:12" s="1386" customFormat="1" ht="13.8">
      <c r="A113" s="1382"/>
      <c r="B113" s="1238"/>
      <c r="C113" s="1238"/>
      <c r="D113" s="1238"/>
      <c r="E113" s="608"/>
      <c r="F113" s="667"/>
      <c r="G113" s="608"/>
      <c r="H113" s="608"/>
      <c r="I113" s="1385"/>
      <c r="J113" s="1382"/>
      <c r="K113" s="1382"/>
      <c r="L113" s="1382"/>
    </row>
    <row r="114" spans="1:12" s="234" customFormat="1" ht="13.8">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8">
      <c r="A115" s="644"/>
      <c r="B115" s="1427"/>
      <c r="C115" s="1427"/>
      <c r="D115" s="1427"/>
      <c r="E115" s="596" t="str">
        <f>Performance!E252</f>
        <v>Underperformance payments earned this reporting year - Water network plus</v>
      </c>
      <c r="F115" s="1412">
        <f>Performance!F252</f>
        <v>-2.5167000000000002</v>
      </c>
      <c r="G115" s="596" t="str">
        <f>Performance!G252</f>
        <v>£m (2017-18 prices)</v>
      </c>
      <c r="H115" s="574"/>
      <c r="I115" s="645"/>
      <c r="J115" s="644"/>
      <c r="K115" s="644"/>
      <c r="L115" s="644"/>
    </row>
    <row r="116" spans="1:12" s="234" customFormat="1" ht="13.8">
      <c r="A116" s="644"/>
      <c r="B116" s="1427"/>
      <c r="C116" s="1427"/>
      <c r="D116" s="1427"/>
      <c r="E116" s="596" t="str">
        <f>Performance!E253</f>
        <v>Underperformance payments earned this reporting year - Wastewater network plus</v>
      </c>
      <c r="F116" s="1412">
        <f>Performance!F253</f>
        <v>0</v>
      </c>
      <c r="G116" s="596" t="str">
        <f>Performance!G253</f>
        <v>£m (2017-18 prices)</v>
      </c>
      <c r="H116" s="574"/>
      <c r="I116" s="645"/>
      <c r="J116" s="644"/>
      <c r="K116" s="644"/>
      <c r="L116" s="644"/>
    </row>
    <row r="117" spans="1:12" s="234" customFormat="1" ht="13.8">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8">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8">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8">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8">
      <c r="A121" s="1382"/>
      <c r="B121" s="1238"/>
      <c r="C121" s="1238"/>
      <c r="D121" s="1238"/>
      <c r="E121" s="608"/>
      <c r="F121" s="667"/>
      <c r="G121" s="608"/>
      <c r="H121" s="608"/>
      <c r="I121" s="1385"/>
      <c r="J121" s="1382"/>
      <c r="K121" s="1382"/>
      <c r="L121" s="1382"/>
    </row>
    <row r="122" spans="1:12" s="1386" customFormat="1" ht="13.8">
      <c r="A122" s="1382"/>
      <c r="B122" s="1238"/>
      <c r="C122" s="1238"/>
      <c r="D122" s="1238"/>
      <c r="E122" s="593" t="s">
        <v>1282</v>
      </c>
      <c r="F122" s="1401">
        <f>SUM(F114:F120)</f>
        <v>-2.5167000000000002</v>
      </c>
      <c r="G122" s="593" t="str">
        <f>InpCompany!$F$11</f>
        <v>£m (2017-18 prices)</v>
      </c>
      <c r="H122" s="608"/>
      <c r="I122" s="1385"/>
      <c r="J122" s="1382"/>
      <c r="K122" s="1382"/>
      <c r="L122" s="1382"/>
    </row>
    <row r="123" spans="1:12" s="234" customFormat="1" ht="13.8">
      <c r="A123" s="644"/>
      <c r="B123" s="1427"/>
      <c r="C123" s="1427"/>
      <c r="D123" s="1427"/>
      <c r="E123" s="574"/>
      <c r="F123" s="670"/>
      <c r="G123" s="574"/>
      <c r="H123" s="574"/>
      <c r="I123" s="645"/>
      <c r="J123" s="644"/>
      <c r="K123" s="644"/>
      <c r="L123" s="644"/>
    </row>
    <row r="124" spans="1:12" s="1386" customFormat="1" ht="13.8">
      <c r="A124" s="1382"/>
      <c r="B124" s="1238"/>
      <c r="C124" s="1238"/>
      <c r="D124" s="1428" t="s">
        <v>1459</v>
      </c>
      <c r="E124" s="608"/>
      <c r="F124" s="667"/>
      <c r="G124" s="608"/>
      <c r="H124" s="608"/>
      <c r="I124" s="1385"/>
      <c r="J124" s="1382"/>
      <c r="K124" s="1382"/>
      <c r="L124" s="1382"/>
    </row>
    <row r="125" spans="1:12" s="1386" customFormat="1" ht="13.8">
      <c r="A125" s="1382"/>
      <c r="B125" s="1238"/>
      <c r="C125" s="1238"/>
      <c r="D125" s="1238"/>
      <c r="E125" s="1238" t="s">
        <v>1460</v>
      </c>
      <c r="F125" s="1401">
        <f>F104+F114</f>
        <v>4.7468400000000001E-2</v>
      </c>
      <c r="G125" s="593" t="str">
        <f>InpCompany!$F$11</f>
        <v>£m (2017-18 prices)</v>
      </c>
      <c r="H125" s="608"/>
      <c r="I125" s="1385"/>
      <c r="J125" s="1382"/>
      <c r="K125" s="1382"/>
      <c r="L125" s="1382"/>
    </row>
    <row r="126" spans="1:12" s="1386" customFormat="1" ht="13.8">
      <c r="A126" s="1382"/>
      <c r="B126" s="1238"/>
      <c r="C126" s="1238"/>
      <c r="D126" s="1238"/>
      <c r="E126" s="1238" t="s">
        <v>1461</v>
      </c>
      <c r="F126" s="1401">
        <f t="shared" ref="F126:F130" si="6">F105+F115</f>
        <v>-1.8356484000000002</v>
      </c>
      <c r="G126" s="593" t="str">
        <f>InpCompany!$F$11</f>
        <v>£m (2017-18 prices)</v>
      </c>
      <c r="H126" s="608"/>
      <c r="I126" s="1385"/>
      <c r="J126" s="1382"/>
      <c r="K126" s="1382"/>
      <c r="L126" s="1382"/>
    </row>
    <row r="127" spans="1:12" s="1386" customFormat="1" ht="13.8">
      <c r="A127" s="1382"/>
      <c r="B127" s="1238"/>
      <c r="C127" s="1238"/>
      <c r="D127" s="1238"/>
      <c r="E127" s="1238" t="s">
        <v>1462</v>
      </c>
      <c r="F127" s="1401">
        <f t="shared" si="6"/>
        <v>0</v>
      </c>
      <c r="G127" s="593" t="str">
        <f>InpCompany!$F$11</f>
        <v>£m (2017-18 prices)</v>
      </c>
      <c r="H127" s="608"/>
      <c r="I127" s="1385"/>
      <c r="J127" s="1382"/>
      <c r="K127" s="1382"/>
      <c r="L127" s="1382"/>
    </row>
    <row r="128" spans="1:12" s="1386" customFormat="1" ht="13.8">
      <c r="A128" s="1382"/>
      <c r="B128" s="1238"/>
      <c r="C128" s="1238"/>
      <c r="D128" s="1238"/>
      <c r="E128" s="1238" t="s">
        <v>1463</v>
      </c>
      <c r="F128" s="1401">
        <f t="shared" si="6"/>
        <v>0</v>
      </c>
      <c r="G128" s="593" t="str">
        <f>InpCompany!$F$11</f>
        <v>£m (2017-18 prices)</v>
      </c>
      <c r="H128" s="608"/>
      <c r="I128" s="1385"/>
      <c r="J128" s="1382"/>
      <c r="K128" s="1382"/>
      <c r="L128" s="1382"/>
    </row>
    <row r="129" spans="1:12" s="1386" customFormat="1" ht="13.8">
      <c r="A129" s="1382"/>
      <c r="B129" s="1238"/>
      <c r="C129" s="1238"/>
      <c r="D129" s="1238"/>
      <c r="E129" s="1238" t="s">
        <v>1464</v>
      </c>
      <c r="F129" s="1401">
        <f t="shared" si="6"/>
        <v>0</v>
      </c>
      <c r="G129" s="593" t="str">
        <f>InpCompany!$F$11</f>
        <v>£m (2017-18 prices)</v>
      </c>
      <c r="H129" s="608"/>
      <c r="I129" s="1385"/>
      <c r="J129" s="1382"/>
      <c r="K129" s="1382"/>
      <c r="L129" s="1382"/>
    </row>
    <row r="130" spans="1:12" s="1386" customFormat="1" ht="13.8">
      <c r="A130" s="1382"/>
      <c r="B130" s="1238"/>
      <c r="C130" s="1238"/>
      <c r="D130" s="1238"/>
      <c r="E130" s="1238" t="s">
        <v>1465</v>
      </c>
      <c r="F130" s="1401">
        <f t="shared" si="6"/>
        <v>0</v>
      </c>
      <c r="G130" s="593" t="str">
        <f>InpCompany!$F$11</f>
        <v>£m (2017-18 prices)</v>
      </c>
      <c r="H130" s="608"/>
      <c r="I130" s="1385"/>
      <c r="J130" s="1382"/>
      <c r="K130" s="1382"/>
      <c r="L130" s="1382"/>
    </row>
    <row r="131" spans="1:12" s="1386" customFormat="1" ht="13.8">
      <c r="A131" s="1382"/>
      <c r="B131" s="1238"/>
      <c r="C131" s="1238"/>
      <c r="D131" s="1238"/>
      <c r="E131" s="1238" t="s">
        <v>1466</v>
      </c>
      <c r="F131" s="1401">
        <f>F110+F120</f>
        <v>0</v>
      </c>
      <c r="G131" s="593" t="str">
        <f>InpCompany!$F$11</f>
        <v>£m (2017-18 prices)</v>
      </c>
      <c r="H131" s="608"/>
      <c r="I131" s="1385"/>
      <c r="J131" s="1382"/>
      <c r="K131" s="1382"/>
      <c r="L131" s="1382"/>
    </row>
    <row r="132" spans="1:12" s="234" customFormat="1" ht="13.8">
      <c r="A132" s="644"/>
      <c r="B132" s="1427"/>
      <c r="C132" s="1427"/>
      <c r="D132" s="1427"/>
      <c r="E132" s="574"/>
      <c r="F132" s="670"/>
      <c r="G132" s="574"/>
      <c r="H132" s="574"/>
      <c r="I132" s="645"/>
      <c r="J132" s="644"/>
      <c r="K132" s="644"/>
      <c r="L132" s="644"/>
    </row>
    <row r="133" spans="1:12" s="1386" customFormat="1" ht="13.8">
      <c r="A133" s="1382"/>
      <c r="B133" s="1238"/>
      <c r="C133" s="1238"/>
      <c r="D133" s="1429" t="s">
        <v>1397</v>
      </c>
      <c r="E133" s="608"/>
      <c r="F133" s="667"/>
      <c r="G133" s="608"/>
      <c r="H133" s="608"/>
      <c r="I133" s="1385"/>
      <c r="J133" s="1382"/>
      <c r="K133" s="1382"/>
      <c r="L133" s="1382"/>
    </row>
    <row r="134" spans="1:12" s="1386" customFormat="1" ht="13.8">
      <c r="A134" s="1382"/>
      <c r="B134" s="1238"/>
      <c r="C134" s="1238"/>
      <c r="D134" s="1238"/>
      <c r="E134" s="501" t="s">
        <v>1467</v>
      </c>
      <c r="F134" s="667"/>
      <c r="G134" s="593" t="str">
        <f>InpCompany!$F$11</f>
        <v>£m (2017-18 prices)</v>
      </c>
      <c r="H134" s="608"/>
      <c r="I134" s="1385"/>
      <c r="J134" s="1402">
        <f>F125</f>
        <v>4.7468400000000001E-2</v>
      </c>
      <c r="K134" s="1385"/>
      <c r="L134" s="1385"/>
    </row>
    <row r="135" spans="1:12" s="1386" customFormat="1" ht="13.8">
      <c r="A135" s="1382"/>
      <c r="B135" s="1238"/>
      <c r="C135" s="1238"/>
      <c r="D135" s="1238"/>
      <c r="E135" s="501" t="s">
        <v>1468</v>
      </c>
      <c r="F135" s="667"/>
      <c r="G135" s="593" t="str">
        <f>InpCompany!$F$11</f>
        <v>£m (2017-18 prices)</v>
      </c>
      <c r="H135" s="608"/>
      <c r="I135" s="1385"/>
      <c r="J135" s="1402">
        <f>F126</f>
        <v>-1.8356484000000002</v>
      </c>
      <c r="K135" s="1385"/>
      <c r="L135" s="1385"/>
    </row>
    <row r="136" spans="1:12" s="1386" customFormat="1" ht="13.8">
      <c r="A136" s="1382"/>
      <c r="B136" s="1238"/>
      <c r="C136" s="1238"/>
      <c r="D136" s="1238"/>
      <c r="E136" s="501" t="s">
        <v>1469</v>
      </c>
      <c r="F136" s="667"/>
      <c r="G136" s="593" t="str">
        <f>InpCompany!$F$11</f>
        <v>£m (2017-18 prices)</v>
      </c>
      <c r="H136" s="608"/>
      <c r="I136" s="1385"/>
      <c r="J136" s="1385"/>
      <c r="K136" s="1402">
        <f>F127</f>
        <v>0</v>
      </c>
      <c r="L136" s="1385"/>
    </row>
    <row r="137" spans="1:12" s="1386" customFormat="1" ht="13.8">
      <c r="A137" s="1382"/>
      <c r="B137" s="1238"/>
      <c r="C137" s="1238"/>
      <c r="D137" s="1238"/>
      <c r="E137" s="501" t="s">
        <v>1470</v>
      </c>
      <c r="F137" s="667"/>
      <c r="G137" s="593" t="str">
        <f>InpCompany!$F$11</f>
        <v>£m (2017-18 prices)</v>
      </c>
      <c r="H137" s="608"/>
      <c r="I137" s="1385"/>
      <c r="J137" s="1385"/>
      <c r="K137" s="1402">
        <f>F128</f>
        <v>0</v>
      </c>
      <c r="L137" s="1385"/>
    </row>
    <row r="138" spans="1:12" s="1386" customFormat="1" ht="13.8">
      <c r="A138" s="1382"/>
      <c r="B138" s="1238"/>
      <c r="C138" s="1238"/>
      <c r="D138" s="1238"/>
      <c r="E138" s="501" t="s">
        <v>1471</v>
      </c>
      <c r="F138" s="667"/>
      <c r="G138" s="593" t="str">
        <f>InpCompany!$F$11</f>
        <v>£m (2017-18 prices)</v>
      </c>
      <c r="H138" s="608"/>
      <c r="I138" s="1385"/>
      <c r="J138" s="1385"/>
      <c r="K138" s="1385"/>
      <c r="L138" s="1402">
        <f>F129</f>
        <v>0</v>
      </c>
    </row>
    <row r="139" spans="1:12" s="1386" customFormat="1" ht="13.8">
      <c r="A139" s="1382"/>
      <c r="B139" s="1238"/>
      <c r="C139" s="1238"/>
      <c r="D139" s="1238"/>
      <c r="E139" s="501" t="s">
        <v>1472</v>
      </c>
      <c r="F139" s="667"/>
      <c r="G139" s="593" t="str">
        <f>InpCompany!$F$11</f>
        <v>£m (2017-18 prices)</v>
      </c>
      <c r="H139" s="608"/>
      <c r="I139" s="1385"/>
      <c r="J139" s="1385"/>
      <c r="K139" s="1385"/>
      <c r="L139" s="1402">
        <f t="shared" ref="L139:L140" si="7">F130</f>
        <v>0</v>
      </c>
    </row>
    <row r="140" spans="1:12" s="1386" customFormat="1" ht="13.8">
      <c r="A140" s="1382"/>
      <c r="B140" s="1238"/>
      <c r="C140" s="1238"/>
      <c r="D140" s="1238"/>
      <c r="E140" s="501" t="s">
        <v>1473</v>
      </c>
      <c r="F140" s="667"/>
      <c r="G140" s="593" t="str">
        <f>InpCompany!$F$11</f>
        <v>£m (2017-18 prices)</v>
      </c>
      <c r="H140" s="608"/>
      <c r="I140" s="1385"/>
      <c r="J140" s="1385"/>
      <c r="K140" s="1385"/>
      <c r="L140" s="1402">
        <f t="shared" si="7"/>
        <v>0</v>
      </c>
    </row>
    <row r="141" spans="1:12" s="1386" customFormat="1" ht="13.8">
      <c r="A141" s="1382"/>
      <c r="B141" s="1238"/>
      <c r="C141" s="1238"/>
      <c r="D141" s="1238"/>
      <c r="E141" s="444"/>
      <c r="F141" s="608"/>
      <c r="G141" s="608"/>
      <c r="H141" s="608"/>
      <c r="I141" s="1385"/>
      <c r="J141" s="1385"/>
      <c r="K141" s="1385"/>
      <c r="L141" s="1385"/>
    </row>
    <row r="142" spans="1:12" s="1386" customFormat="1" ht="13.8">
      <c r="A142" s="1382"/>
      <c r="B142" s="1238"/>
      <c r="C142" s="1238"/>
      <c r="D142" s="1238"/>
      <c r="E142" s="1403" t="s">
        <v>1474</v>
      </c>
      <c r="F142" s="608"/>
      <c r="G142" s="608"/>
      <c r="H142" s="608"/>
      <c r="I142" s="1385"/>
      <c r="J142" s="1402">
        <f>SUM(J134:J140)</f>
        <v>-1.7881800000000001</v>
      </c>
      <c r="K142" s="1402">
        <f>SUM(K134:K140)</f>
        <v>0</v>
      </c>
      <c r="L142" s="1402">
        <f>SUM(L134:L140)</f>
        <v>0</v>
      </c>
    </row>
    <row r="143" spans="1:12" s="1386" customFormat="1" ht="13.8">
      <c r="A143" s="1382"/>
      <c r="B143" s="1238"/>
      <c r="C143" s="1238"/>
      <c r="D143" s="1238"/>
      <c r="E143" s="446"/>
      <c r="F143" s="608"/>
      <c r="G143" s="608"/>
      <c r="H143" s="608"/>
      <c r="I143" s="1385"/>
      <c r="J143" s="1385"/>
      <c r="K143" s="1385"/>
      <c r="L143" s="1385"/>
    </row>
    <row r="144" spans="1:12" s="1386" customFormat="1" ht="13.8">
      <c r="A144" s="1382"/>
      <c r="B144" s="1238"/>
      <c r="C144" s="1238"/>
      <c r="D144" s="1238"/>
      <c r="E144" s="501" t="s">
        <v>1475</v>
      </c>
      <c r="F144" s="608"/>
      <c r="G144" s="593" t="str">
        <f>InpCompany!$F$11</f>
        <v>£m (2017-18 prices)</v>
      </c>
      <c r="H144" s="608"/>
      <c r="I144" s="1385"/>
      <c r="J144" s="1402">
        <f>F114</f>
        <v>0</v>
      </c>
      <c r="K144" s="1385"/>
      <c r="L144" s="1385"/>
    </row>
    <row r="145" spans="1:12" s="1386" customFormat="1" ht="13.8">
      <c r="A145" s="1382"/>
      <c r="B145" s="1238"/>
      <c r="C145" s="1238"/>
      <c r="D145" s="1238"/>
      <c r="E145" s="501" t="s">
        <v>1476</v>
      </c>
      <c r="F145" s="608"/>
      <c r="G145" s="593" t="str">
        <f>InpCompany!$F$11</f>
        <v>£m (2017-18 prices)</v>
      </c>
      <c r="H145" s="608"/>
      <c r="I145" s="1385"/>
      <c r="J145" s="1402">
        <f>F115</f>
        <v>-2.5167000000000002</v>
      </c>
      <c r="K145" s="1385"/>
      <c r="L145" s="1385"/>
    </row>
    <row r="146" spans="1:12" s="1386" customFormat="1" ht="13.8">
      <c r="A146" s="1382"/>
      <c r="B146" s="1238"/>
      <c r="C146" s="1238"/>
      <c r="D146" s="1238"/>
      <c r="E146" s="501" t="s">
        <v>1477</v>
      </c>
      <c r="F146" s="608"/>
      <c r="G146" s="593" t="str">
        <f>InpCompany!$F$11</f>
        <v>£m (2017-18 prices)</v>
      </c>
      <c r="H146" s="608"/>
      <c r="I146" s="1385"/>
      <c r="J146" s="1385"/>
      <c r="K146" s="1402">
        <f>F116</f>
        <v>0</v>
      </c>
      <c r="L146" s="1385"/>
    </row>
    <row r="147" spans="1:12" s="1386" customFormat="1" ht="13.8">
      <c r="A147" s="1382"/>
      <c r="B147" s="1238"/>
      <c r="C147" s="1238"/>
      <c r="D147" s="1238"/>
      <c r="E147" s="501" t="s">
        <v>1478</v>
      </c>
      <c r="F147" s="608"/>
      <c r="G147" s="593" t="str">
        <f>InpCompany!$F$11</f>
        <v>£m (2017-18 prices)</v>
      </c>
      <c r="H147" s="608"/>
      <c r="I147" s="1385"/>
      <c r="J147" s="1385"/>
      <c r="K147" s="1402">
        <f>F117</f>
        <v>0</v>
      </c>
      <c r="L147" s="1385"/>
    </row>
    <row r="148" spans="1:12" s="1386" customFormat="1" ht="13.8">
      <c r="A148" s="1382"/>
      <c r="B148" s="1238"/>
      <c r="C148" s="1238"/>
      <c r="D148" s="1238"/>
      <c r="E148" s="501" t="s">
        <v>1479</v>
      </c>
      <c r="F148" s="608"/>
      <c r="G148" s="593" t="str">
        <f>InpCompany!$F$11</f>
        <v>£m (2017-18 prices)</v>
      </c>
      <c r="H148" s="608"/>
      <c r="I148" s="1385"/>
      <c r="J148" s="1385"/>
      <c r="K148" s="1385"/>
      <c r="L148" s="1402">
        <f>F118</f>
        <v>0</v>
      </c>
    </row>
    <row r="149" spans="1:12" s="1386" customFormat="1" ht="13.8">
      <c r="A149" s="1382"/>
      <c r="B149" s="1238"/>
      <c r="C149" s="1238"/>
      <c r="D149" s="1238"/>
      <c r="E149" s="501" t="s">
        <v>1480</v>
      </c>
      <c r="F149" s="608"/>
      <c r="G149" s="593" t="str">
        <f>InpCompany!$F$11</f>
        <v>£m (2017-18 prices)</v>
      </c>
      <c r="H149" s="608"/>
      <c r="I149" s="1385"/>
      <c r="J149" s="1385"/>
      <c r="K149" s="1385"/>
      <c r="L149" s="1402">
        <f t="shared" ref="L149:L150" si="8">F119</f>
        <v>0</v>
      </c>
    </row>
    <row r="150" spans="1:12" s="1386" customFormat="1" ht="13.8">
      <c r="A150" s="1382"/>
      <c r="B150" s="1238"/>
      <c r="C150" s="1238"/>
      <c r="D150" s="1238"/>
      <c r="E150" s="501" t="s">
        <v>1481</v>
      </c>
      <c r="F150" s="608"/>
      <c r="G150" s="593" t="str">
        <f>InpCompany!$F$11</f>
        <v>£m (2017-18 prices)</v>
      </c>
      <c r="H150" s="608"/>
      <c r="I150" s="1385"/>
      <c r="J150" s="1385"/>
      <c r="K150" s="1385"/>
      <c r="L150" s="1402">
        <f t="shared" si="8"/>
        <v>0</v>
      </c>
    </row>
    <row r="151" spans="1:12" s="1386" customFormat="1" ht="13.8">
      <c r="A151" s="1382"/>
      <c r="B151" s="1238"/>
      <c r="C151" s="1238"/>
      <c r="D151" s="1238"/>
      <c r="E151" s="446"/>
      <c r="F151" s="608"/>
      <c r="G151" s="608"/>
      <c r="H151" s="608"/>
      <c r="I151" s="1385"/>
      <c r="J151" s="1385"/>
      <c r="K151" s="1385"/>
      <c r="L151" s="1385"/>
    </row>
    <row r="152" spans="1:12" s="1386" customFormat="1" ht="13.8">
      <c r="A152" s="1382"/>
      <c r="B152" s="1238"/>
      <c r="C152" s="1238"/>
      <c r="D152" s="1238"/>
      <c r="E152" s="1403" t="s">
        <v>1482</v>
      </c>
      <c r="F152" s="608"/>
      <c r="G152" s="608"/>
      <c r="H152" s="608"/>
      <c r="I152" s="1385"/>
      <c r="J152" s="1402">
        <f>SUM(J144:J150)</f>
        <v>-2.5167000000000002</v>
      </c>
      <c r="K152" s="1402">
        <f>SUM(K144:K150)</f>
        <v>0</v>
      </c>
      <c r="L152" s="1402">
        <f>SUM(L144:L150)</f>
        <v>0</v>
      </c>
    </row>
    <row r="153" spans="1:12" s="1386" customFormat="1" ht="13.8">
      <c r="A153" s="1382"/>
      <c r="B153" s="1238"/>
      <c r="C153" s="1238"/>
      <c r="D153" s="1238"/>
      <c r="E153" s="446"/>
      <c r="F153" s="608"/>
      <c r="G153" s="608"/>
      <c r="H153" s="608"/>
      <c r="I153" s="1385"/>
      <c r="J153" s="1382"/>
      <c r="K153" s="1382"/>
      <c r="L153" s="1382"/>
    </row>
    <row r="154" spans="1:12" s="1386" customFormat="1" ht="13.8">
      <c r="A154" s="1382"/>
      <c r="B154" s="1238"/>
      <c r="C154" s="1238"/>
      <c r="D154" s="1429" t="s">
        <v>1406</v>
      </c>
      <c r="E154" s="446"/>
      <c r="F154" s="608"/>
      <c r="G154" s="608"/>
      <c r="H154" s="608"/>
      <c r="I154" s="1385"/>
      <c r="J154" s="1382"/>
      <c r="K154" s="1382"/>
      <c r="L154" s="1382"/>
    </row>
    <row r="155" spans="1:12" s="1386" customFormat="1" ht="13.8">
      <c r="A155" s="1382"/>
      <c r="B155" s="1238"/>
      <c r="C155" s="1238"/>
      <c r="D155" s="1238"/>
      <c r="E155" s="1403" t="s">
        <v>1483</v>
      </c>
      <c r="F155" s="446"/>
      <c r="G155" s="593" t="str">
        <f>InpCompany!$F$11</f>
        <v>£m (2017-18 prices)</v>
      </c>
      <c r="H155" s="446"/>
      <c r="I155" s="446"/>
      <c r="J155" s="1404">
        <f>J31*-1</f>
        <v>-5.1847235376574492</v>
      </c>
      <c r="K155" s="1404">
        <f t="shared" ref="K155" si="9">K31*-1</f>
        <v>0</v>
      </c>
      <c r="L155" s="1404"/>
    </row>
    <row r="156" spans="1:12" s="1386" customFormat="1" ht="13.8">
      <c r="A156" s="1382"/>
      <c r="B156" s="1238"/>
      <c r="C156" s="1238"/>
      <c r="D156" s="1238"/>
      <c r="E156" s="1403" t="s">
        <v>1484</v>
      </c>
      <c r="F156" s="446"/>
      <c r="G156" s="1405" t="s">
        <v>1412</v>
      </c>
      <c r="H156" s="608"/>
      <c r="I156" s="1385"/>
      <c r="J156" s="1405" t="b">
        <f>IF(J142&lt;J155,TRUE,FALSE)</f>
        <v>0</v>
      </c>
      <c r="K156" s="1405" t="b">
        <f>IF(K142&lt;K155,TRUE,FALSE)</f>
        <v>0</v>
      </c>
      <c r="L156" s="446"/>
    </row>
    <row r="157" spans="1:12" s="234" customFormat="1" ht="13.8">
      <c r="A157" s="644"/>
      <c r="B157" s="1427"/>
      <c r="C157" s="1427"/>
      <c r="D157" s="1427"/>
      <c r="E157" s="596" t="s">
        <v>1064</v>
      </c>
      <c r="G157" s="596" t="s">
        <v>1061</v>
      </c>
      <c r="H157" s="574"/>
      <c r="I157" s="645"/>
      <c r="J157" s="1406">
        <f>InpCompany!$F$29</f>
        <v>0.5</v>
      </c>
      <c r="K157" s="1406">
        <f>InpCompany!$F$29</f>
        <v>0.5</v>
      </c>
      <c r="L157" s="644"/>
    </row>
    <row r="158" spans="1:12" s="1386" customFormat="1" ht="13.8">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8">
      <c r="A159" s="644"/>
      <c r="B159" s="1427"/>
      <c r="C159" s="1427"/>
      <c r="D159" s="1427"/>
      <c r="E159" s="1403" t="s">
        <v>1485</v>
      </c>
      <c r="F159" s="446"/>
      <c r="G159" s="1405" t="str">
        <f>InpCompany!$F$11</f>
        <v>£m (2017-18 prices)</v>
      </c>
      <c r="H159" s="446"/>
      <c r="I159" s="446"/>
      <c r="J159" s="601">
        <f>IF(AND(J156,$F$158),(J142-J155)*J157,0)</f>
        <v>0</v>
      </c>
      <c r="K159" s="601">
        <f t="shared" ref="K159" si="11">IF(AND(K156,$F$158),(K142-K155)*K157,0)</f>
        <v>0</v>
      </c>
      <c r="L159" s="601"/>
    </row>
    <row r="160" spans="1:12" s="1386" customFormat="1" ht="13.8">
      <c r="A160" s="1382"/>
      <c r="B160" s="1238"/>
      <c r="C160" s="1238"/>
      <c r="D160" s="1238"/>
      <c r="E160" s="1382"/>
      <c r="F160" s="1382"/>
      <c r="G160" s="1384"/>
      <c r="H160" s="1382"/>
      <c r="I160" s="1382"/>
      <c r="J160" s="483"/>
      <c r="K160" s="483"/>
      <c r="L160" s="1382"/>
    </row>
    <row r="161" spans="1:12" s="1386" customFormat="1" ht="13.8">
      <c r="A161" s="1382"/>
      <c r="B161" s="1238"/>
      <c r="C161" s="1238"/>
      <c r="D161" s="1238"/>
      <c r="E161" s="1382"/>
      <c r="F161" s="1382"/>
      <c r="G161" s="1384"/>
      <c r="H161" s="1382"/>
      <c r="I161" s="1382"/>
      <c r="J161" s="483"/>
      <c r="K161" s="483"/>
      <c r="L161" s="1382"/>
    </row>
    <row r="162" spans="1:12" s="1386" customFormat="1" ht="13.8">
      <c r="A162" s="1382"/>
      <c r="B162" s="1238"/>
      <c r="C162" s="1430" t="s">
        <v>1414</v>
      </c>
      <c r="D162" s="1238"/>
      <c r="E162" s="1382"/>
      <c r="F162" s="1382"/>
      <c r="G162" s="1384"/>
      <c r="H162" s="1382"/>
      <c r="I162" s="1382"/>
      <c r="J162" s="483"/>
      <c r="K162" s="483"/>
      <c r="L162" s="1382"/>
    </row>
    <row r="163" spans="1:12" s="1386" customFormat="1" ht="13.8">
      <c r="A163" s="1382"/>
      <c r="B163" s="1238"/>
      <c r="C163" s="1238"/>
      <c r="D163" s="1238"/>
      <c r="E163" s="1382"/>
      <c r="F163" s="1382"/>
      <c r="G163" s="1384"/>
      <c r="H163" s="1382"/>
      <c r="I163" s="1382"/>
      <c r="J163" s="483"/>
      <c r="K163" s="483"/>
      <c r="L163" s="1382"/>
    </row>
    <row r="164" spans="1:12" s="1386" customFormat="1" ht="13.8">
      <c r="A164" s="1382"/>
      <c r="B164" s="1238"/>
      <c r="C164" s="1238"/>
      <c r="D164" s="1429" t="s">
        <v>1486</v>
      </c>
      <c r="E164" s="1382"/>
      <c r="F164" s="1382"/>
      <c r="G164" s="1384"/>
      <c r="H164" s="1382"/>
      <c r="I164" s="1382"/>
      <c r="J164" s="483"/>
      <c r="K164" s="483"/>
      <c r="L164" s="1382"/>
    </row>
    <row r="165" spans="1:12" s="1386" customFormat="1" ht="13.8">
      <c r="A165" s="1382"/>
      <c r="B165" s="1238"/>
      <c r="C165" s="1238"/>
      <c r="D165" s="1238"/>
      <c r="E165" s="501" t="s">
        <v>1487</v>
      </c>
      <c r="F165" s="1407"/>
      <c r="G165" s="1405" t="s">
        <v>1061</v>
      </c>
      <c r="H165" s="446"/>
      <c r="I165" s="446"/>
      <c r="J165" s="1407">
        <f>IFERROR(J144/J$152,0)</f>
        <v>0</v>
      </c>
      <c r="K165" s="1407">
        <f t="shared" ref="K165" si="12">IFERROR(K144/K$152,0)</f>
        <v>0</v>
      </c>
      <c r="L165" s="1407"/>
    </row>
    <row r="166" spans="1:12" s="1386" customFormat="1" ht="13.8">
      <c r="A166" s="1382"/>
      <c r="B166" s="1238"/>
      <c r="C166" s="1238"/>
      <c r="D166" s="1238"/>
      <c r="E166" s="501" t="s">
        <v>1488</v>
      </c>
      <c r="F166" s="1407"/>
      <c r="G166" s="1405" t="s">
        <v>1061</v>
      </c>
      <c r="H166" s="1382"/>
      <c r="I166" s="1382"/>
      <c r="J166" s="1407">
        <f t="shared" ref="J166:J171" si="13">IFERROR(J145/J$152,0)</f>
        <v>1</v>
      </c>
      <c r="K166" s="1407">
        <f t="shared" ref="K166:K171" si="14">IFERROR(K145/K$152,0)</f>
        <v>0</v>
      </c>
      <c r="L166" s="1407"/>
    </row>
    <row r="167" spans="1:12" s="1386" customFormat="1" ht="13.8">
      <c r="A167" s="1382"/>
      <c r="B167" s="1238"/>
      <c r="C167" s="1238"/>
      <c r="D167" s="1238"/>
      <c r="E167" s="501" t="s">
        <v>1489</v>
      </c>
      <c r="F167" s="1407"/>
      <c r="G167" s="1405" t="s">
        <v>1061</v>
      </c>
      <c r="H167" s="1382"/>
      <c r="I167" s="1382"/>
      <c r="J167" s="1407">
        <f t="shared" si="13"/>
        <v>0</v>
      </c>
      <c r="K167" s="1407">
        <f t="shared" si="14"/>
        <v>0</v>
      </c>
      <c r="L167" s="1407"/>
    </row>
    <row r="168" spans="1:12" s="1386" customFormat="1" ht="13.8">
      <c r="A168" s="1382"/>
      <c r="B168" s="1238"/>
      <c r="C168" s="1238"/>
      <c r="D168" s="1238"/>
      <c r="E168" s="501" t="s">
        <v>1490</v>
      </c>
      <c r="F168" s="1407"/>
      <c r="G168" s="1405" t="s">
        <v>1061</v>
      </c>
      <c r="H168" s="1382"/>
      <c r="I168" s="1382"/>
      <c r="J168" s="1407">
        <f t="shared" si="13"/>
        <v>0</v>
      </c>
      <c r="K168" s="1407">
        <f>IFERROR(K147/K$152,0)</f>
        <v>0</v>
      </c>
      <c r="L168" s="1407"/>
    </row>
    <row r="169" spans="1:12" s="1386" customFormat="1" ht="13.8">
      <c r="A169" s="1382"/>
      <c r="B169" s="1238"/>
      <c r="C169" s="1238"/>
      <c r="D169" s="1238"/>
      <c r="E169" s="501" t="s">
        <v>1491</v>
      </c>
      <c r="F169" s="1407"/>
      <c r="G169" s="1405" t="s">
        <v>1061</v>
      </c>
      <c r="H169" s="1382"/>
      <c r="I169" s="1382"/>
      <c r="J169" s="1407">
        <f t="shared" si="13"/>
        <v>0</v>
      </c>
      <c r="K169" s="1407">
        <f t="shared" si="14"/>
        <v>0</v>
      </c>
      <c r="L169" s="1407"/>
    </row>
    <row r="170" spans="1:12" s="1386" customFormat="1" ht="13.8">
      <c r="A170" s="1382"/>
      <c r="B170" s="1238"/>
      <c r="C170" s="1238"/>
      <c r="D170" s="1238"/>
      <c r="E170" s="501" t="s">
        <v>1492</v>
      </c>
      <c r="F170" s="1407"/>
      <c r="G170" s="1405" t="s">
        <v>1061</v>
      </c>
      <c r="H170" s="1382"/>
      <c r="I170" s="1382"/>
      <c r="J170" s="1407">
        <f t="shared" si="13"/>
        <v>0</v>
      </c>
      <c r="K170" s="1407">
        <f t="shared" si="14"/>
        <v>0</v>
      </c>
      <c r="L170" s="1407"/>
    </row>
    <row r="171" spans="1:12" s="1386" customFormat="1" ht="13.8">
      <c r="A171" s="1382"/>
      <c r="B171" s="1238"/>
      <c r="C171" s="1238"/>
      <c r="D171" s="1238"/>
      <c r="E171" s="501" t="s">
        <v>1493</v>
      </c>
      <c r="F171" s="1407"/>
      <c r="G171" s="1405" t="s">
        <v>1061</v>
      </c>
      <c r="H171" s="1382"/>
      <c r="I171" s="1382"/>
      <c r="J171" s="1407">
        <f t="shared" si="13"/>
        <v>0</v>
      </c>
      <c r="K171" s="1407">
        <f t="shared" si="14"/>
        <v>0</v>
      </c>
      <c r="L171" s="1407"/>
    </row>
    <row r="172" spans="1:12" s="1386" customFormat="1" ht="13.8">
      <c r="A172" s="1382"/>
      <c r="B172" s="1238"/>
      <c r="C172" s="1238"/>
      <c r="D172" s="1238"/>
      <c r="E172" s="444"/>
      <c r="G172" s="608"/>
      <c r="H172" s="608"/>
      <c r="I172" s="1385"/>
      <c r="J172" s="1387"/>
      <c r="K172" s="1387"/>
      <c r="L172" s="1382"/>
    </row>
    <row r="173" spans="1:12" s="1386" customFormat="1" ht="14.4">
      <c r="A173" s="1382"/>
      <c r="B173" s="1238"/>
      <c r="C173" s="1238"/>
      <c r="D173" s="1429" t="s">
        <v>1494</v>
      </c>
      <c r="E173" s="1353"/>
      <c r="F173" s="446"/>
      <c r="G173" s="462"/>
      <c r="H173" s="446"/>
      <c r="I173" s="446"/>
      <c r="J173" s="643"/>
      <c r="K173" s="643"/>
      <c r="L173" s="643"/>
    </row>
    <row r="174" spans="1:12" s="1386" customFormat="1" ht="13.8">
      <c r="A174" s="1382"/>
      <c r="B174" s="1238"/>
      <c r="C174" s="1238"/>
      <c r="D174" s="1403"/>
      <c r="E174" s="501" t="s">
        <v>1495</v>
      </c>
      <c r="F174" s="446"/>
      <c r="G174" s="1405" t="str">
        <f>InpCompany!$F$11</f>
        <v>£m (2017-18 prices)</v>
      </c>
      <c r="H174" s="446"/>
      <c r="I174" s="446"/>
      <c r="J174" s="601">
        <f>J$159*J165</f>
        <v>0</v>
      </c>
      <c r="K174" s="601">
        <f t="shared" ref="K174" si="15">K$159*K165</f>
        <v>0</v>
      </c>
      <c r="L174" s="601"/>
    </row>
    <row r="175" spans="1:12" s="1386" customFormat="1" ht="13.8">
      <c r="A175" s="1382"/>
      <c r="B175" s="1238"/>
      <c r="C175" s="1238"/>
      <c r="D175" s="1403"/>
      <c r="E175" s="501" t="s">
        <v>1496</v>
      </c>
      <c r="F175" s="446"/>
      <c r="G175" s="1405" t="str">
        <f>InpCompany!$F$11</f>
        <v>£m (2017-18 prices)</v>
      </c>
      <c r="H175" s="446"/>
      <c r="I175" s="446"/>
      <c r="J175" s="601">
        <f t="shared" ref="J175:K180" si="16">J$159*J166</f>
        <v>0</v>
      </c>
      <c r="K175" s="601">
        <f t="shared" si="16"/>
        <v>0</v>
      </c>
      <c r="L175" s="601"/>
    </row>
    <row r="176" spans="1:12" s="1386" customFormat="1" ht="13.8">
      <c r="A176" s="1382"/>
      <c r="B176" s="1238"/>
      <c r="C176" s="1238"/>
      <c r="D176" s="1403"/>
      <c r="E176" s="501" t="s">
        <v>1497</v>
      </c>
      <c r="F176" s="446"/>
      <c r="G176" s="1405" t="str">
        <f>InpCompany!$F$11</f>
        <v>£m (2017-18 prices)</v>
      </c>
      <c r="H176" s="446"/>
      <c r="I176" s="446"/>
      <c r="J176" s="601">
        <f t="shared" si="16"/>
        <v>0</v>
      </c>
      <c r="K176" s="601">
        <f t="shared" si="16"/>
        <v>0</v>
      </c>
      <c r="L176" s="601"/>
    </row>
    <row r="177" spans="1:12" s="1386" customFormat="1" ht="13.8">
      <c r="A177" s="1382"/>
      <c r="B177" s="1238"/>
      <c r="C177" s="1238"/>
      <c r="D177" s="1403"/>
      <c r="E177" s="501" t="s">
        <v>1498</v>
      </c>
      <c r="F177" s="446"/>
      <c r="G177" s="1405" t="str">
        <f>InpCompany!$F$11</f>
        <v>£m (2017-18 prices)</v>
      </c>
      <c r="H177" s="446"/>
      <c r="I177" s="446"/>
      <c r="J177" s="601">
        <f t="shared" si="16"/>
        <v>0</v>
      </c>
      <c r="K177" s="601">
        <f t="shared" si="16"/>
        <v>0</v>
      </c>
      <c r="L177" s="601"/>
    </row>
    <row r="178" spans="1:12" s="1386" customFormat="1" ht="13.8">
      <c r="A178" s="1382"/>
      <c r="B178" s="1238"/>
      <c r="C178" s="1238"/>
      <c r="D178" s="1403"/>
      <c r="E178" s="501" t="s">
        <v>1499</v>
      </c>
      <c r="F178" s="446"/>
      <c r="G178" s="1405" t="str">
        <f>InpCompany!$F$11</f>
        <v>£m (2017-18 prices)</v>
      </c>
      <c r="H178" s="446"/>
      <c r="I178" s="446"/>
      <c r="J178" s="601">
        <f t="shared" si="16"/>
        <v>0</v>
      </c>
      <c r="K178" s="601">
        <f t="shared" si="16"/>
        <v>0</v>
      </c>
      <c r="L178" s="601"/>
    </row>
    <row r="179" spans="1:12" s="1386" customFormat="1" ht="13.8">
      <c r="A179" s="1382"/>
      <c r="B179" s="1238"/>
      <c r="C179" s="1238"/>
      <c r="D179" s="1403"/>
      <c r="E179" s="501" t="s">
        <v>1500</v>
      </c>
      <c r="F179" s="446"/>
      <c r="G179" s="1405" t="str">
        <f>InpCompany!$F$11</f>
        <v>£m (2017-18 prices)</v>
      </c>
      <c r="H179" s="446"/>
      <c r="I179" s="446"/>
      <c r="J179" s="601">
        <f t="shared" si="16"/>
        <v>0</v>
      </c>
      <c r="K179" s="601">
        <f t="shared" si="16"/>
        <v>0</v>
      </c>
      <c r="L179" s="601"/>
    </row>
    <row r="180" spans="1:12" s="1386" customFormat="1" ht="13.8">
      <c r="A180" s="1382"/>
      <c r="B180" s="1238"/>
      <c r="C180" s="1238"/>
      <c r="D180" s="1403"/>
      <c r="E180" s="501" t="s">
        <v>1501</v>
      </c>
      <c r="F180" s="446"/>
      <c r="G180" s="1405" t="str">
        <f>InpCompany!$F$11</f>
        <v>£m (2017-18 prices)</v>
      </c>
      <c r="H180" s="446"/>
      <c r="I180" s="446"/>
      <c r="J180" s="601">
        <f t="shared" si="16"/>
        <v>0</v>
      </c>
      <c r="K180" s="601">
        <f t="shared" si="16"/>
        <v>0</v>
      </c>
      <c r="L180" s="601"/>
    </row>
    <row r="181" spans="1:12" s="1386" customFormat="1" ht="14.4">
      <c r="A181" s="1382"/>
      <c r="B181" s="1238"/>
      <c r="C181" s="1238"/>
      <c r="D181" s="1403"/>
      <c r="E181" s="1353"/>
      <c r="F181" s="446"/>
      <c r="G181" s="462"/>
      <c r="H181" s="446"/>
      <c r="I181" s="446"/>
      <c r="J181" s="446"/>
      <c r="K181" s="446"/>
      <c r="L181" s="446"/>
    </row>
    <row r="182" spans="1:12" s="1386" customFormat="1" ht="13.8">
      <c r="A182" s="1382"/>
      <c r="B182" s="1238"/>
      <c r="C182" s="1238"/>
      <c r="D182" s="1429" t="s">
        <v>1502</v>
      </c>
      <c r="E182" s="451"/>
      <c r="F182" s="451"/>
      <c r="G182" s="654"/>
      <c r="H182" s="446"/>
      <c r="I182" s="446"/>
      <c r="J182" s="446"/>
      <c r="K182" s="446"/>
      <c r="L182" s="446"/>
    </row>
    <row r="183" spans="1:12" s="1386" customFormat="1" ht="13.8">
      <c r="A183" s="1382"/>
      <c r="B183" s="1238"/>
      <c r="C183" s="1238"/>
      <c r="D183" s="1403"/>
      <c r="E183" s="501" t="s">
        <v>1503</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8">
      <c r="A184" s="1382"/>
      <c r="B184" s="1238"/>
      <c r="C184" s="1238"/>
      <c r="D184" s="1403"/>
      <c r="E184" s="501" t="s">
        <v>1504</v>
      </c>
      <c r="F184" s="446"/>
      <c r="G184" s="1405" t="str">
        <f>InpCompany!$F$11</f>
        <v>£m (2017-18 prices)</v>
      </c>
      <c r="H184" s="1408">
        <f t="shared" ref="H184:H189" si="18">J184+K184+L184</f>
        <v>-2.5167000000000002</v>
      </c>
      <c r="I184" s="620"/>
      <c r="J184" s="601">
        <f t="shared" ref="J184:L184" si="19">J145-J175</f>
        <v>-2.5167000000000002</v>
      </c>
      <c r="K184" s="601">
        <f t="shared" si="19"/>
        <v>0</v>
      </c>
      <c r="L184" s="601">
        <f t="shared" si="19"/>
        <v>0</v>
      </c>
    </row>
    <row r="185" spans="1:12" s="1386" customFormat="1" ht="13.8">
      <c r="A185" s="1382"/>
      <c r="B185" s="1238"/>
      <c r="C185" s="1238"/>
      <c r="D185" s="1403"/>
      <c r="E185" s="501" t="s">
        <v>1505</v>
      </c>
      <c r="F185" s="446"/>
      <c r="G185" s="1405" t="str">
        <f>InpCompany!$F$11</f>
        <v>£m (2017-18 prices)</v>
      </c>
      <c r="H185" s="1408">
        <f t="shared" si="18"/>
        <v>0</v>
      </c>
      <c r="I185" s="620"/>
      <c r="J185" s="601">
        <f t="shared" ref="J185:L185" si="20">J146-J176</f>
        <v>0</v>
      </c>
      <c r="K185" s="601">
        <f t="shared" si="20"/>
        <v>0</v>
      </c>
      <c r="L185" s="601">
        <f t="shared" si="20"/>
        <v>0</v>
      </c>
    </row>
    <row r="186" spans="1:12" s="1386" customFormat="1" ht="13.8">
      <c r="A186" s="1382"/>
      <c r="B186" s="1238"/>
      <c r="C186" s="1238"/>
      <c r="D186" s="1403"/>
      <c r="E186" s="501" t="s">
        <v>1506</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8">
      <c r="A187" s="1382"/>
      <c r="B187" s="1238"/>
      <c r="C187" s="1238"/>
      <c r="D187" s="1403"/>
      <c r="E187" s="501" t="s">
        <v>1507</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8">
      <c r="A188" s="1382"/>
      <c r="B188" s="1238"/>
      <c r="C188" s="1238"/>
      <c r="D188" s="1403"/>
      <c r="E188" s="501" t="s">
        <v>1508</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8">
      <c r="A189" s="1382"/>
      <c r="B189" s="1238"/>
      <c r="C189" s="1238"/>
      <c r="D189" s="1403"/>
      <c r="E189" s="501" t="s">
        <v>1509</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8">
      <c r="A190" s="1382"/>
      <c r="B190" s="1238"/>
      <c r="C190" s="1238"/>
      <c r="D190" s="1238"/>
      <c r="E190" s="444"/>
      <c r="G190" s="608"/>
      <c r="H190" s="608"/>
      <c r="I190" s="1385"/>
      <c r="J190" s="1387"/>
      <c r="K190" s="1387"/>
      <c r="L190" s="1382"/>
    </row>
    <row r="191" spans="1:12" s="1386" customFormat="1" ht="13.8">
      <c r="A191" s="1382"/>
      <c r="B191" s="1238"/>
      <c r="C191" s="1430" t="s">
        <v>1438</v>
      </c>
      <c r="D191" s="1403"/>
      <c r="E191" s="444"/>
      <c r="G191" s="608"/>
      <c r="H191" s="608"/>
      <c r="I191" s="1385"/>
      <c r="J191" s="1387"/>
      <c r="K191" s="1387"/>
      <c r="L191" s="1382"/>
    </row>
    <row r="192" spans="1:12" s="1386" customFormat="1" ht="13.8">
      <c r="A192" s="1382"/>
      <c r="B192" s="1238"/>
      <c r="C192" s="1403"/>
      <c r="D192" s="1403"/>
      <c r="E192" s="444"/>
      <c r="G192" s="608"/>
      <c r="H192" s="608"/>
      <c r="I192" s="1385"/>
      <c r="J192" s="1387"/>
      <c r="K192" s="1387"/>
      <c r="L192" s="1382"/>
    </row>
    <row r="193" spans="1:12" s="1386" customFormat="1" ht="13.8">
      <c r="A193" s="1382"/>
      <c r="B193" s="1238"/>
      <c r="C193" s="1403"/>
      <c r="D193" s="1429" t="s">
        <v>1510</v>
      </c>
      <c r="E193" s="444"/>
      <c r="G193" s="608"/>
      <c r="H193" s="608"/>
      <c r="I193" s="1385"/>
      <c r="J193" s="1387"/>
      <c r="K193" s="1387"/>
      <c r="L193" s="1382"/>
    </row>
    <row r="194" spans="1:12" s="234" customFormat="1" ht="13.8">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8">
      <c r="A195" s="644"/>
      <c r="B195" s="1427"/>
      <c r="C195" s="1427"/>
      <c r="D195" s="1427"/>
      <c r="E195" s="596" t="str">
        <f>Performance!E308</f>
        <v>Proportion of underperformance payments to be paid in-period - Water network plus</v>
      </c>
      <c r="F195" s="1419">
        <f>Performance!F308</f>
        <v>0</v>
      </c>
      <c r="G195" s="596" t="str">
        <f>Performance!G308</f>
        <v>Percentage</v>
      </c>
      <c r="H195" s="574"/>
      <c r="I195" s="645"/>
      <c r="J195" s="1388"/>
      <c r="K195" s="1388"/>
      <c r="L195" s="644"/>
    </row>
    <row r="196" spans="1:12" s="234" customFormat="1" ht="13.8">
      <c r="A196" s="644"/>
      <c r="B196" s="1427"/>
      <c r="C196" s="1427"/>
      <c r="D196" s="1427"/>
      <c r="E196" s="596" t="str">
        <f>Performance!E309</f>
        <v>Proportion of underperformance payments to be paid in-period - Wastewater network plus</v>
      </c>
      <c r="F196" s="1419">
        <f>Performance!F309</f>
        <v>0</v>
      </c>
      <c r="G196" s="596" t="str">
        <f>Performance!G309</f>
        <v>Percentage</v>
      </c>
      <c r="H196" s="574"/>
      <c r="I196" s="645"/>
      <c r="J196" s="1388"/>
      <c r="K196" s="1388"/>
      <c r="L196" s="644"/>
    </row>
    <row r="197" spans="1:12" s="234" customFormat="1" ht="13.8">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8">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8">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8">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8">
      <c r="A201" s="1793"/>
      <c r="B201" s="1794"/>
      <c r="C201" s="1794"/>
      <c r="D201" s="1795"/>
      <c r="E201" s="1796"/>
      <c r="F201" s="1796"/>
      <c r="G201" s="1796"/>
      <c r="H201" s="1797"/>
      <c r="I201" s="1796"/>
      <c r="J201" s="1796"/>
      <c r="K201" s="1796"/>
      <c r="L201" s="1796"/>
    </row>
    <row r="202" spans="1:12" s="1805" customFormat="1" ht="13.8">
      <c r="A202" s="1799"/>
      <c r="B202" s="1800"/>
      <c r="C202" s="1800"/>
      <c r="D202" s="1801" t="s">
        <v>1511</v>
      </c>
      <c r="E202" s="1799"/>
      <c r="F202" s="1802"/>
      <c r="G202" s="1420"/>
      <c r="H202" s="1420"/>
      <c r="I202" s="1803"/>
      <c r="J202" s="1804"/>
      <c r="K202" s="1804"/>
      <c r="L202" s="1799"/>
    </row>
    <row r="203" spans="1:12" s="1805" customFormat="1" ht="13.8">
      <c r="A203" s="1799"/>
      <c r="B203" s="1800"/>
      <c r="C203" s="1800"/>
      <c r="D203" s="1800"/>
      <c r="E203" s="1806" t="s">
        <v>1512</v>
      </c>
      <c r="F203" s="1807">
        <f>H183*F194</f>
        <v>0</v>
      </c>
      <c r="G203" s="1808" t="str">
        <f>InpCompany!$F$11</f>
        <v>£m (2017-18 prices)</v>
      </c>
      <c r="H203" s="1420"/>
      <c r="I203" s="1803"/>
      <c r="J203" s="1804"/>
      <c r="K203" s="1804"/>
      <c r="L203" s="1799"/>
    </row>
    <row r="204" spans="1:12" s="1805" customFormat="1" ht="13.8">
      <c r="A204" s="1799"/>
      <c r="B204" s="1800"/>
      <c r="C204" s="1800"/>
      <c r="D204" s="1800"/>
      <c r="E204" s="1806" t="s">
        <v>1513</v>
      </c>
      <c r="F204" s="1807">
        <f t="shared" ref="F204:F209" si="25">H184*F195</f>
        <v>0</v>
      </c>
      <c r="G204" s="1808" t="str">
        <f>InpCompany!$F$11</f>
        <v>£m (2017-18 prices)</v>
      </c>
      <c r="H204" s="1420"/>
      <c r="I204" s="1803"/>
      <c r="J204" s="1804"/>
      <c r="K204" s="1804"/>
      <c r="L204" s="1799"/>
    </row>
    <row r="205" spans="1:12" s="1805" customFormat="1" ht="13.8">
      <c r="A205" s="1799"/>
      <c r="B205" s="1800"/>
      <c r="C205" s="1800"/>
      <c r="D205" s="1800"/>
      <c r="E205" s="1806" t="s">
        <v>1514</v>
      </c>
      <c r="F205" s="1807">
        <f t="shared" si="25"/>
        <v>0</v>
      </c>
      <c r="G205" s="1808" t="str">
        <f>InpCompany!$F$11</f>
        <v>£m (2017-18 prices)</v>
      </c>
      <c r="H205" s="1420"/>
      <c r="I205" s="1803"/>
      <c r="J205" s="1804"/>
      <c r="K205" s="1804"/>
      <c r="L205" s="1799"/>
    </row>
    <row r="206" spans="1:12" s="1805" customFormat="1" ht="13.8">
      <c r="A206" s="1799"/>
      <c r="B206" s="1800"/>
      <c r="C206" s="1800"/>
      <c r="D206" s="1800"/>
      <c r="E206" s="1806" t="s">
        <v>1515</v>
      </c>
      <c r="F206" s="1807">
        <f t="shared" si="25"/>
        <v>0</v>
      </c>
      <c r="G206" s="1808" t="str">
        <f>InpCompany!$F$11</f>
        <v>£m (2017-18 prices)</v>
      </c>
      <c r="H206" s="1420"/>
      <c r="I206" s="1803"/>
      <c r="J206" s="1804"/>
      <c r="K206" s="1804"/>
      <c r="L206" s="1799"/>
    </row>
    <row r="207" spans="1:12" s="1805" customFormat="1" ht="13.8">
      <c r="A207" s="1799"/>
      <c r="B207" s="1800"/>
      <c r="C207" s="1800"/>
      <c r="D207" s="1800"/>
      <c r="E207" s="1806" t="s">
        <v>1516</v>
      </c>
      <c r="F207" s="1807">
        <f t="shared" si="25"/>
        <v>0</v>
      </c>
      <c r="G207" s="1808" t="str">
        <f>InpCompany!$F$11</f>
        <v>£m (2017-18 prices)</v>
      </c>
      <c r="H207" s="1420"/>
      <c r="I207" s="1803"/>
      <c r="J207" s="1804"/>
      <c r="K207" s="1804"/>
      <c r="L207" s="1799"/>
    </row>
    <row r="208" spans="1:12" s="1805" customFormat="1" ht="13.8">
      <c r="A208" s="1799"/>
      <c r="B208" s="1800"/>
      <c r="C208" s="1800"/>
      <c r="D208" s="1800"/>
      <c r="E208" s="1806" t="s">
        <v>1517</v>
      </c>
      <c r="F208" s="1807">
        <f t="shared" si="25"/>
        <v>0</v>
      </c>
      <c r="G208" s="1808" t="str">
        <f>InpCompany!$F$11</f>
        <v>£m (2017-18 prices)</v>
      </c>
      <c r="H208" s="1420"/>
      <c r="I208" s="1803"/>
      <c r="J208" s="1804"/>
      <c r="K208" s="1804"/>
      <c r="L208" s="1799"/>
    </row>
    <row r="209" spans="1:12" s="1805" customFormat="1" ht="13.8">
      <c r="A209" s="1799"/>
      <c r="B209" s="1800"/>
      <c r="C209" s="1800"/>
      <c r="D209" s="1800"/>
      <c r="E209" s="1806" t="s">
        <v>1518</v>
      </c>
      <c r="F209" s="1807">
        <f t="shared" si="25"/>
        <v>0</v>
      </c>
      <c r="G209" s="1808" t="str">
        <f>InpCompany!$F$11</f>
        <v>£m (2017-18 prices)</v>
      </c>
      <c r="H209" s="1420"/>
      <c r="I209" s="1803"/>
      <c r="J209" s="1804"/>
      <c r="K209" s="1804"/>
      <c r="L209" s="1799"/>
    </row>
    <row r="210" spans="1:12" s="1805" customFormat="1" ht="14.4">
      <c r="A210" s="1799"/>
      <c r="B210" s="1800"/>
      <c r="C210" s="1800"/>
      <c r="D210" s="1800"/>
      <c r="E210" s="1809"/>
      <c r="F210" s="1802"/>
      <c r="G210" s="1420"/>
      <c r="H210" s="1420"/>
      <c r="I210" s="1803"/>
      <c r="J210" s="1804"/>
      <c r="K210" s="1804"/>
      <c r="L210" s="1799"/>
    </row>
    <row r="211" spans="1:12" s="1805" customFormat="1" ht="14.4">
      <c r="A211" s="1799"/>
      <c r="B211" s="1800"/>
      <c r="C211" s="1800"/>
      <c r="D211" s="1801" t="s">
        <v>1519</v>
      </c>
      <c r="E211" s="1809"/>
      <c r="F211" s="1802"/>
      <c r="G211" s="1420"/>
      <c r="H211" s="1420"/>
      <c r="I211" s="1803"/>
      <c r="J211" s="1804"/>
      <c r="K211" s="1804"/>
      <c r="L211" s="1799"/>
    </row>
    <row r="212" spans="1:12" s="1805" customFormat="1" ht="13.8">
      <c r="A212" s="1799"/>
      <c r="B212" s="1800"/>
      <c r="C212" s="1800"/>
      <c r="D212" s="1800"/>
      <c r="E212" s="1806" t="s">
        <v>1520</v>
      </c>
      <c r="F212" s="1807">
        <f>H183*(1-F194)</f>
        <v>0</v>
      </c>
      <c r="G212" s="1808" t="str">
        <f>InpCompany!$F$11</f>
        <v>£m (2017-18 prices)</v>
      </c>
      <c r="H212" s="1420"/>
      <c r="I212" s="1803"/>
      <c r="J212" s="1804"/>
      <c r="K212" s="1804"/>
      <c r="L212" s="1799"/>
    </row>
    <row r="213" spans="1:12" s="1805" customFormat="1" ht="13.8">
      <c r="A213" s="1799"/>
      <c r="B213" s="1800"/>
      <c r="C213" s="1800"/>
      <c r="D213" s="1800"/>
      <c r="E213" s="1806" t="s">
        <v>1521</v>
      </c>
      <c r="F213" s="1807">
        <f t="shared" ref="F213:F218" si="26">H184*(1-F195)</f>
        <v>-2.5167000000000002</v>
      </c>
      <c r="G213" s="1808" t="str">
        <f>InpCompany!$F$11</f>
        <v>£m (2017-18 prices)</v>
      </c>
      <c r="H213" s="1420"/>
      <c r="I213" s="1803"/>
      <c r="J213" s="1804"/>
      <c r="K213" s="1804"/>
      <c r="L213" s="1799"/>
    </row>
    <row r="214" spans="1:12" s="1805" customFormat="1" ht="13.8">
      <c r="A214" s="1799"/>
      <c r="B214" s="1800"/>
      <c r="C214" s="1800"/>
      <c r="D214" s="1800"/>
      <c r="E214" s="1806" t="s">
        <v>1522</v>
      </c>
      <c r="F214" s="1807">
        <f t="shared" si="26"/>
        <v>0</v>
      </c>
      <c r="G214" s="1808" t="str">
        <f>InpCompany!$F$11</f>
        <v>£m (2017-18 prices)</v>
      </c>
      <c r="H214" s="1420"/>
      <c r="I214" s="1803"/>
      <c r="J214" s="1804"/>
      <c r="K214" s="1804"/>
      <c r="L214" s="1799"/>
    </row>
    <row r="215" spans="1:12" s="1805" customFormat="1" ht="13.8">
      <c r="A215" s="1799"/>
      <c r="B215" s="1800"/>
      <c r="C215" s="1800"/>
      <c r="D215" s="1800"/>
      <c r="E215" s="1806" t="s">
        <v>1523</v>
      </c>
      <c r="F215" s="1807">
        <f t="shared" si="26"/>
        <v>0</v>
      </c>
      <c r="G215" s="1808" t="str">
        <f>InpCompany!$F$11</f>
        <v>£m (2017-18 prices)</v>
      </c>
      <c r="H215" s="1420"/>
      <c r="I215" s="1803"/>
      <c r="J215" s="1804"/>
      <c r="K215" s="1804"/>
      <c r="L215" s="1799"/>
    </row>
    <row r="216" spans="1:12" s="1805" customFormat="1" ht="13.8">
      <c r="A216" s="1799"/>
      <c r="B216" s="1800"/>
      <c r="C216" s="1800"/>
      <c r="D216" s="1800"/>
      <c r="E216" s="1806" t="s">
        <v>1524</v>
      </c>
      <c r="F216" s="1807">
        <f t="shared" si="26"/>
        <v>0</v>
      </c>
      <c r="G216" s="1808" t="str">
        <f>InpCompany!$F$11</f>
        <v>£m (2017-18 prices)</v>
      </c>
      <c r="H216" s="1420"/>
      <c r="I216" s="1803"/>
      <c r="J216" s="1804"/>
      <c r="K216" s="1804"/>
      <c r="L216" s="1799"/>
    </row>
    <row r="217" spans="1:12" s="1805" customFormat="1" ht="13.8">
      <c r="A217" s="1799"/>
      <c r="B217" s="1800"/>
      <c r="C217" s="1800"/>
      <c r="D217" s="1800"/>
      <c r="E217" s="1806" t="s">
        <v>1525</v>
      </c>
      <c r="F217" s="1807">
        <f t="shared" si="26"/>
        <v>0</v>
      </c>
      <c r="G217" s="1808" t="str">
        <f>InpCompany!$F$11</f>
        <v>£m (2017-18 prices)</v>
      </c>
      <c r="H217" s="1420"/>
      <c r="I217" s="1803"/>
      <c r="J217" s="1810"/>
      <c r="K217" s="1804"/>
      <c r="L217" s="1799"/>
    </row>
    <row r="218" spans="1:12" s="1805" customFormat="1" ht="13.8">
      <c r="A218" s="1799"/>
      <c r="B218" s="1800"/>
      <c r="C218" s="1800"/>
      <c r="D218" s="1800"/>
      <c r="E218" s="1806" t="s">
        <v>1526</v>
      </c>
      <c r="F218" s="1807">
        <f t="shared" si="26"/>
        <v>0</v>
      </c>
      <c r="G218" s="1808" t="str">
        <f>InpCompany!$F$11</f>
        <v>£m (2017-18 prices)</v>
      </c>
      <c r="H218" s="1799"/>
      <c r="I218" s="1803"/>
      <c r="J218" s="1799"/>
      <c r="K218" s="1799"/>
      <c r="L218" s="1799"/>
    </row>
    <row r="219" spans="1:12" s="1386" customFormat="1" ht="13.8">
      <c r="A219" s="1382"/>
      <c r="B219" s="1238"/>
      <c r="C219" s="1238"/>
      <c r="D219" s="1238"/>
      <c r="E219" s="444"/>
      <c r="F219" s="1393"/>
      <c r="G219" s="608"/>
      <c r="H219" s="608"/>
      <c r="I219" s="1385"/>
      <c r="J219" s="1387"/>
      <c r="K219" s="1387"/>
      <c r="L219" s="1382"/>
    </row>
    <row r="220" spans="1:12" s="205" customFormat="1" ht="13.8">
      <c r="A220" s="632" t="s">
        <v>1527</v>
      </c>
      <c r="B220" s="633"/>
      <c r="C220" s="633"/>
      <c r="D220" s="634"/>
      <c r="E220" s="635"/>
      <c r="F220" s="635"/>
      <c r="G220" s="635"/>
      <c r="H220" s="636"/>
      <c r="I220" s="635"/>
      <c r="J220" s="635"/>
      <c r="K220" s="635"/>
      <c r="L220" s="635"/>
    </row>
    <row r="221" spans="1:12" s="205" customFormat="1" ht="13.8">
      <c r="A221" s="1788"/>
      <c r="B221" s="1789"/>
      <c r="C221" s="1789"/>
      <c r="D221" s="1790"/>
      <c r="E221" s="1791"/>
      <c r="F221" s="1791"/>
      <c r="G221" s="1791"/>
      <c r="H221" s="1792"/>
      <c r="I221" s="1791"/>
      <c r="J221" s="1791"/>
      <c r="K221" s="1791"/>
      <c r="L221" s="1791"/>
    </row>
    <row r="222" spans="1:12" s="1386" customFormat="1" ht="13.8">
      <c r="A222" s="1382"/>
      <c r="B222" s="1238"/>
      <c r="C222" s="1238"/>
      <c r="D222" s="1429" t="s">
        <v>1511</v>
      </c>
      <c r="E222" s="446"/>
      <c r="F222" s="1393"/>
      <c r="G222" s="608"/>
      <c r="H222" s="608"/>
      <c r="I222" s="1385"/>
      <c r="J222" s="1387"/>
      <c r="K222" s="1387"/>
      <c r="L222" s="1382"/>
    </row>
    <row r="223" spans="1:12" s="1391" customFormat="1" ht="13.8">
      <c r="A223" s="658"/>
      <c r="B223" s="1431"/>
      <c r="C223" s="1431"/>
      <c r="D223" s="1431"/>
      <c r="E223" s="1409" t="s">
        <v>1512</v>
      </c>
      <c r="F223" s="1812">
        <f>IF('Sharing mechanism'!$F$100=FALSE, Performance!F269, F203)</f>
        <v>0</v>
      </c>
      <c r="G223" s="1410" t="str">
        <f>InpCompany!$F$11</f>
        <v>£m (2017-18 prices)</v>
      </c>
      <c r="H223" s="623"/>
      <c r="I223" s="657"/>
      <c r="J223" s="1390"/>
      <c r="K223" s="1390"/>
      <c r="L223" s="658"/>
    </row>
    <row r="224" spans="1:12" s="1391" customFormat="1" ht="13.8">
      <c r="A224" s="658"/>
      <c r="B224" s="1431"/>
      <c r="C224" s="1431"/>
      <c r="D224" s="1431"/>
      <c r="E224" s="1409" t="s">
        <v>1513</v>
      </c>
      <c r="F224" s="1812">
        <f>IF('Sharing mechanism'!$F$100=FALSE, Performance!F270, F204)</f>
        <v>0</v>
      </c>
      <c r="G224" s="1410" t="str">
        <f>InpCompany!$F$11</f>
        <v>£m (2017-18 prices)</v>
      </c>
      <c r="H224" s="623"/>
      <c r="I224" s="657"/>
      <c r="J224" s="1390"/>
      <c r="K224" s="1390"/>
      <c r="L224" s="658"/>
    </row>
    <row r="225" spans="1:12" s="1391" customFormat="1" ht="13.8">
      <c r="A225" s="658"/>
      <c r="B225" s="1431"/>
      <c r="C225" s="1431"/>
      <c r="D225" s="1431"/>
      <c r="E225" s="1409" t="s">
        <v>1514</v>
      </c>
      <c r="F225" s="1812">
        <f>IF('Sharing mechanism'!$F$100=FALSE, Performance!F271, F205)</f>
        <v>0</v>
      </c>
      <c r="G225" s="1410" t="str">
        <f>InpCompany!$F$11</f>
        <v>£m (2017-18 prices)</v>
      </c>
      <c r="H225" s="623"/>
      <c r="I225" s="657"/>
      <c r="J225" s="1390"/>
      <c r="K225" s="1390"/>
      <c r="L225" s="658"/>
    </row>
    <row r="226" spans="1:12" s="1391" customFormat="1" ht="13.8">
      <c r="A226" s="658"/>
      <c r="B226" s="1431"/>
      <c r="C226" s="1431"/>
      <c r="D226" s="1431"/>
      <c r="E226" s="1409" t="s">
        <v>1515</v>
      </c>
      <c r="F226" s="1812">
        <f>IF('Sharing mechanism'!$F$100=FALSE, Performance!F272, F206)</f>
        <v>0</v>
      </c>
      <c r="G226" s="1410" t="str">
        <f>InpCompany!$F$11</f>
        <v>£m (2017-18 prices)</v>
      </c>
      <c r="H226" s="623"/>
      <c r="I226" s="657"/>
      <c r="J226" s="1390"/>
      <c r="K226" s="1390"/>
      <c r="L226" s="658"/>
    </row>
    <row r="227" spans="1:12" s="1391" customFormat="1" ht="13.8">
      <c r="A227" s="658"/>
      <c r="B227" s="1431"/>
      <c r="C227" s="1431"/>
      <c r="D227" s="1431"/>
      <c r="E227" s="1409" t="s">
        <v>1516</v>
      </c>
      <c r="F227" s="1812">
        <f>IF('Sharing mechanism'!$F$100=FALSE, Performance!F273, F207)</f>
        <v>0</v>
      </c>
      <c r="G227" s="1410" t="str">
        <f>InpCompany!$F$11</f>
        <v>£m (2017-18 prices)</v>
      </c>
      <c r="H227" s="623"/>
      <c r="I227" s="657"/>
      <c r="J227" s="1390"/>
      <c r="K227" s="1390"/>
      <c r="L227" s="658"/>
    </row>
    <row r="228" spans="1:12" s="1391" customFormat="1" ht="13.8">
      <c r="A228" s="658"/>
      <c r="B228" s="1431"/>
      <c r="C228" s="1431"/>
      <c r="D228" s="1431"/>
      <c r="E228" s="1409" t="s">
        <v>1517</v>
      </c>
      <c r="F228" s="1812">
        <f>IF('Sharing mechanism'!$F$100=FALSE, Performance!F274, F208)</f>
        <v>0</v>
      </c>
      <c r="G228" s="1410" t="str">
        <f>InpCompany!$F$11</f>
        <v>£m (2017-18 prices)</v>
      </c>
      <c r="H228" s="623"/>
      <c r="I228" s="657"/>
      <c r="J228" s="1390"/>
      <c r="K228" s="1390"/>
      <c r="L228" s="658"/>
    </row>
    <row r="229" spans="1:12" s="1391" customFormat="1" ht="13.8">
      <c r="A229" s="658"/>
      <c r="B229" s="1431"/>
      <c r="C229" s="1431"/>
      <c r="D229" s="1431"/>
      <c r="E229" s="1409" t="s">
        <v>1518</v>
      </c>
      <c r="F229" s="1812">
        <f>IF('Sharing mechanism'!$F$100=FALSE, Performance!F275, F209)</f>
        <v>0</v>
      </c>
      <c r="G229" s="1410" t="str">
        <f>InpCompany!$F$11</f>
        <v>£m (2017-18 prices)</v>
      </c>
      <c r="H229" s="623"/>
      <c r="I229" s="657"/>
      <c r="J229" s="1390"/>
      <c r="K229" s="1390"/>
      <c r="L229" s="658"/>
    </row>
    <row r="230" spans="1:12" s="1386" customFormat="1" ht="14.4">
      <c r="A230" s="1382"/>
      <c r="B230" s="1238"/>
      <c r="C230" s="1238"/>
      <c r="D230" s="1403"/>
      <c r="E230" s="26"/>
      <c r="F230" s="1393"/>
      <c r="G230" s="608"/>
      <c r="H230" s="608"/>
      <c r="I230" s="1385"/>
      <c r="J230" s="1387"/>
      <c r="K230" s="1387"/>
      <c r="L230" s="1382"/>
    </row>
    <row r="231" spans="1:12" s="1386" customFormat="1" ht="14.4">
      <c r="A231" s="1382"/>
      <c r="B231" s="1238"/>
      <c r="C231" s="1238"/>
      <c r="D231" s="1429" t="s">
        <v>1519</v>
      </c>
      <c r="E231" s="26"/>
      <c r="F231" s="1393"/>
      <c r="G231" s="608"/>
      <c r="H231" s="608"/>
      <c r="I231" s="1385"/>
      <c r="J231" s="1387"/>
      <c r="K231" s="1387"/>
      <c r="L231" s="1382"/>
    </row>
    <row r="232" spans="1:12" s="1391" customFormat="1" ht="13.8">
      <c r="A232" s="658"/>
      <c r="B232" s="1431"/>
      <c r="C232" s="1431"/>
      <c r="D232" s="1431"/>
      <c r="E232" s="1409" t="s">
        <v>1520</v>
      </c>
      <c r="F232" s="1812">
        <f>IF('Sharing mechanism'!$F$100=FALSE, Performance!F287, F212)</f>
        <v>0</v>
      </c>
      <c r="G232" s="1410" t="str">
        <f>InpCompany!$F$11</f>
        <v>£m (2017-18 prices)</v>
      </c>
      <c r="H232" s="623"/>
      <c r="I232" s="657"/>
      <c r="J232" s="1390"/>
      <c r="K232" s="1390"/>
      <c r="L232" s="658"/>
    </row>
    <row r="233" spans="1:12" s="1391" customFormat="1" ht="13.8">
      <c r="A233" s="658"/>
      <c r="B233" s="1431"/>
      <c r="C233" s="1431"/>
      <c r="D233" s="1431"/>
      <c r="E233" s="1409" t="s">
        <v>1521</v>
      </c>
      <c r="F233" s="1812">
        <f>IF('Sharing mechanism'!$F$100=FALSE, Performance!F288, F213)</f>
        <v>-2.5167000000000002</v>
      </c>
      <c r="G233" s="1410" t="str">
        <f>InpCompany!$F$11</f>
        <v>£m (2017-18 prices)</v>
      </c>
      <c r="H233" s="623"/>
      <c r="I233" s="657"/>
      <c r="J233" s="1390"/>
      <c r="K233" s="1390"/>
      <c r="L233" s="658"/>
    </row>
    <row r="234" spans="1:12" s="1391" customFormat="1" ht="13.8">
      <c r="A234" s="658"/>
      <c r="B234" s="1431"/>
      <c r="C234" s="1431"/>
      <c r="D234" s="1431"/>
      <c r="E234" s="1409" t="s">
        <v>1522</v>
      </c>
      <c r="F234" s="1812">
        <f>IF('Sharing mechanism'!$F$100=FALSE, Performance!F289, F214)</f>
        <v>0</v>
      </c>
      <c r="G234" s="1410" t="str">
        <f>InpCompany!$F$11</f>
        <v>£m (2017-18 prices)</v>
      </c>
      <c r="H234" s="623"/>
      <c r="I234" s="657"/>
      <c r="J234" s="1390"/>
      <c r="K234" s="1390"/>
      <c r="L234" s="658"/>
    </row>
    <row r="235" spans="1:12" s="1391" customFormat="1" ht="13.8">
      <c r="A235" s="658"/>
      <c r="B235" s="1431"/>
      <c r="C235" s="1431"/>
      <c r="D235" s="1431"/>
      <c r="E235" s="1409" t="s">
        <v>1523</v>
      </c>
      <c r="F235" s="1812">
        <f>IF('Sharing mechanism'!$F$100=FALSE, Performance!F290, F215)</f>
        <v>0</v>
      </c>
      <c r="G235" s="1410" t="str">
        <f>InpCompany!$F$11</f>
        <v>£m (2017-18 prices)</v>
      </c>
      <c r="H235" s="623"/>
      <c r="I235" s="657"/>
      <c r="J235" s="1390"/>
      <c r="K235" s="1390"/>
      <c r="L235" s="658"/>
    </row>
    <row r="236" spans="1:12" s="1391" customFormat="1" ht="13.8">
      <c r="A236" s="658"/>
      <c r="B236" s="1431"/>
      <c r="C236" s="1431"/>
      <c r="D236" s="1431"/>
      <c r="E236" s="1409" t="s">
        <v>1524</v>
      </c>
      <c r="F236" s="1812">
        <f>IF('Sharing mechanism'!$F$100=FALSE, Performance!F291, F216)</f>
        <v>0</v>
      </c>
      <c r="G236" s="1410" t="str">
        <f>InpCompany!$F$11</f>
        <v>£m (2017-18 prices)</v>
      </c>
      <c r="H236" s="623"/>
      <c r="I236" s="657"/>
      <c r="J236" s="1390"/>
      <c r="K236" s="1390"/>
      <c r="L236" s="658"/>
    </row>
    <row r="237" spans="1:12" s="1391" customFormat="1" ht="13.8">
      <c r="A237" s="658"/>
      <c r="B237" s="1431"/>
      <c r="C237" s="1431"/>
      <c r="D237" s="1431"/>
      <c r="E237" s="1409" t="s">
        <v>1525</v>
      </c>
      <c r="F237" s="1812">
        <f>IF('Sharing mechanism'!$F$100=FALSE, Performance!F292, F217)</f>
        <v>0</v>
      </c>
      <c r="G237" s="1410" t="str">
        <f>InpCompany!$F$11</f>
        <v>£m (2017-18 prices)</v>
      </c>
      <c r="H237" s="623"/>
      <c r="I237" s="657"/>
      <c r="J237" s="1392"/>
      <c r="K237" s="1390"/>
      <c r="L237" s="658"/>
    </row>
    <row r="238" spans="1:12" s="1391" customFormat="1" ht="13.8">
      <c r="A238" s="658"/>
      <c r="B238" s="1431"/>
      <c r="C238" s="1431"/>
      <c r="D238" s="1431"/>
      <c r="E238" s="1409" t="s">
        <v>1526</v>
      </c>
      <c r="F238" s="1812">
        <f>IF('Sharing mechanism'!$F$100=FALSE, Performance!F293, F218)</f>
        <v>0</v>
      </c>
      <c r="G238" s="1410" t="str">
        <f>InpCompany!$F$11</f>
        <v>£m (2017-18 prices)</v>
      </c>
      <c r="H238" s="658"/>
      <c r="I238" s="657"/>
      <c r="J238" s="658"/>
      <c r="K238" s="658"/>
      <c r="L238" s="658"/>
    </row>
    <row r="239" spans="1:12" s="1386" customFormat="1" ht="13.8">
      <c r="A239" s="1382"/>
      <c r="B239" s="1382"/>
      <c r="C239" s="1382"/>
      <c r="D239" s="1382"/>
      <c r="E239" s="1382"/>
      <c r="F239" s="1382"/>
      <c r="G239" s="1384"/>
      <c r="H239" s="1382"/>
      <c r="I239" s="1382"/>
      <c r="J239" s="1382"/>
      <c r="K239" s="1382"/>
      <c r="L239" s="1382"/>
    </row>
    <row r="240" spans="1:12" ht="21">
      <c r="A240" s="430" t="s">
        <v>935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6" customWidth="1"/>
    <col min="5" max="5" width="80.8984375" style="206" customWidth="1"/>
    <col min="6" max="8" width="15.59765625" style="206" customWidth="1"/>
    <col min="9" max="9" width="2.59765625" style="206" customWidth="1"/>
    <col min="10" max="16384" width="8.59765625" style="206"/>
  </cols>
  <sheetData>
    <row r="1" spans="1:13" s="200" customFormat="1" ht="45">
      <c r="A1" s="1179" t="str">
        <f ca="1" xml:space="preserve"> RIGHT(CELL("filename", $A$1), LEN(CELL("filename", $A$1)) - SEARCH("]", CELL("filename", $A$1)))</f>
        <v>Aggregate calculations</v>
      </c>
      <c r="B1" s="660"/>
      <c r="C1" s="236"/>
      <c r="D1" s="236"/>
      <c r="E1" s="237"/>
      <c r="F1" s="237"/>
      <c r="G1" s="237"/>
      <c r="H1" s="661" t="str">
        <f>InpCompany!F5</f>
        <v>South Staffs Water</v>
      </c>
      <c r="I1" s="238"/>
      <c r="L1" s="239"/>
    </row>
    <row r="2" spans="1:13" s="240" customFormat="1" ht="13.8">
      <c r="A2" s="662"/>
      <c r="B2" s="662"/>
      <c r="C2" s="662"/>
      <c r="D2" s="662"/>
      <c r="E2" s="662"/>
      <c r="F2" s="637" t="s">
        <v>1045</v>
      </c>
      <c r="G2" s="637" t="s">
        <v>131</v>
      </c>
      <c r="H2" s="637" t="s">
        <v>1046</v>
      </c>
      <c r="I2" s="662"/>
    </row>
    <row r="3" spans="1:13" s="205" customFormat="1" ht="13.8">
      <c r="A3" s="632" t="s">
        <v>1528</v>
      </c>
      <c r="B3" s="633"/>
      <c r="C3" s="633"/>
      <c r="D3" s="634"/>
      <c r="E3" s="635"/>
      <c r="F3" s="663"/>
      <c r="G3" s="663"/>
      <c r="H3" s="636"/>
      <c r="I3" s="635"/>
    </row>
    <row r="4" spans="1:13" s="226" customFormat="1" ht="13.8">
      <c r="A4" s="664"/>
      <c r="B4" s="665"/>
      <c r="C4" s="665"/>
      <c r="D4" s="666"/>
      <c r="E4" s="608"/>
      <c r="F4" s="520"/>
      <c r="G4" s="520"/>
      <c r="H4" s="608"/>
      <c r="I4" s="667"/>
    </row>
    <row r="5" spans="1:13" s="226" customFormat="1" ht="13.8">
      <c r="A5" s="664"/>
      <c r="B5" s="608"/>
      <c r="C5" s="668" t="s">
        <v>1529</v>
      </c>
      <c r="D5" s="666"/>
      <c r="E5" s="608"/>
      <c r="F5" s="520"/>
      <c r="G5" s="520"/>
      <c r="H5" s="608"/>
      <c r="I5" s="667"/>
    </row>
    <row r="6" spans="1:13" s="226" customFormat="1" ht="13.8">
      <c r="A6" s="664"/>
      <c r="B6" s="665"/>
      <c r="C6" s="665"/>
      <c r="D6" s="666"/>
      <c r="E6" s="608"/>
      <c r="F6" s="520"/>
      <c r="G6" s="520"/>
      <c r="H6" s="608"/>
      <c r="I6" s="667"/>
    </row>
    <row r="7" spans="1:13" s="201" customFormat="1" ht="13.8">
      <c r="A7" s="444"/>
      <c r="B7" s="444"/>
      <c r="C7" s="444"/>
      <c r="D7" s="454" t="s">
        <v>1440</v>
      </c>
      <c r="E7" s="444"/>
      <c r="F7" s="485"/>
      <c r="G7" s="485"/>
      <c r="H7" s="444"/>
      <c r="I7" s="444"/>
    </row>
    <row r="8" spans="1:13" s="227" customFormat="1" ht="13.8">
      <c r="A8" s="574"/>
      <c r="B8" s="574"/>
      <c r="C8" s="574"/>
      <c r="D8" s="574"/>
      <c r="E8" s="669" t="str">
        <f>'Sharing mechanism'!E77</f>
        <v>Outperformance payments after sharing (to be applied in-period) - Water resources</v>
      </c>
      <c r="F8" s="579">
        <f>'Sharing mechanism'!F77</f>
        <v>4.7468400000000001E-2</v>
      </c>
      <c r="G8" s="669" t="str">
        <f>'Sharing mechanism'!G77</f>
        <v>£m (2017-18 prices)</v>
      </c>
      <c r="H8" s="579"/>
      <c r="I8" s="574"/>
    </row>
    <row r="9" spans="1:13" s="227" customFormat="1" ht="13.8">
      <c r="A9" s="574"/>
      <c r="B9" s="574"/>
      <c r="C9" s="574"/>
      <c r="D9" s="574"/>
      <c r="E9" s="669" t="str">
        <f>'Sharing mechanism'!E78</f>
        <v>Outperformance payments after sharing (to be applied in-period) - Water network plus</v>
      </c>
      <c r="F9" s="579">
        <f>'Sharing mechanism'!F78</f>
        <v>0.68105159999999987</v>
      </c>
      <c r="G9" s="669" t="str">
        <f>'Sharing mechanism'!G78</f>
        <v>£m (2017-18 prices)</v>
      </c>
      <c r="H9" s="579"/>
      <c r="I9" s="574"/>
    </row>
    <row r="10" spans="1:13" s="227" customFormat="1" ht="13.8">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8">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8">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8">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8">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8">
      <c r="A15" s="444"/>
      <c r="B15" s="444"/>
      <c r="C15" s="444"/>
      <c r="D15" s="444"/>
      <c r="E15" s="574"/>
      <c r="F15" s="582"/>
      <c r="G15" s="582"/>
      <c r="H15" s="670"/>
      <c r="I15" s="444"/>
    </row>
    <row r="16" spans="1:13" s="201" customFormat="1" ht="13.8">
      <c r="A16" s="444"/>
      <c r="B16" s="444"/>
      <c r="C16" s="444"/>
      <c r="D16" s="454" t="s">
        <v>1530</v>
      </c>
      <c r="E16" s="444"/>
      <c r="F16" s="485"/>
      <c r="G16" s="485"/>
      <c r="H16" s="574"/>
      <c r="I16" s="444"/>
    </row>
    <row r="17" spans="1:9" s="227" customFormat="1" ht="13.8">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8">
      <c r="A18" s="574"/>
      <c r="B18" s="574"/>
      <c r="C18" s="574"/>
      <c r="D18" s="596"/>
      <c r="E18" s="1411" t="str">
        <f>'Sharing mechanism'!E224</f>
        <v>Underperformance payments after sharing (to be applied in-period) - Water network plus</v>
      </c>
      <c r="F18" s="606">
        <f>'Sharing mechanism'!F224</f>
        <v>0</v>
      </c>
      <c r="G18" s="1411" t="str">
        <f>'Sharing mechanism'!G224</f>
        <v>£m (2017-18 prices)</v>
      </c>
      <c r="H18" s="579"/>
      <c r="I18" s="574"/>
    </row>
    <row r="19" spans="1:9" s="227" customFormat="1" ht="13.8">
      <c r="A19" s="574"/>
      <c r="B19" s="574"/>
      <c r="C19" s="574"/>
      <c r="D19" s="596"/>
      <c r="E19" s="1411" t="str">
        <f>'Sharing mechanism'!E225</f>
        <v>Underperformance payments after sharing (to be applied in-period) - Wastewater network plus</v>
      </c>
      <c r="F19" s="606">
        <f>'Sharing mechanism'!F225</f>
        <v>0</v>
      </c>
      <c r="G19" s="1411" t="str">
        <f>'Sharing mechanism'!G225</f>
        <v>£m (2017-18 prices)</v>
      </c>
      <c r="H19" s="579"/>
      <c r="I19" s="574"/>
    </row>
    <row r="20" spans="1:9" s="227" customFormat="1" ht="13.8">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8">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8">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8">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8">
      <c r="A24" s="444"/>
      <c r="B24" s="444"/>
      <c r="C24" s="444"/>
      <c r="D24" s="444"/>
      <c r="E24" s="444"/>
      <c r="F24" s="485"/>
      <c r="G24" s="485"/>
      <c r="H24" s="444"/>
      <c r="I24" s="444"/>
    </row>
    <row r="25" spans="1:9" s="201" customFormat="1" ht="13.8">
      <c r="A25" s="444"/>
      <c r="B25" s="444"/>
      <c r="C25" s="444"/>
      <c r="D25" s="454" t="s">
        <v>1531</v>
      </c>
      <c r="E25" s="444"/>
      <c r="F25" s="485"/>
      <c r="G25" s="485"/>
      <c r="H25" s="444"/>
      <c r="I25" s="444"/>
    </row>
    <row r="26" spans="1:9" s="229" customFormat="1" ht="13.8">
      <c r="A26" s="623"/>
      <c r="B26" s="623"/>
      <c r="C26" s="623"/>
      <c r="D26" s="623"/>
      <c r="E26" s="623" t="s">
        <v>1532</v>
      </c>
      <c r="F26" s="671">
        <f>F8+F17</f>
        <v>4.7468400000000001E-2</v>
      </c>
      <c r="G26" s="672" t="str">
        <f>InpCompany!$F$11</f>
        <v>£m (2017-18 prices)</v>
      </c>
      <c r="H26" s="671"/>
      <c r="I26" s="623"/>
    </row>
    <row r="27" spans="1:9" s="229" customFormat="1" ht="13.8">
      <c r="A27" s="623"/>
      <c r="B27" s="623"/>
      <c r="C27" s="623"/>
      <c r="D27" s="623"/>
      <c r="E27" s="623" t="s">
        <v>1533</v>
      </c>
      <c r="F27" s="671">
        <f t="shared" ref="F27:F32" si="0">F9+F18</f>
        <v>0.68105159999999987</v>
      </c>
      <c r="G27" s="672" t="str">
        <f>InpCompany!$F$11</f>
        <v>£m (2017-18 prices)</v>
      </c>
      <c r="H27" s="671"/>
      <c r="I27" s="623"/>
    </row>
    <row r="28" spans="1:9" s="229" customFormat="1" ht="13.8">
      <c r="A28" s="623"/>
      <c r="B28" s="623"/>
      <c r="C28" s="623"/>
      <c r="D28" s="623"/>
      <c r="E28" s="623" t="s">
        <v>1534</v>
      </c>
      <c r="F28" s="671">
        <f t="shared" si="0"/>
        <v>0</v>
      </c>
      <c r="G28" s="672" t="str">
        <f>InpCompany!$F$11</f>
        <v>£m (2017-18 prices)</v>
      </c>
      <c r="H28" s="671"/>
      <c r="I28" s="623"/>
    </row>
    <row r="29" spans="1:9" s="229" customFormat="1" ht="13.8">
      <c r="A29" s="623"/>
      <c r="B29" s="623"/>
      <c r="C29" s="623"/>
      <c r="D29" s="623"/>
      <c r="E29" s="623" t="s">
        <v>1535</v>
      </c>
      <c r="F29" s="671">
        <f t="shared" si="0"/>
        <v>0</v>
      </c>
      <c r="G29" s="672" t="str">
        <f>InpCompany!$F$11</f>
        <v>£m (2017-18 prices)</v>
      </c>
      <c r="H29" s="671"/>
      <c r="I29" s="623"/>
    </row>
    <row r="30" spans="1:9" s="229" customFormat="1" ht="13.8">
      <c r="A30" s="623"/>
      <c r="B30" s="623"/>
      <c r="C30" s="623"/>
      <c r="D30" s="623"/>
      <c r="E30" s="623" t="s">
        <v>1536</v>
      </c>
      <c r="F30" s="671">
        <f t="shared" si="0"/>
        <v>0</v>
      </c>
      <c r="G30" s="672" t="str">
        <f>InpCompany!$F$11</f>
        <v>£m (2017-18 prices)</v>
      </c>
      <c r="H30" s="671"/>
      <c r="I30" s="623"/>
    </row>
    <row r="31" spans="1:9" s="229" customFormat="1" ht="13.8">
      <c r="A31" s="623"/>
      <c r="B31" s="623"/>
      <c r="C31" s="623"/>
      <c r="D31" s="623"/>
      <c r="E31" s="623" t="s">
        <v>1537</v>
      </c>
      <c r="F31" s="671">
        <f t="shared" si="0"/>
        <v>0</v>
      </c>
      <c r="G31" s="672" t="str">
        <f>InpCompany!$F$11</f>
        <v>£m (2017-18 prices)</v>
      </c>
      <c r="H31" s="671"/>
      <c r="I31" s="623"/>
    </row>
    <row r="32" spans="1:9" s="229" customFormat="1" ht="13.8">
      <c r="A32" s="623"/>
      <c r="B32" s="623"/>
      <c r="C32" s="623"/>
      <c r="D32" s="623"/>
      <c r="E32" s="623" t="s">
        <v>1538</v>
      </c>
      <c r="F32" s="671">
        <f t="shared" si="0"/>
        <v>0</v>
      </c>
      <c r="G32" s="672" t="str">
        <f>InpCompany!$F$11</f>
        <v>£m (2017-18 prices)</v>
      </c>
      <c r="H32" s="671"/>
      <c r="I32" s="623"/>
    </row>
    <row r="33" spans="1:13" s="201" customFormat="1" ht="13.8">
      <c r="A33" s="444"/>
      <c r="B33" s="444"/>
      <c r="C33" s="444"/>
      <c r="D33" s="444"/>
      <c r="E33" s="444"/>
      <c r="F33" s="485"/>
      <c r="G33" s="485"/>
      <c r="H33" s="444"/>
      <c r="I33" s="444"/>
      <c r="M33" s="229"/>
    </row>
    <row r="34" spans="1:13" s="201" customFormat="1" ht="13.8">
      <c r="A34" s="444"/>
      <c r="B34" s="444"/>
      <c r="C34" s="444"/>
      <c r="D34" s="444"/>
      <c r="E34" s="444"/>
      <c r="F34" s="485"/>
      <c r="G34" s="485"/>
      <c r="H34" s="444"/>
      <c r="I34" s="444"/>
    </row>
    <row r="35" spans="1:13" s="205" customFormat="1" ht="13.8">
      <c r="A35" s="632" t="s">
        <v>1539</v>
      </c>
      <c r="B35" s="633"/>
      <c r="C35" s="633"/>
      <c r="D35" s="634"/>
      <c r="E35" s="635"/>
      <c r="F35" s="663"/>
      <c r="G35" s="663"/>
      <c r="H35" s="636"/>
      <c r="I35" s="635"/>
    </row>
    <row r="36" spans="1:13" s="201" customFormat="1" ht="13.8">
      <c r="A36" s="444"/>
      <c r="B36" s="444"/>
      <c r="C36" s="444"/>
      <c r="D36" s="444"/>
      <c r="E36" s="444"/>
      <c r="F36" s="485"/>
      <c r="G36" s="485"/>
      <c r="H36" s="444"/>
      <c r="I36" s="444"/>
    </row>
    <row r="37" spans="1:13" s="201" customFormat="1" ht="13.8">
      <c r="A37" s="444"/>
      <c r="B37" s="444"/>
      <c r="C37" s="668" t="s">
        <v>1529</v>
      </c>
      <c r="D37" s="444"/>
      <c r="E37" s="444"/>
      <c r="F37" s="485"/>
      <c r="G37" s="485"/>
      <c r="H37" s="444"/>
      <c r="I37" s="444"/>
    </row>
    <row r="38" spans="1:13" s="201" customFormat="1" ht="13.8">
      <c r="A38" s="444"/>
      <c r="B38" s="444"/>
      <c r="C38" s="444"/>
      <c r="D38" s="444"/>
      <c r="E38" s="444"/>
      <c r="F38" s="485"/>
      <c r="G38" s="485"/>
      <c r="H38" s="444"/>
      <c r="I38" s="444"/>
    </row>
    <row r="39" spans="1:13" s="201" customFormat="1" ht="13.8">
      <c r="A39" s="444"/>
      <c r="B39" s="444"/>
      <c r="C39" s="444"/>
      <c r="D39" s="454" t="s">
        <v>1448</v>
      </c>
      <c r="E39" s="444"/>
      <c r="F39" s="579"/>
      <c r="G39" s="485"/>
      <c r="H39" s="444"/>
      <c r="I39" s="444"/>
    </row>
    <row r="40" spans="1:13" s="227" customFormat="1" ht="13.8">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8">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8">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8">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8">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8">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8">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8">
      <c r="A47" s="444"/>
      <c r="B47" s="444"/>
      <c r="C47" s="444"/>
      <c r="D47" s="444"/>
      <c r="E47" s="444"/>
      <c r="F47" s="485"/>
      <c r="G47" s="485"/>
      <c r="H47" s="574"/>
      <c r="I47" s="444"/>
    </row>
    <row r="48" spans="1:13" s="201" customFormat="1" ht="13.8">
      <c r="A48" s="444"/>
      <c r="B48" s="444"/>
      <c r="C48" s="444"/>
      <c r="D48" s="454" t="s">
        <v>1540</v>
      </c>
      <c r="E48" s="444"/>
      <c r="F48" s="485"/>
      <c r="G48" s="485"/>
      <c r="H48" s="574"/>
      <c r="I48" s="444"/>
    </row>
    <row r="49" spans="1:9" s="201" customFormat="1" ht="13.8">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8">
      <c r="A50" s="444"/>
      <c r="B50" s="444"/>
      <c r="C50" s="501"/>
      <c r="D50" s="501"/>
      <c r="E50" s="1412" t="str">
        <f>'Sharing mechanism'!E233</f>
        <v>Underperformance payments after sharing (to be applied end of period) - Water network plus</v>
      </c>
      <c r="F50" s="579">
        <f>'Sharing mechanism'!F233</f>
        <v>-2.5167000000000002</v>
      </c>
      <c r="G50" s="1412" t="str">
        <f>'Sharing mechanism'!G233</f>
        <v>£m (2017-18 prices)</v>
      </c>
      <c r="H50" s="579"/>
      <c r="I50" s="444"/>
    </row>
    <row r="51" spans="1:9" s="201" customFormat="1" ht="13.8">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8">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8">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8">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8">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8">
      <c r="A56" s="444"/>
      <c r="B56" s="444"/>
      <c r="C56" s="444"/>
      <c r="D56" s="444"/>
      <c r="E56" s="444"/>
      <c r="F56" s="485"/>
      <c r="G56" s="485"/>
      <c r="H56" s="574"/>
      <c r="I56" s="444"/>
    </row>
    <row r="57" spans="1:9" s="201" customFormat="1" ht="13.8">
      <c r="A57" s="444"/>
      <c r="B57" s="444"/>
      <c r="C57" s="464" t="s">
        <v>1541</v>
      </c>
      <c r="D57" s="444"/>
      <c r="E57" s="444"/>
      <c r="F57" s="485"/>
      <c r="G57" s="485"/>
      <c r="H57" s="574"/>
      <c r="I57" s="444"/>
    </row>
    <row r="58" spans="1:9" s="201" customFormat="1" ht="13.8">
      <c r="A58" s="444"/>
      <c r="B58" s="444"/>
      <c r="C58" s="444"/>
      <c r="D58" s="444"/>
      <c r="E58" s="444"/>
      <c r="F58" s="485"/>
      <c r="G58" s="485"/>
      <c r="H58" s="574"/>
      <c r="I58" s="444"/>
    </row>
    <row r="59" spans="1:9" s="201" customFormat="1" ht="13.8">
      <c r="A59" s="444"/>
      <c r="B59" s="444"/>
      <c r="C59" s="444"/>
      <c r="D59" s="454" t="str">
        <f>Performance!D317</f>
        <v>Proportion of end of period outperformance payments to be paid through the RCV</v>
      </c>
      <c r="E59" s="444"/>
      <c r="F59" s="485"/>
      <c r="G59" s="485"/>
      <c r="H59" s="574"/>
      <c r="I59" s="444"/>
    </row>
    <row r="60" spans="1:9" s="201" customFormat="1" ht="13.8">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8">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8">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8">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8">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8">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8">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8">
      <c r="A67" s="444"/>
      <c r="B67" s="444"/>
      <c r="C67" s="444"/>
      <c r="D67" s="444"/>
      <c r="E67" s="444"/>
      <c r="F67" s="485"/>
      <c r="G67" s="485"/>
      <c r="H67" s="574"/>
      <c r="I67" s="444"/>
    </row>
    <row r="68" spans="1:9" s="201" customFormat="1" ht="13.8">
      <c r="A68" s="444"/>
      <c r="B68" s="444"/>
      <c r="C68" s="444"/>
      <c r="D68" s="454" t="str">
        <f>Performance!D326</f>
        <v>Proportion of end of period underperformance payments to be paid through the RCV</v>
      </c>
      <c r="E68" s="444"/>
      <c r="F68" s="485"/>
      <c r="G68" s="485"/>
      <c r="H68" s="574"/>
      <c r="I68" s="444"/>
    </row>
    <row r="69" spans="1:9" s="201" customFormat="1" ht="13.8">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8">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8">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8">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8">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8">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8">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8">
      <c r="A76" s="444"/>
      <c r="B76" s="444"/>
      <c r="C76" s="444"/>
      <c r="D76" s="444"/>
      <c r="E76" s="444"/>
      <c r="F76" s="485"/>
      <c r="G76" s="485"/>
      <c r="H76" s="444"/>
      <c r="I76" s="444"/>
    </row>
    <row r="77" spans="1:9" s="201" customFormat="1" ht="13.8">
      <c r="A77" s="444"/>
      <c r="B77" s="444"/>
      <c r="C77" s="444"/>
      <c r="D77" s="454" t="s">
        <v>1542</v>
      </c>
      <c r="E77" s="444"/>
      <c r="F77" s="485"/>
      <c r="G77" s="520"/>
      <c r="H77" s="444"/>
      <c r="I77" s="444"/>
    </row>
    <row r="78" spans="1:9" s="201" customFormat="1" ht="13.8">
      <c r="A78" s="444"/>
      <c r="B78" s="444"/>
      <c r="C78" s="444"/>
      <c r="D78" s="444"/>
      <c r="E78" s="444" t="s">
        <v>1543</v>
      </c>
      <c r="F78" s="483">
        <f>F40*(1-F60)</f>
        <v>0</v>
      </c>
      <c r="G78" s="520" t="str">
        <f>InpCompany!$F$11</f>
        <v>£m (2017-18 prices)</v>
      </c>
      <c r="H78" s="483"/>
      <c r="I78" s="444"/>
    </row>
    <row r="79" spans="1:9" s="201" customFormat="1" ht="13.8">
      <c r="A79" s="444"/>
      <c r="B79" s="444"/>
      <c r="C79" s="444"/>
      <c r="D79" s="444"/>
      <c r="E79" s="444" t="s">
        <v>1544</v>
      </c>
      <c r="F79" s="483">
        <f t="shared" ref="F79:F84" si="1">F41*(1-F61)</f>
        <v>0</v>
      </c>
      <c r="G79" s="520" t="str">
        <f>InpCompany!$F$11</f>
        <v>£m (2017-18 prices)</v>
      </c>
      <c r="H79" s="483"/>
      <c r="I79" s="444"/>
    </row>
    <row r="80" spans="1:9" s="201" customFormat="1" ht="13.8">
      <c r="A80" s="444"/>
      <c r="B80" s="444"/>
      <c r="C80" s="444"/>
      <c r="D80" s="444"/>
      <c r="E80" s="444" t="s">
        <v>1545</v>
      </c>
      <c r="F80" s="483">
        <f t="shared" si="1"/>
        <v>0</v>
      </c>
      <c r="G80" s="520" t="str">
        <f>InpCompany!$F$11</f>
        <v>£m (2017-18 prices)</v>
      </c>
      <c r="H80" s="483"/>
      <c r="I80" s="444"/>
    </row>
    <row r="81" spans="1:9" s="201" customFormat="1" ht="13.8">
      <c r="A81" s="444"/>
      <c r="B81" s="444"/>
      <c r="C81" s="444"/>
      <c r="D81" s="444"/>
      <c r="E81" s="444" t="s">
        <v>1546</v>
      </c>
      <c r="F81" s="483">
        <f t="shared" si="1"/>
        <v>0</v>
      </c>
      <c r="G81" s="520" t="str">
        <f>InpCompany!$F$11</f>
        <v>£m (2017-18 prices)</v>
      </c>
      <c r="H81" s="483"/>
      <c r="I81" s="444"/>
    </row>
    <row r="82" spans="1:9" s="201" customFormat="1" ht="13.8">
      <c r="A82" s="444"/>
      <c r="B82" s="444"/>
      <c r="C82" s="444"/>
      <c r="D82" s="444"/>
      <c r="E82" s="444" t="s">
        <v>1547</v>
      </c>
      <c r="F82" s="483">
        <f t="shared" si="1"/>
        <v>0</v>
      </c>
      <c r="G82" s="520" t="str">
        <f>InpCompany!$F$11</f>
        <v>£m (2017-18 prices)</v>
      </c>
      <c r="H82" s="483"/>
      <c r="I82" s="444"/>
    </row>
    <row r="83" spans="1:9" s="201" customFormat="1" ht="13.8">
      <c r="A83" s="444"/>
      <c r="B83" s="444"/>
      <c r="C83" s="444"/>
      <c r="D83" s="444"/>
      <c r="E83" s="444" t="s">
        <v>1548</v>
      </c>
      <c r="F83" s="483">
        <f t="shared" si="1"/>
        <v>0</v>
      </c>
      <c r="G83" s="520" t="str">
        <f>InpCompany!$F$11</f>
        <v>£m (2017-18 prices)</v>
      </c>
      <c r="H83" s="483"/>
      <c r="I83" s="444"/>
    </row>
    <row r="84" spans="1:9" s="201" customFormat="1" ht="13.8">
      <c r="A84" s="444"/>
      <c r="B84" s="444"/>
      <c r="C84" s="444"/>
      <c r="D84" s="444"/>
      <c r="E84" s="444" t="s">
        <v>1549</v>
      </c>
      <c r="F84" s="483">
        <f t="shared" si="1"/>
        <v>0</v>
      </c>
      <c r="G84" s="520" t="str">
        <f>InpCompany!$F$11</f>
        <v>£m (2017-18 prices)</v>
      </c>
      <c r="H84" s="483"/>
      <c r="I84" s="444"/>
    </row>
    <row r="85" spans="1:9" s="201" customFormat="1" ht="13.8">
      <c r="A85" s="444"/>
      <c r="B85" s="444"/>
      <c r="C85" s="444"/>
      <c r="D85" s="444"/>
      <c r="E85" s="485"/>
      <c r="F85" s="485"/>
      <c r="G85" s="520"/>
      <c r="H85" s="608"/>
      <c r="I85" s="444"/>
    </row>
    <row r="86" spans="1:9" s="201" customFormat="1" ht="13.8">
      <c r="A86" s="444"/>
      <c r="B86" s="444"/>
      <c r="C86" s="444"/>
      <c r="D86" s="454" t="s">
        <v>1550</v>
      </c>
      <c r="E86" s="485"/>
      <c r="F86" s="485"/>
      <c r="G86" s="520"/>
      <c r="H86" s="608"/>
      <c r="I86" s="444"/>
    </row>
    <row r="87" spans="1:9" s="201" customFormat="1" ht="13.8">
      <c r="A87" s="444"/>
      <c r="B87" s="444"/>
      <c r="C87" s="444"/>
      <c r="D87" s="444"/>
      <c r="E87" s="444" t="s">
        <v>1551</v>
      </c>
      <c r="F87" s="483">
        <f>F40*F60</f>
        <v>0</v>
      </c>
      <c r="G87" s="520" t="str">
        <f>InpCompany!$F$11</f>
        <v>£m (2017-18 prices)</v>
      </c>
      <c r="H87" s="483"/>
      <c r="I87" s="444"/>
    </row>
    <row r="88" spans="1:9" s="201" customFormat="1" ht="13.8">
      <c r="A88" s="444"/>
      <c r="B88" s="444"/>
      <c r="C88" s="444"/>
      <c r="D88" s="444"/>
      <c r="E88" s="444" t="s">
        <v>1552</v>
      </c>
      <c r="F88" s="483">
        <f t="shared" ref="F88:F93" si="2">F41*F61</f>
        <v>0</v>
      </c>
      <c r="G88" s="520" t="str">
        <f>InpCompany!$F$11</f>
        <v>£m (2017-18 prices)</v>
      </c>
      <c r="H88" s="483"/>
      <c r="I88" s="444"/>
    </row>
    <row r="89" spans="1:9" s="201" customFormat="1" ht="13.8">
      <c r="A89" s="444"/>
      <c r="B89" s="444"/>
      <c r="C89" s="444"/>
      <c r="D89" s="444"/>
      <c r="E89" s="444" t="s">
        <v>1553</v>
      </c>
      <c r="F89" s="483">
        <f t="shared" si="2"/>
        <v>0</v>
      </c>
      <c r="G89" s="520" t="str">
        <f>InpCompany!$F$11</f>
        <v>£m (2017-18 prices)</v>
      </c>
      <c r="H89" s="483"/>
      <c r="I89" s="444"/>
    </row>
    <row r="90" spans="1:9" s="201" customFormat="1" ht="13.8">
      <c r="A90" s="444"/>
      <c r="B90" s="444"/>
      <c r="C90" s="444"/>
      <c r="D90" s="444"/>
      <c r="E90" s="444" t="s">
        <v>1554</v>
      </c>
      <c r="F90" s="483">
        <f t="shared" si="2"/>
        <v>0</v>
      </c>
      <c r="G90" s="520" t="str">
        <f>InpCompany!$F$11</f>
        <v>£m (2017-18 prices)</v>
      </c>
      <c r="H90" s="483"/>
      <c r="I90" s="444"/>
    </row>
    <row r="91" spans="1:9" s="201" customFormat="1" ht="13.8">
      <c r="A91" s="444"/>
      <c r="B91" s="444"/>
      <c r="C91" s="444"/>
      <c r="D91" s="444"/>
      <c r="E91" s="444" t="s">
        <v>1555</v>
      </c>
      <c r="F91" s="483">
        <f t="shared" si="2"/>
        <v>0</v>
      </c>
      <c r="G91" s="520" t="str">
        <f>InpCompany!$F$11</f>
        <v>£m (2017-18 prices)</v>
      </c>
      <c r="H91" s="483"/>
      <c r="I91" s="444"/>
    </row>
    <row r="92" spans="1:9" s="201" customFormat="1" ht="13.8">
      <c r="A92" s="444"/>
      <c r="B92" s="444"/>
      <c r="C92" s="444"/>
      <c r="D92" s="444"/>
      <c r="E92" s="444" t="s">
        <v>1556</v>
      </c>
      <c r="F92" s="483">
        <f t="shared" si="2"/>
        <v>0</v>
      </c>
      <c r="G92" s="520" t="str">
        <f>InpCompany!$F$11</f>
        <v>£m (2017-18 prices)</v>
      </c>
      <c r="H92" s="483"/>
      <c r="I92" s="444"/>
    </row>
    <row r="93" spans="1:9" s="201" customFormat="1" ht="13.8">
      <c r="A93" s="444"/>
      <c r="B93" s="444"/>
      <c r="C93" s="444"/>
      <c r="D93" s="444"/>
      <c r="E93" s="444" t="s">
        <v>1557</v>
      </c>
      <c r="F93" s="483">
        <f t="shared" si="2"/>
        <v>0</v>
      </c>
      <c r="G93" s="520" t="str">
        <f>InpCompany!$F$11</f>
        <v>£m (2017-18 prices)</v>
      </c>
      <c r="H93" s="483"/>
      <c r="I93" s="444"/>
    </row>
    <row r="94" spans="1:9" s="201" customFormat="1" ht="13.8">
      <c r="A94" s="444"/>
      <c r="B94" s="444"/>
      <c r="C94" s="444"/>
      <c r="D94" s="444"/>
      <c r="E94" s="485"/>
      <c r="F94" s="485"/>
      <c r="G94" s="520"/>
      <c r="H94" s="608"/>
      <c r="I94" s="444"/>
    </row>
    <row r="95" spans="1:9" s="201" customFormat="1" ht="13.8">
      <c r="A95" s="444"/>
      <c r="B95" s="444"/>
      <c r="C95" s="444"/>
      <c r="D95" s="454" t="s">
        <v>1558</v>
      </c>
      <c r="E95" s="485"/>
      <c r="F95" s="485"/>
      <c r="G95" s="520"/>
      <c r="H95" s="608"/>
      <c r="I95" s="444"/>
    </row>
    <row r="96" spans="1:9" s="201" customFormat="1" ht="13.8">
      <c r="A96" s="444"/>
      <c r="B96" s="444"/>
      <c r="C96" s="444"/>
      <c r="D96" s="444"/>
      <c r="E96" s="444" t="s">
        <v>1559</v>
      </c>
      <c r="F96" s="483">
        <f>F49*(1-F69)</f>
        <v>0</v>
      </c>
      <c r="G96" s="520" t="str">
        <f>InpCompany!$F$11</f>
        <v>£m (2017-18 prices)</v>
      </c>
      <c r="H96" s="483"/>
      <c r="I96" s="444"/>
    </row>
    <row r="97" spans="1:9" s="201" customFormat="1" ht="13.8">
      <c r="A97" s="444"/>
      <c r="B97" s="444"/>
      <c r="C97" s="444"/>
      <c r="D97" s="444"/>
      <c r="E97" s="444" t="s">
        <v>1560</v>
      </c>
      <c r="F97" s="483">
        <f t="shared" ref="F97:F102" si="3">F50*(1-F70)</f>
        <v>-2.5167000000000002</v>
      </c>
      <c r="G97" s="520" t="str">
        <f>InpCompany!$F$11</f>
        <v>£m (2017-18 prices)</v>
      </c>
      <c r="H97" s="483"/>
      <c r="I97" s="444"/>
    </row>
    <row r="98" spans="1:9" s="201" customFormat="1" ht="13.8">
      <c r="A98" s="444"/>
      <c r="B98" s="444"/>
      <c r="C98" s="444"/>
      <c r="D98" s="444"/>
      <c r="E98" s="444" t="s">
        <v>1561</v>
      </c>
      <c r="F98" s="483">
        <f t="shared" si="3"/>
        <v>0</v>
      </c>
      <c r="G98" s="520" t="str">
        <f>InpCompany!$F$11</f>
        <v>£m (2017-18 prices)</v>
      </c>
      <c r="H98" s="483"/>
      <c r="I98" s="444"/>
    </row>
    <row r="99" spans="1:9" s="201" customFormat="1" ht="13.8">
      <c r="A99" s="444"/>
      <c r="B99" s="444"/>
      <c r="C99" s="444"/>
      <c r="D99" s="444"/>
      <c r="E99" s="444" t="s">
        <v>1562</v>
      </c>
      <c r="F99" s="483">
        <f t="shared" si="3"/>
        <v>0</v>
      </c>
      <c r="G99" s="520" t="str">
        <f>InpCompany!$F$11</f>
        <v>£m (2017-18 prices)</v>
      </c>
      <c r="H99" s="483"/>
      <c r="I99" s="444"/>
    </row>
    <row r="100" spans="1:9" s="201" customFormat="1" ht="13.8">
      <c r="A100" s="444"/>
      <c r="B100" s="444"/>
      <c r="C100" s="444"/>
      <c r="D100" s="444"/>
      <c r="E100" s="444" t="s">
        <v>1563</v>
      </c>
      <c r="F100" s="483">
        <f t="shared" si="3"/>
        <v>0</v>
      </c>
      <c r="G100" s="520" t="str">
        <f>InpCompany!$F$11</f>
        <v>£m (2017-18 prices)</v>
      </c>
      <c r="H100" s="483"/>
      <c r="I100" s="444"/>
    </row>
    <row r="101" spans="1:9" s="201" customFormat="1" ht="13.8">
      <c r="A101" s="444"/>
      <c r="B101" s="444"/>
      <c r="C101" s="444"/>
      <c r="D101" s="444"/>
      <c r="E101" s="444" t="s">
        <v>1564</v>
      </c>
      <c r="F101" s="483">
        <f t="shared" si="3"/>
        <v>0</v>
      </c>
      <c r="G101" s="520" t="str">
        <f>InpCompany!$F$11</f>
        <v>£m (2017-18 prices)</v>
      </c>
      <c r="H101" s="483"/>
      <c r="I101" s="444"/>
    </row>
    <row r="102" spans="1:9" s="201" customFormat="1" ht="13.8">
      <c r="A102" s="444"/>
      <c r="B102" s="444"/>
      <c r="C102" s="444"/>
      <c r="D102" s="444"/>
      <c r="E102" s="444" t="s">
        <v>1565</v>
      </c>
      <c r="F102" s="483">
        <f t="shared" si="3"/>
        <v>0</v>
      </c>
      <c r="G102" s="520" t="str">
        <f>InpCompany!$F$11</f>
        <v>£m (2017-18 prices)</v>
      </c>
      <c r="H102" s="483"/>
      <c r="I102" s="444"/>
    </row>
    <row r="103" spans="1:9" s="201" customFormat="1" ht="13.8">
      <c r="A103" s="444"/>
      <c r="B103" s="444"/>
      <c r="C103" s="444"/>
      <c r="D103" s="444"/>
      <c r="E103" s="485"/>
      <c r="F103" s="485"/>
      <c r="G103" s="520"/>
      <c r="H103" s="608"/>
      <c r="I103" s="444"/>
    </row>
    <row r="104" spans="1:9" s="201" customFormat="1" ht="13.8">
      <c r="A104" s="444"/>
      <c r="B104" s="444"/>
      <c r="C104" s="444"/>
      <c r="D104" s="454" t="s">
        <v>1566</v>
      </c>
      <c r="E104" s="485"/>
      <c r="F104" s="485"/>
      <c r="G104" s="520"/>
      <c r="H104" s="608"/>
      <c r="I104" s="444"/>
    </row>
    <row r="105" spans="1:9" s="201" customFormat="1" ht="13.8">
      <c r="A105" s="444"/>
      <c r="B105" s="444"/>
      <c r="C105" s="444"/>
      <c r="D105" s="444"/>
      <c r="E105" s="444" t="s">
        <v>1567</v>
      </c>
      <c r="F105" s="483">
        <f>F49*F69</f>
        <v>0</v>
      </c>
      <c r="G105" s="520" t="str">
        <f>InpCompany!$F$11</f>
        <v>£m (2017-18 prices)</v>
      </c>
      <c r="H105" s="483"/>
      <c r="I105" s="444"/>
    </row>
    <row r="106" spans="1:9" s="201" customFormat="1" ht="13.8">
      <c r="A106" s="444"/>
      <c r="B106" s="444"/>
      <c r="C106" s="444"/>
      <c r="D106" s="444"/>
      <c r="E106" s="444" t="s">
        <v>1568</v>
      </c>
      <c r="F106" s="483">
        <f t="shared" ref="F106:F111" si="4">F50*F70</f>
        <v>0</v>
      </c>
      <c r="G106" s="520" t="str">
        <f>InpCompany!$F$11</f>
        <v>£m (2017-18 prices)</v>
      </c>
      <c r="H106" s="483"/>
      <c r="I106" s="444"/>
    </row>
    <row r="107" spans="1:9" s="201" customFormat="1" ht="13.8">
      <c r="A107" s="444"/>
      <c r="B107" s="444"/>
      <c r="C107" s="444"/>
      <c r="D107" s="444"/>
      <c r="E107" s="444" t="s">
        <v>1569</v>
      </c>
      <c r="F107" s="483">
        <f t="shared" si="4"/>
        <v>0</v>
      </c>
      <c r="G107" s="520" t="str">
        <f>InpCompany!$F$11</f>
        <v>£m (2017-18 prices)</v>
      </c>
      <c r="H107" s="483"/>
      <c r="I107" s="444"/>
    </row>
    <row r="108" spans="1:9" s="201" customFormat="1" ht="13.8">
      <c r="A108" s="444"/>
      <c r="B108" s="444"/>
      <c r="C108" s="444"/>
      <c r="D108" s="444"/>
      <c r="E108" s="444" t="s">
        <v>1570</v>
      </c>
      <c r="F108" s="483">
        <f t="shared" si="4"/>
        <v>0</v>
      </c>
      <c r="G108" s="520" t="str">
        <f>InpCompany!$F$11</f>
        <v>£m (2017-18 prices)</v>
      </c>
      <c r="H108" s="483"/>
      <c r="I108" s="444"/>
    </row>
    <row r="109" spans="1:9" s="201" customFormat="1" ht="13.8">
      <c r="A109" s="444"/>
      <c r="B109" s="444"/>
      <c r="C109" s="444"/>
      <c r="D109" s="444"/>
      <c r="E109" s="444" t="s">
        <v>1571</v>
      </c>
      <c r="F109" s="483">
        <f t="shared" si="4"/>
        <v>0</v>
      </c>
      <c r="G109" s="520" t="str">
        <f>InpCompany!$F$11</f>
        <v>£m (2017-18 prices)</v>
      </c>
      <c r="H109" s="483"/>
      <c r="I109" s="444"/>
    </row>
    <row r="110" spans="1:9" s="201" customFormat="1" ht="13.8">
      <c r="A110" s="444"/>
      <c r="B110" s="444"/>
      <c r="C110" s="444"/>
      <c r="D110" s="444"/>
      <c r="E110" s="444" t="s">
        <v>1572</v>
      </c>
      <c r="F110" s="483">
        <f t="shared" si="4"/>
        <v>0</v>
      </c>
      <c r="G110" s="520" t="str">
        <f>InpCompany!$F$11</f>
        <v>£m (2017-18 prices)</v>
      </c>
      <c r="H110" s="483"/>
      <c r="I110" s="444"/>
    </row>
    <row r="111" spans="1:9" s="201" customFormat="1" ht="13.8">
      <c r="A111" s="444"/>
      <c r="B111" s="444"/>
      <c r="C111" s="444"/>
      <c r="D111" s="444"/>
      <c r="E111" s="444" t="s">
        <v>1573</v>
      </c>
      <c r="F111" s="483">
        <f t="shared" si="4"/>
        <v>0</v>
      </c>
      <c r="G111" s="520" t="str">
        <f>InpCompany!$F$11</f>
        <v>£m (2017-18 prices)</v>
      </c>
      <c r="H111" s="483"/>
      <c r="I111" s="444"/>
    </row>
    <row r="112" spans="1:9" s="201" customFormat="1" ht="13.8">
      <c r="A112" s="444"/>
      <c r="B112" s="444"/>
      <c r="C112" s="444"/>
      <c r="D112" s="444"/>
      <c r="E112" s="444"/>
      <c r="F112" s="485"/>
      <c r="G112" s="485"/>
      <c r="H112" s="444"/>
      <c r="I112" s="444"/>
    </row>
    <row r="113" spans="1:9" s="201" customFormat="1" ht="13.8">
      <c r="A113" s="444"/>
      <c r="B113" s="444"/>
      <c r="C113" s="464" t="s">
        <v>1574</v>
      </c>
      <c r="D113" s="444"/>
      <c r="E113" s="444"/>
      <c r="F113" s="485"/>
      <c r="G113" s="485"/>
      <c r="H113" s="444"/>
      <c r="I113" s="444"/>
    </row>
    <row r="114" spans="1:9" s="201" customFormat="1" ht="13.8">
      <c r="A114" s="444"/>
      <c r="B114" s="444"/>
      <c r="C114" s="444"/>
      <c r="D114" s="444"/>
      <c r="E114" s="444"/>
      <c r="F114" s="485"/>
      <c r="G114" s="485"/>
      <c r="H114" s="444"/>
      <c r="I114" s="444"/>
    </row>
    <row r="115" spans="1:9" s="201" customFormat="1" ht="13.8">
      <c r="A115" s="444"/>
      <c r="B115" s="444"/>
      <c r="C115" s="444"/>
      <c r="D115" s="454" t="s">
        <v>1575</v>
      </c>
      <c r="E115" s="444"/>
      <c r="F115" s="485"/>
      <c r="G115" s="485"/>
      <c r="H115" s="444"/>
      <c r="I115" s="444"/>
    </row>
    <row r="116" spans="1:9" s="201" customFormat="1" ht="13.8">
      <c r="A116" s="444"/>
      <c r="B116" s="444"/>
      <c r="C116" s="444"/>
      <c r="D116" s="444"/>
      <c r="E116" s="623" t="s">
        <v>1201</v>
      </c>
      <c r="F116" s="671">
        <f>F78+F96</f>
        <v>0</v>
      </c>
      <c r="G116" s="672" t="str">
        <f>InpCompany!$F$11</f>
        <v>£m (2017-18 prices)</v>
      </c>
      <c r="H116" s="671"/>
      <c r="I116" s="444"/>
    </row>
    <row r="117" spans="1:9" s="201" customFormat="1" ht="13.8">
      <c r="A117" s="444"/>
      <c r="B117" s="444"/>
      <c r="C117" s="444"/>
      <c r="D117" s="444"/>
      <c r="E117" s="623" t="s">
        <v>1202</v>
      </c>
      <c r="F117" s="671">
        <f t="shared" ref="F117:F122" si="5">F79+F97</f>
        <v>-2.5167000000000002</v>
      </c>
      <c r="G117" s="672" t="str">
        <f>InpCompany!$F$11</f>
        <v>£m (2017-18 prices)</v>
      </c>
      <c r="H117" s="671"/>
      <c r="I117" s="444"/>
    </row>
    <row r="118" spans="1:9" s="201" customFormat="1" ht="13.8">
      <c r="A118" s="444"/>
      <c r="B118" s="444"/>
      <c r="C118" s="444"/>
      <c r="D118" s="444"/>
      <c r="E118" s="623" t="s">
        <v>1203</v>
      </c>
      <c r="F118" s="671">
        <f t="shared" si="5"/>
        <v>0</v>
      </c>
      <c r="G118" s="672" t="str">
        <f>InpCompany!$F$11</f>
        <v>£m (2017-18 prices)</v>
      </c>
      <c r="H118" s="671"/>
      <c r="I118" s="444"/>
    </row>
    <row r="119" spans="1:9" s="201" customFormat="1" ht="13.8">
      <c r="A119" s="444"/>
      <c r="B119" s="444"/>
      <c r="C119" s="444"/>
      <c r="D119" s="444"/>
      <c r="E119" s="623" t="s">
        <v>1204</v>
      </c>
      <c r="F119" s="671">
        <f t="shared" si="5"/>
        <v>0</v>
      </c>
      <c r="G119" s="672" t="str">
        <f>InpCompany!$F$11</f>
        <v>£m (2017-18 prices)</v>
      </c>
      <c r="H119" s="671"/>
      <c r="I119" s="444"/>
    </row>
    <row r="120" spans="1:9" s="201" customFormat="1" ht="13.8">
      <c r="A120" s="444"/>
      <c r="B120" s="444"/>
      <c r="C120" s="444"/>
      <c r="D120" s="444"/>
      <c r="E120" s="623" t="s">
        <v>1205</v>
      </c>
      <c r="F120" s="671">
        <f t="shared" si="5"/>
        <v>0</v>
      </c>
      <c r="G120" s="672" t="str">
        <f>InpCompany!$F$11</f>
        <v>£m (2017-18 prices)</v>
      </c>
      <c r="H120" s="671"/>
      <c r="I120" s="444"/>
    </row>
    <row r="121" spans="1:9" s="201" customFormat="1" ht="13.8">
      <c r="A121" s="444"/>
      <c r="B121" s="444"/>
      <c r="C121" s="444"/>
      <c r="D121" s="444"/>
      <c r="E121" s="623" t="s">
        <v>1206</v>
      </c>
      <c r="F121" s="671">
        <f t="shared" si="5"/>
        <v>0</v>
      </c>
      <c r="G121" s="672" t="str">
        <f>InpCompany!$F$11</f>
        <v>£m (2017-18 prices)</v>
      </c>
      <c r="H121" s="671"/>
      <c r="I121" s="444"/>
    </row>
    <row r="122" spans="1:9" s="201" customFormat="1" ht="13.8">
      <c r="A122" s="444"/>
      <c r="B122" s="444"/>
      <c r="C122" s="444"/>
      <c r="D122" s="444"/>
      <c r="E122" s="623" t="s">
        <v>1207</v>
      </c>
      <c r="F122" s="671">
        <f t="shared" si="5"/>
        <v>0</v>
      </c>
      <c r="G122" s="672" t="str">
        <f>InpCompany!$F$11</f>
        <v>£m (2017-18 prices)</v>
      </c>
      <c r="H122" s="671"/>
      <c r="I122" s="444"/>
    </row>
    <row r="123" spans="1:9" s="201" customFormat="1" ht="13.8">
      <c r="A123" s="444"/>
      <c r="B123" s="444"/>
      <c r="C123" s="444"/>
      <c r="D123" s="444"/>
      <c r="E123" s="672"/>
      <c r="F123" s="485"/>
      <c r="G123" s="485"/>
      <c r="H123" s="623"/>
      <c r="I123" s="444"/>
    </row>
    <row r="124" spans="1:9" s="201" customFormat="1" ht="13.8">
      <c r="A124" s="444"/>
      <c r="B124" s="444"/>
      <c r="C124" s="444"/>
      <c r="D124" s="454" t="s">
        <v>1576</v>
      </c>
      <c r="E124" s="672"/>
      <c r="F124" s="485"/>
      <c r="G124" s="485"/>
      <c r="H124" s="623"/>
      <c r="I124" s="444"/>
    </row>
    <row r="125" spans="1:9" s="201" customFormat="1" ht="13.8">
      <c r="A125" s="444"/>
      <c r="B125" s="444"/>
      <c r="C125" s="444"/>
      <c r="D125" s="444"/>
      <c r="E125" s="623" t="s">
        <v>1208</v>
      </c>
      <c r="F125" s="671">
        <f>F87+F105</f>
        <v>0</v>
      </c>
      <c r="G125" s="672" t="str">
        <f>InpCompany!$F$11</f>
        <v>£m (2017-18 prices)</v>
      </c>
      <c r="H125" s="671"/>
      <c r="I125" s="444"/>
    </row>
    <row r="126" spans="1:9" s="201" customFormat="1" ht="13.8">
      <c r="A126" s="444"/>
      <c r="B126" s="444"/>
      <c r="C126" s="444"/>
      <c r="D126" s="444"/>
      <c r="E126" s="623" t="s">
        <v>1209</v>
      </c>
      <c r="F126" s="671">
        <f t="shared" ref="F126:F131" si="6">F88+F106</f>
        <v>0</v>
      </c>
      <c r="G126" s="672" t="str">
        <f>InpCompany!$F$11</f>
        <v>£m (2017-18 prices)</v>
      </c>
      <c r="H126" s="671"/>
      <c r="I126" s="444"/>
    </row>
    <row r="127" spans="1:9" s="201" customFormat="1" ht="13.8">
      <c r="A127" s="444"/>
      <c r="B127" s="444"/>
      <c r="C127" s="444"/>
      <c r="D127" s="444"/>
      <c r="E127" s="623" t="s">
        <v>1210</v>
      </c>
      <c r="F127" s="671">
        <f t="shared" si="6"/>
        <v>0</v>
      </c>
      <c r="G127" s="672" t="str">
        <f>InpCompany!$F$11</f>
        <v>£m (2017-18 prices)</v>
      </c>
      <c r="H127" s="671"/>
      <c r="I127" s="444"/>
    </row>
    <row r="128" spans="1:9" s="201" customFormat="1" ht="13.8">
      <c r="A128" s="444"/>
      <c r="B128" s="444"/>
      <c r="C128" s="444"/>
      <c r="D128" s="444"/>
      <c r="E128" s="623" t="s">
        <v>1211</v>
      </c>
      <c r="F128" s="671">
        <f t="shared" si="6"/>
        <v>0</v>
      </c>
      <c r="G128" s="672" t="str">
        <f>InpCompany!$F$11</f>
        <v>£m (2017-18 prices)</v>
      </c>
      <c r="H128" s="671"/>
      <c r="I128" s="444"/>
    </row>
    <row r="129" spans="1:12" s="201" customFormat="1" ht="13.8">
      <c r="A129" s="444"/>
      <c r="B129" s="444"/>
      <c r="C129" s="444"/>
      <c r="D129" s="444"/>
      <c r="E129" s="623" t="s">
        <v>1212</v>
      </c>
      <c r="F129" s="671">
        <f t="shared" si="6"/>
        <v>0</v>
      </c>
      <c r="G129" s="672" t="str">
        <f>InpCompany!$F$11</f>
        <v>£m (2017-18 prices)</v>
      </c>
      <c r="H129" s="671"/>
      <c r="I129" s="444"/>
    </row>
    <row r="130" spans="1:12" s="201" customFormat="1" ht="13.8">
      <c r="A130" s="444"/>
      <c r="B130" s="444"/>
      <c r="C130" s="444"/>
      <c r="D130" s="444"/>
      <c r="E130" s="623" t="s">
        <v>1213</v>
      </c>
      <c r="F130" s="671">
        <f t="shared" si="6"/>
        <v>0</v>
      </c>
      <c r="G130" s="672" t="str">
        <f>InpCompany!$F$11</f>
        <v>£m (2017-18 prices)</v>
      </c>
      <c r="H130" s="671"/>
      <c r="I130" s="444"/>
    </row>
    <row r="131" spans="1:12" s="201" customFormat="1" ht="13.8">
      <c r="A131" s="444"/>
      <c r="B131" s="444"/>
      <c r="C131" s="444"/>
      <c r="D131" s="444"/>
      <c r="E131" s="623" t="s">
        <v>1214</v>
      </c>
      <c r="F131" s="671">
        <f t="shared" si="6"/>
        <v>0</v>
      </c>
      <c r="G131" s="672" t="str">
        <f>InpCompany!$F$11</f>
        <v>£m (2017-18 prices)</v>
      </c>
      <c r="H131" s="671"/>
      <c r="I131" s="444"/>
    </row>
    <row r="132" spans="1:12" s="201" customFormat="1" ht="13.8">
      <c r="A132" s="444"/>
      <c r="B132" s="444"/>
      <c r="C132" s="444"/>
      <c r="D132" s="444"/>
      <c r="E132" s="444"/>
      <c r="F132" s="485"/>
      <c r="G132" s="485"/>
      <c r="H132" s="444"/>
      <c r="I132" s="444"/>
    </row>
    <row r="133" spans="1:12" ht="21">
      <c r="A133" s="430" t="s">
        <v>935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75" customHeight="1"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45" customFormat="1" ht="45">
      <c r="A1" s="675" t="str">
        <f ca="1" xml:space="preserve"> RIGHT(CELL("filename", $A$1), LEN(CELL("filename", $A$1)) - SEARCH("]", CELL("filename", $A$1)))</f>
        <v>Model outputs - PC level</v>
      </c>
      <c r="B1" s="242"/>
      <c r="C1" s="242"/>
      <c r="D1" s="243"/>
      <c r="E1" s="244"/>
      <c r="F1" s="244"/>
      <c r="G1" s="244"/>
      <c r="H1" s="661" t="str">
        <f>InpCompany!F5</f>
        <v>South Staffs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8">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8">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8">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PR19SSC_D1</v>
      </c>
      <c r="K5" s="678" t="str">
        <f>IF(InpPerformance!K16&lt;&gt;"",InpPerformance!K16,"")</f>
        <v>PR19SSC_D2</v>
      </c>
      <c r="L5" s="678" t="str">
        <f>IF(InpPerformance!L16&lt;&gt;"",InpPerformance!L16,"")</f>
        <v>PR19SSC_C1</v>
      </c>
      <c r="M5" s="678" t="str">
        <f>IF(InpPerformance!M16&lt;&gt;"",InpPerformance!M16,"")</f>
        <v>PR19SSC_C2</v>
      </c>
      <c r="N5" s="678" t="str">
        <f>IF(InpPerformance!N16&lt;&gt;"",InpPerformance!N16,"")</f>
        <v>PR19SSC_C3</v>
      </c>
      <c r="O5" s="678" t="str">
        <f>IF(InpPerformance!O16&lt;&gt;"",InpPerformance!O16,"")</f>
        <v>PR19SSC_C4</v>
      </c>
      <c r="P5" s="678" t="str">
        <f>IF(InpPerformance!P16&lt;&gt;"",InpPerformance!P16,"")</f>
        <v>PR19SSC_D4</v>
      </c>
      <c r="Q5" s="679" t="str">
        <f>IF(InpPerformance!Q16&lt;&gt;"",InpPerformance!Q16,"")</f>
        <v>PR19SSC_D5</v>
      </c>
      <c r="R5" s="678" t="str">
        <f>IF(InpPerformance!R16&lt;&gt;"",InpPerformance!R16,"")</f>
        <v>PR19SSC_B1</v>
      </c>
      <c r="S5" s="678" t="str">
        <f>IF(InpPerformance!S16&lt;&gt;"",InpPerformance!S16,"")</f>
        <v>PR19SSC_B2</v>
      </c>
      <c r="T5" s="678" t="str">
        <f>IF(InpPerformance!T16&lt;&gt;"",InpPerformance!T16,"")</f>
        <v>PR19SSC_B3</v>
      </c>
      <c r="U5" s="678" t="str">
        <f>IF(InpPerformance!U16&lt;&gt;"",InpPerformance!U16,"")</f>
        <v>PR19SSC_C5</v>
      </c>
      <c r="V5" s="678" t="str">
        <f>IF(InpPerformance!V16&lt;&gt;"",InpPerformance!V16,"")</f>
        <v>PR19SSC_C7</v>
      </c>
      <c r="W5" s="576" t="str">
        <f>IF(InpPerformance!W16&lt;&gt;"",InpPerformance!W16,"")</f>
        <v>PR19SSC_D6</v>
      </c>
      <c r="X5" s="576" t="str">
        <f>IF(InpPerformance!X16&lt;&gt;"",InpPerformance!X16,"")</f>
        <v>PR19SSC_D7</v>
      </c>
      <c r="Y5" s="576" t="str">
        <f>IF(InpPerformance!Y16&lt;&gt;"",InpPerformance!Y16,"")</f>
        <v>PR19SSC_D8</v>
      </c>
      <c r="Z5" s="576" t="str">
        <f>IF(InpPerformance!Z16&lt;&gt;"",InpPerformance!Z16,"")</f>
        <v>PR19SSC_E2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8">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South Staffs region</v>
      </c>
      <c r="M7" s="678" t="str">
        <f>IF(InpPerformance!M17&lt;&gt;"",InpPerformance!M17,"")</f>
        <v>Leakage Cambridge region</v>
      </c>
      <c r="N7" s="678" t="str">
        <f>IF(InpPerformance!N17&lt;&gt;"",InpPerformance!N17,"")</f>
        <v>Per capita consumption South Staffs region</v>
      </c>
      <c r="O7" s="678" t="str">
        <f>IF(InpPerformance!O17&lt;&gt;"",InpPerformance!O17,"")</f>
        <v>Per capita consumption Cambridge region</v>
      </c>
      <c r="P7" s="678" t="str">
        <f>IF(InpPerformance!P17&lt;&gt;"",InpPerformance!P17,"")</f>
        <v>Mains repairs</v>
      </c>
      <c r="Q7" s="679" t="str">
        <f>IF(InpPerformance!Q17&lt;&gt;"",InpPerformance!Q17,"")</f>
        <v>Unplanned outage</v>
      </c>
      <c r="R7" s="678" t="str">
        <f>IF(InpPerformance!R17&lt;&gt;"",InpPerformance!R17,"")</f>
        <v>Financial support</v>
      </c>
      <c r="S7" s="678" t="str">
        <f>IF(InpPerformance!S17&lt;&gt;"",InpPerformance!S17,"")</f>
        <v>Extra Care assistance</v>
      </c>
      <c r="T7" s="678" t="str">
        <f>IF(InpPerformance!T17&lt;&gt;"",InpPerformance!T17,"")</f>
        <v>Education activity</v>
      </c>
      <c r="U7" s="678" t="str">
        <f>IF(InpPerformance!U17&lt;&gt;"",InpPerformance!U17,"")</f>
        <v>Environmentally sensitive water abstraction</v>
      </c>
      <c r="V7" s="678" t="str">
        <f>IF(InpPerformance!V17&lt;&gt;"",InpPerformance!V17,"")</f>
        <v>Protecting wildlife, plants, habitats and catchments</v>
      </c>
      <c r="W7" s="576" t="str">
        <f>IF(InpPerformance!W17&lt;&gt;"",InpPerformance!W17,"")</f>
        <v>Customer contact about water quality</v>
      </c>
      <c r="X7" s="576" t="str">
        <f>IF(InpPerformance!X17&lt;&gt;"",InpPerformance!X17,"")</f>
        <v>Visible leak repair time</v>
      </c>
      <c r="Y7" s="576" t="str">
        <f>IF(InpPerformance!Y17&lt;&gt;"",InpPerformance!Y17,"")</f>
        <v>Water treatment works delivery programme</v>
      </c>
      <c r="Z7" s="576" t="str">
        <f>IF(InpPerformance!Z17&lt;&gt;"",InpPerformance!Z17,"")</f>
        <v>Residential void properties and gap sites</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4">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0.26594999999999996</v>
      </c>
      <c r="L9" s="1954">
        <f>IF(Performance!L174=0,0,Performance!L174)</f>
        <v>0</v>
      </c>
      <c r="M9" s="1954">
        <f>IF(Performance!M174=0,0,Performance!M174)</f>
        <v>2.1100000000000001E-2</v>
      </c>
      <c r="N9" s="683">
        <f>IF(Performance!N174=0,0,Performance!N174)</f>
        <v>0</v>
      </c>
      <c r="O9" s="1954">
        <f>IF(Performance!O174=0,0,Performance!O174)</f>
        <v>0</v>
      </c>
      <c r="P9" s="1954">
        <f>IF(Performance!P174=0,0,Performance!P174)</f>
        <v>0</v>
      </c>
      <c r="Q9" s="1976">
        <f>IF(Performance!Q174=0,0,Performance!Q174)</f>
        <v>0.25339999999999996</v>
      </c>
      <c r="R9" s="1954">
        <f>IF(Performance!R174=0,0,Performance!R174)</f>
        <v>0</v>
      </c>
      <c r="S9" s="1954">
        <f>IF(Performance!S174=0,0,Performance!S174)</f>
        <v>0</v>
      </c>
      <c r="T9" s="1954">
        <f>IF(Performance!T174=0,0,Performance!T174)</f>
        <v>0</v>
      </c>
      <c r="U9" s="1954">
        <f>IF(Performance!U174=0,0,Performance!U174)</f>
        <v>0</v>
      </c>
      <c r="V9" s="1954">
        <f>IF(Performance!V174=0,0,Performance!V174)</f>
        <v>4.3750000000000004E-2</v>
      </c>
      <c r="W9" s="1954">
        <f>IF(Performance!W174=0,0,Performance!W174)</f>
        <v>0.14432000000000003</v>
      </c>
      <c r="X9" s="1954">
        <f>IF(Performance!X174=0,0,Performance!X174)</f>
        <v>0</v>
      </c>
      <c r="Y9" s="1954">
        <f>IF(Performance!Y174=0,0,Performance!Y174)</f>
        <v>0</v>
      </c>
      <c r="Z9" s="1954">
        <f>IF(Performance!Z174=0,0,Performance!Z174)</f>
        <v>0</v>
      </c>
      <c r="AA9" s="1954">
        <f>IF(Performance!AA174=0,0,Performance!AA174)</f>
        <v>0</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v>
      </c>
      <c r="AM9" s="1954">
        <f>IF(Performance!AM174=0,0,Performance!AM174)</f>
        <v>0</v>
      </c>
      <c r="AN9" s="1954">
        <f>IF(Performance!AN174=0,0,Performance!AN174)</f>
        <v>0</v>
      </c>
      <c r="AO9" s="1976">
        <f>IF(Performance!AO174=0,0,Performance!AO174)</f>
        <v>0</v>
      </c>
      <c r="AP9" s="1954">
        <f>IF(Performance!AP174=0,0,Performance!AP174)</f>
        <v>0</v>
      </c>
      <c r="AQ9" s="1954">
        <f>IF(Performance!AQ174=0,0,Performance!AQ174)</f>
        <v>0</v>
      </c>
      <c r="AR9" s="1954">
        <f>IF(Performance!AR174=0,0,Performance!AR174)</f>
        <v>0</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
      <c r="A10" s="1353"/>
      <c r="B10" s="1353"/>
      <c r="C10" s="1353"/>
      <c r="D10" s="1353"/>
      <c r="E10" s="578" t="str">
        <f>Performance!E179</f>
        <v>Total underperformance payments</v>
      </c>
      <c r="F10" s="1353"/>
      <c r="G10" s="578" t="str">
        <f>Performance!G179</f>
        <v>£m (2017-18 prices)</v>
      </c>
      <c r="H10" s="1353"/>
      <c r="I10" s="1353"/>
      <c r="J10" s="1954">
        <f>IF(Performance!J179=0,0,Performance!J179)</f>
        <v>0</v>
      </c>
      <c r="K10" s="1954">
        <f>IF(Performance!K179=0,0,Performance!K179)</f>
        <v>0</v>
      </c>
      <c r="L10" s="1954">
        <f>IF(Performance!L179=0,0,Performance!L179)</f>
        <v>0</v>
      </c>
      <c r="M10" s="1954">
        <f>IF(Performance!M179=0,0,Performance!M179)</f>
        <v>0</v>
      </c>
      <c r="N10" s="683">
        <f>IF(Performance!N179=0,0,Performance!N179)</f>
        <v>-2.4167000000000001</v>
      </c>
      <c r="O10" s="1954">
        <f>IF(Performance!O179=0,0,Performance!O179)</f>
        <v>-0.1</v>
      </c>
      <c r="P10" s="1954">
        <f>IF(Performance!P179=0,0,Performance!P179)</f>
        <v>0</v>
      </c>
      <c r="Q10" s="1976">
        <f>IF(Performance!Q179=0,0,Performance!Q179)</f>
        <v>0</v>
      </c>
      <c r="R10" s="1954">
        <f>IF(Performance!R179=0,0,Performance!R179)</f>
        <v>0</v>
      </c>
      <c r="S10" s="1954">
        <f>IF(Performance!S179=0,0,Performance!S179)</f>
        <v>0</v>
      </c>
      <c r="T10" s="1954">
        <f>IF(Performance!T179=0,0,Performance!T179)</f>
        <v>0</v>
      </c>
      <c r="U10" s="1954">
        <f>IF(Performance!U179=0,0,Performance!U179)</f>
        <v>0</v>
      </c>
      <c r="V10" s="1954">
        <f>IF(Performance!V179=0,0,Performance!V179)</f>
        <v>0</v>
      </c>
      <c r="W10" s="1954">
        <f>IF(Performance!W179=0,0,Performance!W179)</f>
        <v>0</v>
      </c>
      <c r="X10" s="1954">
        <f>IF(Performance!X179=0,0,Performance!X179)</f>
        <v>0</v>
      </c>
      <c r="Y10" s="1954">
        <f>IF(Performance!Y179=0,0,Performance!Y179)</f>
        <v>0</v>
      </c>
      <c r="Z10" s="1954">
        <f>IF(Performance!Z179=0,0,Performance!Z179)</f>
        <v>0</v>
      </c>
      <c r="AA10" s="1954">
        <f>IF(Performance!AA179=0,0,Performance!AA179)</f>
        <v>0</v>
      </c>
      <c r="AB10" s="1954">
        <f>IF(Performance!AB179=0,0,Performance!AB179)</f>
        <v>0</v>
      </c>
      <c r="AC10" s="1954">
        <f>IF(Performance!AC179=0,0,Performance!AC179)</f>
        <v>0</v>
      </c>
      <c r="AD10" s="1954">
        <f>IF(Performance!AD179=0,0,Performance!AD179)</f>
        <v>0</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0</v>
      </c>
      <c r="AN10" s="1954">
        <f>IF(Performance!AN179=0,0,Performance!AN179)</f>
        <v>0</v>
      </c>
      <c r="AO10" s="1976">
        <f>IF(Performance!AO179=0,0,Performance!AO179)</f>
        <v>0</v>
      </c>
      <c r="AP10" s="1954">
        <f>IF(Performance!AP179=0,0,Performance!AP179)</f>
        <v>0</v>
      </c>
      <c r="AQ10" s="1954">
        <f>IF(Performance!AQ179=0,0,Performance!AQ179)</f>
        <v>0</v>
      </c>
      <c r="AR10" s="1954">
        <f>IF(Performance!AR179=0,0,Performance!AR179)</f>
        <v>0</v>
      </c>
      <c r="AS10" s="1954">
        <f>IF(Performance!AS179=0,0,Performance!AS179)</f>
        <v>0</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
      <c r="A12" s="1353"/>
      <c r="B12" s="1353"/>
      <c r="C12" s="1353"/>
      <c r="D12" s="1353"/>
      <c r="E12" s="578" t="s">
        <v>1578</v>
      </c>
      <c r="F12" s="1353"/>
      <c r="G12" s="578" t="s">
        <v>1030</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
      <c r="A13" s="1353"/>
      <c r="B13" s="1353"/>
      <c r="C13" s="1353"/>
      <c r="D13" s="1353"/>
      <c r="E13" s="578" t="s">
        <v>1579</v>
      </c>
      <c r="F13" s="1353"/>
      <c r="G13" s="578" t="s">
        <v>1030</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
      <c r="A14" s="1353"/>
      <c r="B14" s="1353"/>
      <c r="C14" s="1353"/>
      <c r="D14" s="1353"/>
      <c r="E14" s="578" t="s">
        <v>1580</v>
      </c>
      <c r="F14" s="1353"/>
      <c r="G14" s="578" t="s">
        <v>1030</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
      <c r="A16" s="1353"/>
      <c r="B16" s="1353"/>
      <c r="C16" s="1353"/>
      <c r="D16" s="1353"/>
      <c r="E16" s="578" t="str">
        <f>Performance!E185</f>
        <v>Total in-period outperformance revenue payments to be applied this year i.e. 2024-25</v>
      </c>
      <c r="F16" s="1353"/>
      <c r="G16" s="578" t="str">
        <f>Performance!G185</f>
        <v>£m (2017-18 prices)</v>
      </c>
      <c r="H16" s="1353"/>
      <c r="I16" s="1353"/>
      <c r="J16" s="686">
        <f>Performance!J185</f>
        <v>0</v>
      </c>
      <c r="K16" s="686">
        <f>Performance!K185</f>
        <v>0.26594999999999996</v>
      </c>
      <c r="L16" s="686">
        <f>Performance!L185</f>
        <v>0</v>
      </c>
      <c r="M16" s="686">
        <f>Performance!M185</f>
        <v>2.1100000000000001E-2</v>
      </c>
      <c r="N16" s="686">
        <f>Performance!N185</f>
        <v>0</v>
      </c>
      <c r="O16" s="686">
        <f>Performance!O185</f>
        <v>0</v>
      </c>
      <c r="P16" s="686">
        <f>Performance!P185</f>
        <v>0</v>
      </c>
      <c r="Q16" s="687">
        <f>Performance!Q185</f>
        <v>0.25339999999999996</v>
      </c>
      <c r="R16" s="686">
        <f>Performance!R185</f>
        <v>0</v>
      </c>
      <c r="S16" s="686">
        <f>Performance!S185</f>
        <v>0</v>
      </c>
      <c r="T16" s="686">
        <f>Performance!T185</f>
        <v>0</v>
      </c>
      <c r="U16" s="686">
        <f>Performance!U185</f>
        <v>0</v>
      </c>
      <c r="V16" s="686">
        <f>Performance!V185</f>
        <v>4.3750000000000004E-2</v>
      </c>
      <c r="W16" s="567">
        <f>Performance!W185</f>
        <v>0.14432000000000003</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
      <c r="A17" s="1353"/>
      <c r="B17" s="1353"/>
      <c r="C17" s="1353"/>
      <c r="D17" s="1353"/>
      <c r="E17" s="578" t="str">
        <f>Performance!E186</f>
        <v>Total in-period underperformance revenue payments to be applied this year i.e. 2024-25</v>
      </c>
      <c r="F17" s="1353"/>
      <c r="G17" s="578" t="str">
        <f>Performance!G186</f>
        <v>£m (2017-18 prices)</v>
      </c>
      <c r="H17" s="1353"/>
      <c r="I17" s="1353"/>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4">
      <c r="A19" s="1353"/>
      <c r="B19" s="1353"/>
      <c r="C19" s="1353"/>
      <c r="D19" s="1353"/>
      <c r="E19" s="578" t="str">
        <f>"Total outperformance RCV payments calculated this year"&amp;" i.e. "&amp;'Validation summary'!$B$2</f>
        <v>Total outperformance RCV payments calculated this year i.e. 2024-25</v>
      </c>
      <c r="F19" s="1367"/>
      <c r="G19" s="578" t="s">
        <v>700</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4">
      <c r="A20" s="1353"/>
      <c r="B20" s="1353"/>
      <c r="C20" s="1353"/>
      <c r="D20" s="1353"/>
      <c r="E20" s="578" t="str">
        <f>"Total underperformance RCV payments calculated this year"&amp;" i.e. "&amp;'Validation summary'!$B$2</f>
        <v>Total underperformance RCV payments calculated this year i.e. 2024-25</v>
      </c>
      <c r="F20" s="1367"/>
      <c r="G20" s="578" t="s">
        <v>700</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4">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
      <c r="A22" s="1353"/>
      <c r="B22" s="1353"/>
      <c r="C22" s="1353"/>
      <c r="D22" s="1353"/>
      <c r="E22" s="578" t="s">
        <v>1581</v>
      </c>
      <c r="F22" s="1367"/>
      <c r="G22" s="578" t="s">
        <v>700</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4">
      <c r="A23" s="1353"/>
      <c r="B23" s="1353"/>
      <c r="C23" s="1353"/>
      <c r="D23" s="1353"/>
      <c r="E23" s="578" t="s">
        <v>1582</v>
      </c>
      <c r="F23" s="1367"/>
      <c r="G23" s="578" t="s">
        <v>700</v>
      </c>
      <c r="H23" s="1367"/>
      <c r="I23" s="1367"/>
      <c r="J23" s="1954">
        <f>IF(AND(J$26="End of period",J$25="Revenue"),J10,0)</f>
        <v>0</v>
      </c>
      <c r="K23" s="1954">
        <f t="shared" ref="K23:BV23" si="260">IF(AND(K$26="End of period",K$25="Revenue"),K10,0)</f>
        <v>0</v>
      </c>
      <c r="L23" s="1954">
        <f t="shared" si="260"/>
        <v>0</v>
      </c>
      <c r="M23" s="1954">
        <f t="shared" si="260"/>
        <v>0</v>
      </c>
      <c r="N23" s="1954">
        <f t="shared" si="260"/>
        <v>-2.4167000000000001</v>
      </c>
      <c r="O23" s="1954">
        <f t="shared" si="260"/>
        <v>-0.1</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0</v>
      </c>
      <c r="AC23" s="1954">
        <f t="shared" si="260"/>
        <v>0</v>
      </c>
      <c r="AD23" s="1954">
        <f t="shared" si="260"/>
        <v>0</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4">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4">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Revenue</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
      </c>
      <c r="AM25" s="646" t="str">
        <f>Performance!AM190</f>
        <v/>
      </c>
      <c r="AN25" s="646" t="str">
        <f>Performance!AN190</f>
        <v/>
      </c>
      <c r="AO25" s="2131"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8">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End of period</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
      </c>
      <c r="AM26" s="646" t="str">
        <f>Performance!AM182</f>
        <v/>
      </c>
      <c r="AN26" s="646" t="str">
        <f>Performance!AN182</f>
        <v/>
      </c>
      <c r="AO26" s="2131"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8">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1">
      <c r="A28" s="430" t="s">
        <v>935</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D19" sqref="D19"/>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395" t="s">
        <v>103</v>
      </c>
      <c r="C1" s="246"/>
      <c r="D1" s="246"/>
      <c r="E1" s="275"/>
    </row>
    <row r="2" spans="2:6" ht="22.2" thickBot="1">
      <c r="B2" s="1848" t="s">
        <v>970</v>
      </c>
      <c r="C2" s="397" t="s">
        <v>105</v>
      </c>
    </row>
    <row r="3" spans="2:6" ht="22.2" thickBot="1">
      <c r="B3" s="1848" t="s">
        <v>1035</v>
      </c>
      <c r="C3" s="397" t="s">
        <v>107</v>
      </c>
      <c r="D3" s="8"/>
      <c r="E3" s="8"/>
      <c r="F3" s="1353" t="str">
        <f>VLOOKUP($B$3,Validation!$B$5:$D$22,3,0)</f>
        <v>WoC</v>
      </c>
    </row>
    <row r="4" spans="2:6"/>
    <row r="5" spans="2:6" ht="14.4">
      <c r="B5" s="1353" t="s">
        <v>108</v>
      </c>
    </row>
    <row r="6" spans="2:6"/>
    <row r="7" spans="2:6" ht="27.6">
      <c r="B7" s="1533" t="s">
        <v>109</v>
      </c>
      <c r="C7" s="1534" t="s">
        <v>110</v>
      </c>
      <c r="D7" s="1535" t="s">
        <v>111</v>
      </c>
      <c r="E7" s="1535" t="s">
        <v>112</v>
      </c>
    </row>
    <row r="8" spans="2:6" ht="25.2"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2"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54" t="str">
        <f>'3B'!B$42</f>
        <v>Please refer to RAG 4.11 - Guideline for the table definitions in the annual performance report</v>
      </c>
    </row>
    <row r="10" spans="2:6" ht="25.2" customHeight="1">
      <c r="B10" s="2070" t="s">
        <v>115</v>
      </c>
      <c r="C10" s="2069" t="s">
        <v>116</v>
      </c>
      <c r="D10" s="2069" t="s">
        <v>116</v>
      </c>
      <c r="E10" s="2062"/>
    </row>
    <row r="11" spans="2:6" ht="25.2" customHeight="1">
      <c r="B11" s="2070" t="s">
        <v>117</v>
      </c>
      <c r="C11" s="2069" t="s">
        <v>116</v>
      </c>
      <c r="D11" s="2069" t="s">
        <v>116</v>
      </c>
      <c r="E11" s="2062"/>
    </row>
    <row r="12" spans="2:6" ht="25.2"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2"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2"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2"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2" customHeight="1">
      <c r="B16" s="2070" t="s">
        <v>122</v>
      </c>
      <c r="C16" s="2069" t="s">
        <v>116</v>
      </c>
      <c r="D16" s="2069" t="s">
        <v>116</v>
      </c>
      <c r="E16" s="2112"/>
    </row>
    <row r="17" spans="2:5" ht="25.2"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2" customHeight="1">
      <c r="B18" s="2070" t="s">
        <v>124</v>
      </c>
      <c r="C18" s="2069" t="s">
        <v>116</v>
      </c>
      <c r="D18" s="2069" t="s">
        <v>116</v>
      </c>
      <c r="E18" s="2111"/>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295" priority="5" operator="equal">
      <formula>"Review validation checks"</formula>
    </cfRule>
    <cfRule type="containsBlanks" dxfId="294" priority="40">
      <formula>LEN(TRIM(C8))=0</formula>
    </cfRule>
  </conditionalFormatting>
  <conditionalFormatting sqref="C14:D15">
    <cfRule type="containsText" dxfId="293" priority="4" operator="containsText" text="[For use by NES and SSC only]">
      <formula>NOT(ISERROR(SEARCH("[For use by NES and SSC only]",C14)))</formula>
    </cfRule>
  </conditionalFormatting>
  <conditionalFormatting sqref="C16:D16">
    <cfRule type="cellIs" dxfId="292" priority="1" operator="equal">
      <formula>"Review validation checks"</formula>
    </cfRule>
  </conditionalFormatting>
  <conditionalFormatting sqref="C18:D18">
    <cfRule type="cellIs" dxfId="291"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pageSetUpPr fitToPage="1"/>
  </sheetPr>
  <dimension ref="A1:P54"/>
  <sheetViews>
    <sheetView zoomScaleNormal="100" workbookViewId="0"/>
  </sheetViews>
  <sheetFormatPr defaultRowHeight="13.8"/>
  <cols>
    <col min="1" max="3" width="1.59765625" style="207" customWidth="1"/>
    <col min="4" max="4" width="11" style="207" customWidth="1"/>
    <col min="5" max="5" width="56.8984375" style="207" bestFit="1" customWidth="1"/>
    <col min="6" max="6" width="20.59765625" style="207" customWidth="1"/>
    <col min="7" max="7" width="7.5" style="207" bestFit="1" customWidth="1"/>
    <col min="8" max="8" width="15.59765625" style="207" customWidth="1"/>
    <col min="9" max="9" width="2.59765625" style="207" customWidth="1"/>
    <col min="10" max="11" width="40.59765625" style="207" customWidth="1"/>
    <col min="12" max="12" width="15.59765625" customWidth="1"/>
    <col min="13" max="14" width="20.59765625" customWidth="1"/>
    <col min="15" max="16" width="50.59765625" customWidth="1"/>
  </cols>
  <sheetData>
    <row r="1" spans="1:16" ht="45">
      <c r="A1" s="675" t="str">
        <f ca="1" xml:space="preserve"> RIGHT(CELL("filename", $A$1), LEN(CELL("filename", $A$1)) - SEARCH("]", CELL("filename", $A$1)))</f>
        <v>Model outputs - interventions</v>
      </c>
      <c r="B1" s="242"/>
      <c r="C1" s="242"/>
      <c r="D1" s="243"/>
      <c r="E1" s="244"/>
      <c r="F1" s="244"/>
      <c r="G1" s="244"/>
      <c r="H1" s="661" t="str">
        <f>InpCompany!F5</f>
        <v>South Staffs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ht="14.4">
      <c r="A4" s="446"/>
      <c r="B4" s="677"/>
      <c r="C4" s="446"/>
      <c r="D4" s="446"/>
      <c r="E4" s="446"/>
      <c r="F4" s="446"/>
      <c r="G4" s="446"/>
      <c r="H4" s="446"/>
      <c r="I4" s="446"/>
      <c r="J4" s="446"/>
      <c r="K4" s="446"/>
      <c r="L4" s="171"/>
      <c r="M4" s="171"/>
      <c r="N4" s="171"/>
      <c r="O4" s="171"/>
      <c r="P4" s="171"/>
    </row>
    <row r="5" spans="1:16" ht="14.4">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
      <c r="A7" s="668" t="s">
        <v>967</v>
      </c>
      <c r="B7" s="578"/>
      <c r="C7" s="444"/>
      <c r="D7" s="454"/>
      <c r="E7" s="1434" t="str" cm="1">
        <f t="array" ref="E7:E52">TRANSPOSE(Performance!J6:BC6)</f>
        <v>Water quality compliance (CRI)</v>
      </c>
      <c r="F7" s="1435" t="str" cm="1">
        <f t="array" ref="F7:F52">TRANSPOSE(Performance!J5:BC5)</f>
        <v>PR19SSC_D1</v>
      </c>
      <c r="G7" s="1435" t="str" cm="1">
        <f t="array" ref="G7:G52">TRANSPOSE(Performance!J9:BC9)</f>
        <v>number</v>
      </c>
      <c r="H7" s="575"/>
      <c r="I7" s="575"/>
      <c r="J7" s="1436" cm="1">
        <f t="array" ref="J7:J52">TRANSPOSE(Company_PC_inputs!J7:BC7)</f>
        <v>1.2</v>
      </c>
      <c r="K7" s="1436" cm="1">
        <f t="array" ref="K7:K52">TRANSPOSE(Performance!J7:BC7)</f>
        <v>1.2</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0</v>
      </c>
      <c r="P7" s="1436" cm="1">
        <f t="array" ref="P7:P52">TRANSPOSE('Model outputs - PC level'!J16:BC16)+TRANSPOSE('Model outputs - PC level'!J17:BC17)+TRANSPOSE('Model outputs - PC level'!J19:BC19)+TRANSPOSE('Model outputs - PC level'!J20:BC20)</f>
        <v>0</v>
      </c>
    </row>
    <row r="8" spans="1:16" ht="14.4">
      <c r="A8" s="578"/>
      <c r="B8" s="578"/>
      <c r="C8" s="444"/>
      <c r="D8" s="454"/>
      <c r="E8" s="1434" t="str">
        <v>Water supply interruptions</v>
      </c>
      <c r="F8" s="1435" t="str">
        <v>PR19SSC_D2</v>
      </c>
      <c r="G8" s="1435" t="str">
        <v>hh:mm:ss</v>
      </c>
      <c r="H8" s="575"/>
      <c r="I8" s="575"/>
      <c r="J8" s="1437">
        <v>2.5347222222222221E-3</v>
      </c>
      <c r="K8" s="1437">
        <v>2.5347222222222221E-3</v>
      </c>
      <c r="L8" s="1437" t="str">
        <v/>
      </c>
      <c r="M8" s="1437" t="str">
        <v/>
      </c>
      <c r="N8" s="1437" t="str">
        <v>No</v>
      </c>
      <c r="O8" s="1436">
        <f>VLOOKUP(F8,'3A'!$C$9:$H$38,6,FALSE)</f>
        <v>0.26594999999999996</v>
      </c>
      <c r="P8" s="1436">
        <v>0.26594999999999996</v>
      </c>
    </row>
    <row r="9" spans="1:16" ht="14.4">
      <c r="A9" s="578"/>
      <c r="B9" s="578"/>
      <c r="C9" s="444"/>
      <c r="D9" s="454"/>
      <c r="E9" s="1434" t="str">
        <v>Leakage South Staffs region</v>
      </c>
      <c r="F9" s="1435" t="str">
        <v>PR19SSC_C1</v>
      </c>
      <c r="G9" s="1435" t="str">
        <v>%</v>
      </c>
      <c r="H9" s="575"/>
      <c r="I9" s="575"/>
      <c r="J9" s="1436">
        <v>14.993122420907845</v>
      </c>
      <c r="K9" s="1436">
        <v>14.993122420907845</v>
      </c>
      <c r="L9" s="1436" t="str">
        <v/>
      </c>
      <c r="M9" s="1436" t="str">
        <v/>
      </c>
      <c r="N9" s="1436" t="str">
        <v>No</v>
      </c>
      <c r="O9" s="1436">
        <f>VLOOKUP(F9,'3A'!$C$9:$H$38,6,FALSE)</f>
        <v>0</v>
      </c>
      <c r="P9" s="1436">
        <v>0</v>
      </c>
    </row>
    <row r="10" spans="1:16" ht="14.4">
      <c r="A10" s="578"/>
      <c r="B10" s="578"/>
      <c r="C10" s="444"/>
      <c r="D10" s="454"/>
      <c r="E10" s="1434" t="str">
        <v>Leakage Cambridge region</v>
      </c>
      <c r="F10" s="1435" t="str">
        <v>PR19SSC_C2</v>
      </c>
      <c r="G10" s="1435" t="str">
        <v>%</v>
      </c>
      <c r="H10" s="575"/>
      <c r="I10" s="575"/>
      <c r="J10" s="1436">
        <v>14.743589743589736</v>
      </c>
      <c r="K10" s="1436">
        <v>14.743589743589736</v>
      </c>
      <c r="L10" s="1436" t="str">
        <v/>
      </c>
      <c r="M10" s="1436" t="str">
        <v/>
      </c>
      <c r="N10" s="1436" t="str">
        <v>No</v>
      </c>
      <c r="O10" s="1436">
        <f>VLOOKUP(F10,'3A'!$C$9:$H$38,6,FALSE)</f>
        <v>2.1100000000000001E-2</v>
      </c>
      <c r="P10" s="1436">
        <v>2.1100000000000001E-2</v>
      </c>
    </row>
    <row r="11" spans="1:16" ht="14.4">
      <c r="A11" s="578"/>
      <c r="B11" s="578"/>
      <c r="C11" s="444"/>
      <c r="D11" s="454"/>
      <c r="E11" s="1434" t="str">
        <v>Per capita consumption South Staffs region</v>
      </c>
      <c r="F11" s="1435" t="str">
        <v>PR19SSC_C3</v>
      </c>
      <c r="G11" s="1435" t="str">
        <v xml:space="preserve">% </v>
      </c>
      <c r="H11" s="575"/>
      <c r="I11" s="575"/>
      <c r="J11" s="1436">
        <v>-10.116731517509736</v>
      </c>
      <c r="K11" s="1436">
        <v>-10.116731517509736</v>
      </c>
      <c r="L11" s="1436" t="str">
        <v/>
      </c>
      <c r="M11" s="1436" t="str">
        <v/>
      </c>
      <c r="N11" s="1436" t="str">
        <v>No</v>
      </c>
      <c r="O11" s="1436">
        <f>VLOOKUP(F11,'3A'!$C$9:$H$38,6,FALSE)</f>
        <v>-2.4167000000000001</v>
      </c>
      <c r="P11" s="1436">
        <v>0</v>
      </c>
    </row>
    <row r="12" spans="1:16" ht="14.4">
      <c r="A12" s="578"/>
      <c r="B12" s="578"/>
      <c r="C12" s="444"/>
      <c r="D12" s="454"/>
      <c r="E12" s="1434" t="str">
        <v>Per capita consumption Cambridge region</v>
      </c>
      <c r="F12" s="1435" t="str">
        <v>PR19SSC_C4</v>
      </c>
      <c r="G12" s="1435" t="str">
        <v xml:space="preserve">% </v>
      </c>
      <c r="H12" s="575"/>
      <c r="I12" s="575"/>
      <c r="J12" s="1436">
        <v>3.3382789317507378</v>
      </c>
      <c r="K12" s="1436">
        <v>3.3382789317507378</v>
      </c>
      <c r="L12" s="1436" t="str">
        <v/>
      </c>
      <c r="M12" s="1436" t="str">
        <v/>
      </c>
      <c r="N12" s="1436" t="str">
        <v>No</v>
      </c>
      <c r="O12" s="1436">
        <f>VLOOKUP(F12,'3A'!$C$9:$H$38,6,FALSE)</f>
        <v>-0.1</v>
      </c>
      <c r="P12" s="1436">
        <v>0</v>
      </c>
    </row>
    <row r="13" spans="1:16" ht="14.4">
      <c r="A13" s="578"/>
      <c r="B13" s="578"/>
      <c r="C13" s="444"/>
      <c r="D13" s="454"/>
      <c r="E13" s="1434" t="str">
        <v>Mains repairs</v>
      </c>
      <c r="F13" s="1435" t="str">
        <v>PR19SSC_D4</v>
      </c>
      <c r="G13" s="1435" t="str">
        <v>number</v>
      </c>
      <c r="H13" s="575"/>
      <c r="I13" s="575"/>
      <c r="J13" s="1436">
        <v>122.4</v>
      </c>
      <c r="K13" s="1436">
        <v>122.4</v>
      </c>
      <c r="L13" s="1436" t="str">
        <v/>
      </c>
      <c r="M13" s="1436" t="str">
        <v/>
      </c>
      <c r="N13" s="1436" t="str">
        <v>No</v>
      </c>
      <c r="O13" s="1436">
        <f>VLOOKUP(F13,'3A'!$C$9:$H$38,6,FALSE)</f>
        <v>0</v>
      </c>
      <c r="P13" s="1436">
        <v>0</v>
      </c>
    </row>
    <row r="14" spans="1:16" ht="14.4">
      <c r="A14" s="578"/>
      <c r="B14" s="578"/>
      <c r="C14" s="444"/>
      <c r="D14" s="454"/>
      <c r="E14" s="1434" t="str">
        <v>Unplanned outage</v>
      </c>
      <c r="F14" s="1435" t="str">
        <v>PR19SSC_D5</v>
      </c>
      <c r="G14" s="1435" t="str">
        <v>%</v>
      </c>
      <c r="H14" s="575"/>
      <c r="I14" s="575"/>
      <c r="J14" s="1436">
        <v>1.47</v>
      </c>
      <c r="K14" s="1436">
        <v>1.47</v>
      </c>
      <c r="L14" s="1436" t="str">
        <v/>
      </c>
      <c r="M14" s="1436" t="str">
        <v/>
      </c>
      <c r="N14" s="1436" t="str">
        <v>No</v>
      </c>
      <c r="O14" s="1436">
        <f>VLOOKUP(F14,'3A'!$C$9:$H$38,6,FALSE)</f>
        <v>0.25339999999999996</v>
      </c>
      <c r="P14" s="1436">
        <v>0.25339999999999996</v>
      </c>
    </row>
    <row r="15" spans="1:16" ht="14.4">
      <c r="A15" s="578"/>
      <c r="B15" s="578"/>
      <c r="C15" s="444"/>
      <c r="D15" s="454"/>
      <c r="E15" s="1434" t="str">
        <v>Financial support</v>
      </c>
      <c r="F15" s="1435" t="str">
        <v>PR19SSC_B1</v>
      </c>
      <c r="G15" s="1435" t="str">
        <v>nr</v>
      </c>
      <c r="H15" s="575"/>
      <c r="I15" s="575"/>
      <c r="J15" s="1438">
        <v>58000</v>
      </c>
      <c r="K15" s="1504">
        <v>58000</v>
      </c>
      <c r="L15" s="1438" t="str">
        <v/>
      </c>
      <c r="M15" s="1438" t="str">
        <v/>
      </c>
      <c r="N15" s="1438" t="str">
        <v>No</v>
      </c>
      <c r="O15" s="1436">
        <f>VLOOKUP(F15,'3A'!$C$9:$H$38,6,FALSE)</f>
        <v>0</v>
      </c>
      <c r="P15" s="1441">
        <v>0</v>
      </c>
    </row>
    <row r="16" spans="1:16" ht="14.4">
      <c r="A16" s="578"/>
      <c r="B16" s="578"/>
      <c r="C16" s="444"/>
      <c r="D16" s="454"/>
      <c r="E16" s="1434" t="str">
        <v>Extra Care assistance</v>
      </c>
      <c r="F16" s="1435" t="str">
        <v>PR19SSC_B2</v>
      </c>
      <c r="G16" s="1435" t="str">
        <v>%</v>
      </c>
      <c r="H16" s="575"/>
      <c r="I16" s="575"/>
      <c r="J16" s="1438">
        <v>5</v>
      </c>
      <c r="K16" s="1438">
        <v>5</v>
      </c>
      <c r="L16" s="1438" t="str">
        <v/>
      </c>
      <c r="M16" s="1438" t="str">
        <v/>
      </c>
      <c r="N16" s="1438" t="str">
        <v>No</v>
      </c>
      <c r="O16" s="1436">
        <f>VLOOKUP(F16,'3A'!$C$9:$H$38,6,FALSE)</f>
        <v>0</v>
      </c>
      <c r="P16" s="1441">
        <v>0</v>
      </c>
    </row>
    <row r="17" spans="1:16" ht="14.4">
      <c r="A17" s="578"/>
      <c r="B17" s="578"/>
      <c r="C17" s="444"/>
      <c r="D17" s="454"/>
      <c r="E17" s="1434" t="str">
        <v>Education activity</v>
      </c>
      <c r="F17" s="1435" t="str">
        <v>PR19SSC_B3</v>
      </c>
      <c r="G17" s="1435" t="str">
        <v>nr</v>
      </c>
      <c r="H17" s="575"/>
      <c r="I17" s="575"/>
      <c r="J17" s="1438">
        <v>6000</v>
      </c>
      <c r="K17" s="1438">
        <v>6000</v>
      </c>
      <c r="L17" s="1438" t="str">
        <v/>
      </c>
      <c r="M17" s="1438" t="str">
        <v/>
      </c>
      <c r="N17" s="1438" t="str">
        <v>No</v>
      </c>
      <c r="O17" s="1436">
        <f>VLOOKUP(F17,'3A'!$C$9:$H$38,6,FALSE)</f>
        <v>0</v>
      </c>
      <c r="P17" s="1441">
        <v>0</v>
      </c>
    </row>
    <row r="18" spans="1:16" ht="14.4">
      <c r="A18" s="578"/>
      <c r="B18" s="578"/>
      <c r="C18" s="444"/>
      <c r="D18" s="454"/>
      <c r="E18" s="1434" t="str">
        <v>Environmentally sensitive water abstraction</v>
      </c>
      <c r="F18" s="1435" t="str">
        <v>PR19SSC_C5</v>
      </c>
      <c r="G18" s="1435" t="str">
        <v>number</v>
      </c>
      <c r="H18" s="575"/>
      <c r="I18" s="575"/>
      <c r="J18" s="1438">
        <v>0</v>
      </c>
      <c r="K18" s="1438">
        <v>0</v>
      </c>
      <c r="L18" s="1438" t="str">
        <v/>
      </c>
      <c r="M18" s="1438" t="str">
        <v/>
      </c>
      <c r="N18" s="1438" t="str">
        <v>No</v>
      </c>
      <c r="O18" s="1436">
        <f>VLOOKUP(F18,'3A'!$C$9:$H$38,6,FALSE)</f>
        <v>0</v>
      </c>
      <c r="P18" s="1441">
        <v>0</v>
      </c>
    </row>
    <row r="19" spans="1:16" ht="14.4">
      <c r="A19" s="578"/>
      <c r="B19" s="578"/>
      <c r="C19" s="444"/>
      <c r="D19" s="454"/>
      <c r="E19" s="1434" t="str">
        <v>Protecting wildlife, plants, habitats and catchments</v>
      </c>
      <c r="F19" s="1435" t="str">
        <v>PR19SSC_C7</v>
      </c>
      <c r="G19" s="1435" t="str">
        <v>nr</v>
      </c>
      <c r="H19" s="575"/>
      <c r="I19" s="575"/>
      <c r="J19" s="1438">
        <v>783.3</v>
      </c>
      <c r="K19" s="1438">
        <v>783.3</v>
      </c>
      <c r="L19" s="1438" t="str">
        <v/>
      </c>
      <c r="M19" s="1438" t="str">
        <v/>
      </c>
      <c r="N19" s="1438" t="str">
        <v>No</v>
      </c>
      <c r="O19" s="1436">
        <f>VLOOKUP(F19,'3A'!$C$9:$H$38,6,FALSE)</f>
        <v>4.3750000000000004E-2</v>
      </c>
      <c r="P19" s="1441">
        <v>4.3750000000000004E-2</v>
      </c>
    </row>
    <row r="20" spans="1:16" ht="14.4">
      <c r="A20" s="578"/>
      <c r="B20" s="578"/>
      <c r="C20" s="444"/>
      <c r="D20" s="454"/>
      <c r="E20" s="1434" t="str">
        <v>Customer contact about water quality</v>
      </c>
      <c r="F20" s="1435" t="str">
        <v>PR19SSC_D6</v>
      </c>
      <c r="G20" s="1435" t="str">
        <v>nr</v>
      </c>
      <c r="H20" s="575"/>
      <c r="I20" s="575"/>
      <c r="J20" s="1438">
        <v>0.6</v>
      </c>
      <c r="K20" s="1438">
        <v>0.6</v>
      </c>
      <c r="L20" s="1438" t="str">
        <v/>
      </c>
      <c r="M20" s="1438" t="str">
        <v/>
      </c>
      <c r="N20" s="1438" t="str">
        <v>No</v>
      </c>
      <c r="O20" s="1436">
        <f>VLOOKUP(F20,'3A'!$C$9:$H$38,6,FALSE)</f>
        <v>0.14432000000000003</v>
      </c>
      <c r="P20" s="1441">
        <v>0.14432000000000003</v>
      </c>
    </row>
    <row r="21" spans="1:16" ht="14.4">
      <c r="A21" s="578"/>
      <c r="B21" s="578"/>
      <c r="C21" s="444"/>
      <c r="D21" s="454"/>
      <c r="E21" s="1434" t="str">
        <v>Visible leak repair time</v>
      </c>
      <c r="F21" s="1435" t="str">
        <v>PR19SSC_D7</v>
      </c>
      <c r="G21" s="1435" t="str">
        <v>text</v>
      </c>
      <c r="H21" s="575"/>
      <c r="I21" s="575"/>
      <c r="J21" s="1438">
        <v>4</v>
      </c>
      <c r="K21" s="1438">
        <v>4</v>
      </c>
      <c r="L21" s="1438" t="str">
        <v/>
      </c>
      <c r="M21" s="1438" t="str">
        <v/>
      </c>
      <c r="N21" s="1438" t="str">
        <v>No</v>
      </c>
      <c r="O21" s="1436">
        <f>VLOOKUP(F21,'3A'!$C$9:$H$38,6,FALSE)</f>
        <v>0</v>
      </c>
      <c r="P21" s="1441">
        <v>0</v>
      </c>
    </row>
    <row r="22" spans="1:16" ht="14.4">
      <c r="A22" s="578"/>
      <c r="B22" s="578"/>
      <c r="C22" s="444"/>
      <c r="D22" s="454"/>
      <c r="E22" s="1434" t="str">
        <v>Water treatment works delivery programme</v>
      </c>
      <c r="F22" s="1435" t="str">
        <v>PR19SSC_D8</v>
      </c>
      <c r="G22" s="1435" t="str">
        <v>%</v>
      </c>
      <c r="H22" s="575"/>
      <c r="I22" s="575"/>
      <c r="J22" s="1438">
        <v>100</v>
      </c>
      <c r="K22" s="1438">
        <v>100</v>
      </c>
      <c r="L22" s="1438" t="str">
        <v/>
      </c>
      <c r="M22" s="1438" t="str">
        <v/>
      </c>
      <c r="N22" s="1438" t="str">
        <v>No</v>
      </c>
      <c r="O22" s="1436">
        <f>VLOOKUP(F22,'3A'!$C$9:$H$38,6,FALSE)</f>
        <v>0</v>
      </c>
      <c r="P22" s="1441">
        <v>0</v>
      </c>
    </row>
    <row r="23" spans="1:16" ht="14.4">
      <c r="A23" s="578"/>
      <c r="B23" s="578"/>
      <c r="C23" s="444"/>
      <c r="D23" s="454"/>
      <c r="E23" s="1434" t="str">
        <v>Residential void properties and gap sites</v>
      </c>
      <c r="F23" s="1435" t="str">
        <v>PR19SSC_E2</v>
      </c>
      <c r="G23" s="1435" t="str">
        <v>%</v>
      </c>
      <c r="H23" s="575"/>
      <c r="I23" s="575"/>
      <c r="J23" s="1438">
        <v>100</v>
      </c>
      <c r="K23" s="1438">
        <v>100</v>
      </c>
      <c r="L23" s="1438" t="str">
        <v/>
      </c>
      <c r="M23" s="1438" t="str">
        <v/>
      </c>
      <c r="N23" s="1438" t="str">
        <v>No</v>
      </c>
      <c r="O23" s="1436">
        <f>VLOOKUP(F23,'3A'!$C$9:$H$38,6,FALSE)</f>
        <v>0</v>
      </c>
      <c r="P23" s="1441">
        <v>0</v>
      </c>
    </row>
    <row r="24" spans="1:16" ht="14.4">
      <c r="A24" s="578"/>
      <c r="B24" s="578"/>
      <c r="C24" s="444"/>
      <c r="D24" s="454"/>
      <c r="E24" s="1434" t="str">
        <v/>
      </c>
      <c r="F24" s="1435" t="str">
        <v/>
      </c>
      <c r="G24" s="1435" t="str">
        <v/>
      </c>
      <c r="H24" s="575"/>
      <c r="I24" s="575"/>
      <c r="J24" s="1438" t="str">
        <v/>
      </c>
      <c r="K24" s="1438" t="str">
        <v/>
      </c>
      <c r="L24" s="1438" t="str">
        <v/>
      </c>
      <c r="M24" s="1438" t="str">
        <v/>
      </c>
      <c r="N24" s="1438" t="str">
        <v>No</v>
      </c>
      <c r="O24" s="1436" t="str">
        <f>VLOOKUP(F24,'3A'!$C$9:$H$38,6,FALSE)</f>
        <v/>
      </c>
      <c r="P24" s="1441">
        <v>0</v>
      </c>
    </row>
    <row r="25" spans="1:16" ht="14.4">
      <c r="A25" s="578"/>
      <c r="B25" s="578"/>
      <c r="C25" s="444"/>
      <c r="D25" s="454"/>
      <c r="E25" s="1434" t="str">
        <v/>
      </c>
      <c r="F25" s="1435" t="str">
        <v/>
      </c>
      <c r="G25" s="1435" t="str">
        <v/>
      </c>
      <c r="H25" s="575"/>
      <c r="I25" s="575"/>
      <c r="J25" s="1438" t="str">
        <v/>
      </c>
      <c r="K25" s="1438" t="str">
        <v/>
      </c>
      <c r="L25" s="1438" t="str">
        <v/>
      </c>
      <c r="M25" s="1438" t="str">
        <v/>
      </c>
      <c r="N25" s="1438" t="str">
        <v>No</v>
      </c>
      <c r="O25" s="1436" t="str">
        <f>VLOOKUP(F25,'3A'!$C$9:$H$38,6,FALSE)</f>
        <v/>
      </c>
      <c r="P25" s="1441">
        <v>0</v>
      </c>
    </row>
    <row r="26" spans="1:16" ht="14.4">
      <c r="A26" s="578"/>
      <c r="B26" s="578"/>
      <c r="C26" s="444"/>
      <c r="D26" s="454"/>
      <c r="E26" s="1434" t="str">
        <v/>
      </c>
      <c r="F26" s="1435" t="str">
        <v/>
      </c>
      <c r="G26" s="1435" t="str">
        <v/>
      </c>
      <c r="H26" s="575"/>
      <c r="I26" s="575"/>
      <c r="J26" s="1438" t="str">
        <v/>
      </c>
      <c r="K26" s="1438" t="str">
        <v/>
      </c>
      <c r="L26" s="1438" t="str">
        <v/>
      </c>
      <c r="M26" s="1438" t="str">
        <v/>
      </c>
      <c r="N26" s="1438" t="str">
        <v>No</v>
      </c>
      <c r="O26" s="1436" t="str">
        <f>VLOOKUP(F26,'3A'!$C$9:$H$38,6,FALSE)</f>
        <v/>
      </c>
      <c r="P26" s="1441">
        <v>0</v>
      </c>
    </row>
    <row r="27" spans="1:16" ht="14.4">
      <c r="A27" s="1367"/>
      <c r="B27" s="1367"/>
      <c r="C27" s="1367"/>
      <c r="D27" s="1367"/>
      <c r="E27" s="1509" t="str">
        <v/>
      </c>
      <c r="F27" s="1509" t="str">
        <v/>
      </c>
      <c r="G27" s="1509" t="str">
        <v/>
      </c>
      <c r="H27" s="446"/>
      <c r="I27" s="446"/>
      <c r="J27" s="1439" t="str">
        <v/>
      </c>
      <c r="K27" s="1439" t="str">
        <v/>
      </c>
      <c r="L27" s="1439" t="str">
        <v/>
      </c>
      <c r="M27" s="1439" t="str">
        <v/>
      </c>
      <c r="N27" s="1439" t="str">
        <v>No</v>
      </c>
      <c r="O27" s="1436" t="str">
        <f>VLOOKUP(F27,'3A'!$C$9:$H$38,6,FALSE)</f>
        <v/>
      </c>
      <c r="P27" s="1442">
        <v>0</v>
      </c>
    </row>
    <row r="28" spans="1:16" ht="14.4">
      <c r="A28" s="1367"/>
      <c r="B28" s="1367"/>
      <c r="C28" s="1367"/>
      <c r="D28" s="1367"/>
      <c r="E28" s="1509" t="str">
        <v/>
      </c>
      <c r="F28" s="1509" t="str">
        <v/>
      </c>
      <c r="G28" s="1509" t="str">
        <v/>
      </c>
      <c r="H28" s="446"/>
      <c r="I28" s="446"/>
      <c r="J28" s="1439" t="str">
        <v/>
      </c>
      <c r="K28" s="1439" t="str">
        <v/>
      </c>
      <c r="L28" s="1439" t="str">
        <v/>
      </c>
      <c r="M28" s="1439" t="str">
        <v/>
      </c>
      <c r="N28" s="1439" t="str">
        <v>No</v>
      </c>
      <c r="O28" s="1436" t="str">
        <f>VLOOKUP(F28,'3A'!$C$9:$H$38,6,FALSE)</f>
        <v/>
      </c>
      <c r="P28" s="1442">
        <v>0</v>
      </c>
    </row>
    <row r="29" spans="1:16" ht="14.4">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4">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4">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4">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4">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4">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4">
      <c r="A35" s="668" t="s">
        <v>979</v>
      </c>
      <c r="B35" s="1367"/>
      <c r="C35" s="1367"/>
      <c r="D35" s="1367"/>
      <c r="E35" s="1509" t="str">
        <v/>
      </c>
      <c r="F35" s="1509" t="str">
        <v/>
      </c>
      <c r="G35" s="1509" t="str">
        <v/>
      </c>
      <c r="H35" s="446"/>
      <c r="I35" s="446"/>
      <c r="J35" s="1439" t="str">
        <v/>
      </c>
      <c r="K35" s="1439" t="str">
        <v/>
      </c>
      <c r="L35" s="1439" t="str">
        <v/>
      </c>
      <c r="M35" s="1439" t="str">
        <v/>
      </c>
      <c r="N35" s="1439" t="str">
        <v>No</v>
      </c>
      <c r="O35" s="1436" t="str">
        <f>VLOOKUP(F35,'3B'!$C$9:$H$38,6,FALSE)</f>
        <v/>
      </c>
      <c r="P35" s="1442">
        <v>0</v>
      </c>
    </row>
    <row r="36" spans="1:16" ht="14.4">
      <c r="A36" s="1367"/>
      <c r="B36" s="1367"/>
      <c r="C36" s="1367"/>
      <c r="D36" s="1367"/>
      <c r="E36" s="1509" t="str">
        <v/>
      </c>
      <c r="F36" s="1509" t="str">
        <v/>
      </c>
      <c r="G36" s="1509" t="str">
        <v/>
      </c>
      <c r="H36" s="446"/>
      <c r="I36" s="446"/>
      <c r="J36" s="1439" t="str">
        <v/>
      </c>
      <c r="K36" s="1439" t="str">
        <v/>
      </c>
      <c r="L36" s="1439" t="str">
        <v/>
      </c>
      <c r="M36" s="1439" t="str">
        <v/>
      </c>
      <c r="N36" s="1439" t="str">
        <v>No</v>
      </c>
      <c r="O36" s="1436" t="str">
        <f>VLOOKUP(F36,'3B'!$C$9:$H$38,6,FALSE)</f>
        <v/>
      </c>
      <c r="P36" s="1442">
        <v>0</v>
      </c>
    </row>
    <row r="37" spans="1:16" ht="14.4">
      <c r="A37" s="1367"/>
      <c r="B37" s="1367"/>
      <c r="C37" s="1367"/>
      <c r="D37" s="1367"/>
      <c r="E37" s="1509" t="str">
        <v/>
      </c>
      <c r="F37" s="1509" t="str">
        <v/>
      </c>
      <c r="G37" s="1509" t="str">
        <v/>
      </c>
      <c r="H37" s="446"/>
      <c r="I37" s="446"/>
      <c r="J37" s="1439" t="str">
        <v/>
      </c>
      <c r="K37" s="1439" t="str">
        <v/>
      </c>
      <c r="L37" s="1439" t="str">
        <v/>
      </c>
      <c r="M37" s="1439" t="str">
        <v/>
      </c>
      <c r="N37" s="1439" t="str">
        <v>No</v>
      </c>
      <c r="O37" s="1436" t="str">
        <f>VLOOKUP(F37,'3B'!$C$9:$H$38,6,FALSE)</f>
        <v/>
      </c>
      <c r="P37" s="1442">
        <v>0</v>
      </c>
    </row>
    <row r="38" spans="1:16" ht="14.4">
      <c r="A38" s="1367"/>
      <c r="B38" s="1367"/>
      <c r="C38" s="1367"/>
      <c r="D38" s="1367"/>
      <c r="E38" s="1509" t="str">
        <v/>
      </c>
      <c r="F38" s="1509" t="str">
        <v/>
      </c>
      <c r="G38" s="1509" t="str">
        <v/>
      </c>
      <c r="H38" s="446"/>
      <c r="I38" s="446"/>
      <c r="J38" s="1439" t="str">
        <v/>
      </c>
      <c r="K38" s="1439" t="str">
        <v/>
      </c>
      <c r="L38" s="1439" t="str">
        <v/>
      </c>
      <c r="M38" s="1439" t="str">
        <v/>
      </c>
      <c r="N38" s="1439" t="str">
        <v>No</v>
      </c>
      <c r="O38" s="1436" t="str">
        <f>VLOOKUP(F38,'3B'!$C$9:$H$38,6,FALSE)</f>
        <v/>
      </c>
      <c r="P38" s="1442">
        <v>0</v>
      </c>
    </row>
    <row r="39" spans="1:16" ht="14.4">
      <c r="A39" s="1367"/>
      <c r="B39" s="1367"/>
      <c r="C39" s="1367"/>
      <c r="D39" s="1367"/>
      <c r="E39" s="1509" t="str">
        <v/>
      </c>
      <c r="F39" s="1509" t="str">
        <v/>
      </c>
      <c r="G39" s="1509" t="str">
        <v/>
      </c>
      <c r="H39" s="446"/>
      <c r="I39" s="446"/>
      <c r="J39" s="1439" t="str">
        <v/>
      </c>
      <c r="K39" s="1439" t="str">
        <v/>
      </c>
      <c r="L39" s="1439" t="str">
        <v/>
      </c>
      <c r="M39" s="1439" t="str">
        <v/>
      </c>
      <c r="N39" s="1439" t="str">
        <v>No</v>
      </c>
      <c r="O39" s="1436" t="str">
        <f>VLOOKUP(F39,'3B'!$C$9:$H$38,6,FALSE)</f>
        <v/>
      </c>
      <c r="P39" s="1442">
        <v>0</v>
      </c>
    </row>
    <row r="40" spans="1:16" ht="14.4">
      <c r="A40" s="1367"/>
      <c r="B40" s="1367"/>
      <c r="C40" s="1367"/>
      <c r="D40" s="1367"/>
      <c r="E40" s="1435" t="str">
        <v/>
      </c>
      <c r="F40" s="1509" t="str">
        <v/>
      </c>
      <c r="G40" s="1435" t="str">
        <v/>
      </c>
      <c r="H40" s="446"/>
      <c r="I40" s="446"/>
      <c r="J40" s="1439" t="str">
        <v/>
      </c>
      <c r="K40" s="1439" t="str">
        <v/>
      </c>
      <c r="L40" s="1439" t="str">
        <v/>
      </c>
      <c r="M40" s="1439" t="str">
        <v/>
      </c>
      <c r="N40" s="1439" t="str">
        <v>No</v>
      </c>
      <c r="O40" s="1436" t="str">
        <f>VLOOKUP(F40,'3B'!$C$9:$H$38,6,FALSE)</f>
        <v/>
      </c>
      <c r="P40" s="1442">
        <v>0</v>
      </c>
    </row>
    <row r="41" spans="1:16" ht="14.4">
      <c r="A41" s="1367"/>
      <c r="B41" s="1367"/>
      <c r="C41" s="1367"/>
      <c r="D41" s="1367"/>
      <c r="E41" s="1435" t="str">
        <v/>
      </c>
      <c r="F41" s="1509" t="str">
        <v/>
      </c>
      <c r="G41" s="1435" t="str">
        <v/>
      </c>
      <c r="H41" s="446"/>
      <c r="I41" s="446"/>
      <c r="J41" s="1439" t="str">
        <v/>
      </c>
      <c r="K41" s="1439" t="str">
        <v/>
      </c>
      <c r="L41" s="1439" t="str">
        <v/>
      </c>
      <c r="M41" s="1439" t="str">
        <v/>
      </c>
      <c r="N41" s="1439" t="str">
        <v>No</v>
      </c>
      <c r="O41" s="1436" t="str">
        <f>VLOOKUP(F41,'3B'!$C$9:$H$38,6,FALSE)</f>
        <v/>
      </c>
      <c r="P41" s="1442">
        <v>0</v>
      </c>
    </row>
    <row r="42" spans="1:16" ht="14.4">
      <c r="A42" s="1367"/>
      <c r="B42" s="1367"/>
      <c r="C42" s="1367"/>
      <c r="D42" s="1367"/>
      <c r="E42" s="1435" t="str">
        <v/>
      </c>
      <c r="F42" s="1509" t="str">
        <v/>
      </c>
      <c r="G42" s="1435" t="str">
        <v/>
      </c>
      <c r="H42" s="446"/>
      <c r="I42" s="446"/>
      <c r="J42" s="1439" t="str">
        <v/>
      </c>
      <c r="K42" s="1439" t="str">
        <v/>
      </c>
      <c r="L42" s="1439" t="str">
        <v/>
      </c>
      <c r="M42" s="1439" t="str">
        <v/>
      </c>
      <c r="N42" s="1439" t="str">
        <v>No</v>
      </c>
      <c r="O42" s="1436" t="str">
        <f>VLOOKUP(F42,'3B'!$C$9:$H$38,6,FALSE)</f>
        <v/>
      </c>
      <c r="P42" s="1442">
        <v>0</v>
      </c>
    </row>
    <row r="43" spans="1:16" ht="14.4">
      <c r="A43" s="1367"/>
      <c r="B43" s="1367"/>
      <c r="C43" s="1367"/>
      <c r="D43" s="1367"/>
      <c r="E43" s="1435" t="str">
        <v/>
      </c>
      <c r="F43" s="1509" t="str">
        <v/>
      </c>
      <c r="G43" s="1435" t="str">
        <v/>
      </c>
      <c r="H43" s="446"/>
      <c r="I43" s="446"/>
      <c r="J43" s="1439" t="str">
        <v/>
      </c>
      <c r="K43" s="1439" t="str">
        <v/>
      </c>
      <c r="L43" s="1439" t="str">
        <v/>
      </c>
      <c r="M43" s="1439" t="str">
        <v/>
      </c>
      <c r="N43" s="1439" t="str">
        <v>No</v>
      </c>
      <c r="O43" s="1436" t="str">
        <f>VLOOKUP(F43,'3B'!$C$9:$H$38,6,FALSE)</f>
        <v/>
      </c>
      <c r="P43" s="1442">
        <v>0</v>
      </c>
    </row>
    <row r="44" spans="1:16" ht="14.4">
      <c r="A44" s="1367"/>
      <c r="B44" s="1367"/>
      <c r="C44" s="1367"/>
      <c r="D44" s="1367"/>
      <c r="E44" s="1435" t="str">
        <v/>
      </c>
      <c r="F44" s="1509" t="str">
        <v/>
      </c>
      <c r="G44" s="1435" t="str">
        <v/>
      </c>
      <c r="H44" s="446"/>
      <c r="I44" s="446"/>
      <c r="J44" s="1439" t="str">
        <v/>
      </c>
      <c r="K44" s="1439" t="str">
        <v/>
      </c>
      <c r="L44" s="1439" t="str">
        <v/>
      </c>
      <c r="M44" s="1439" t="str">
        <v/>
      </c>
      <c r="N44" s="1439" t="str">
        <v>No</v>
      </c>
      <c r="O44" s="1436" t="str">
        <f>VLOOKUP(F44,'3B'!$C$9:$H$38,6,FALSE)</f>
        <v/>
      </c>
      <c r="P44" s="1442">
        <v>0</v>
      </c>
    </row>
    <row r="45" spans="1:16" ht="14.4">
      <c r="A45" s="1367"/>
      <c r="B45" s="1367"/>
      <c r="C45" s="1367"/>
      <c r="D45" s="1367"/>
      <c r="E45" s="1435" t="str">
        <v/>
      </c>
      <c r="F45" s="1509" t="str">
        <v/>
      </c>
      <c r="G45" s="1435" t="str">
        <v/>
      </c>
      <c r="H45" s="446"/>
      <c r="I45" s="446"/>
      <c r="J45" s="1439" t="str">
        <v/>
      </c>
      <c r="K45" s="1439" t="str">
        <v/>
      </c>
      <c r="L45" s="1439" t="str">
        <v/>
      </c>
      <c r="M45" s="1439" t="str">
        <v/>
      </c>
      <c r="N45" s="1439" t="str">
        <v>No</v>
      </c>
      <c r="O45" s="1436" t="str">
        <f>VLOOKUP(F45,'3B'!$C$9:$H$38,6,FALSE)</f>
        <v/>
      </c>
      <c r="P45" s="1442">
        <v>0</v>
      </c>
    </row>
    <row r="46" spans="1:16" ht="14.4">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4">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4">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4">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4">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4">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4">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4">
      <c r="A53" s="1367"/>
      <c r="B53" s="1367"/>
      <c r="C53" s="1367"/>
      <c r="D53" s="1367"/>
      <c r="E53" s="1353"/>
      <c r="F53" s="1367"/>
      <c r="G53" s="1353"/>
      <c r="H53" s="1367"/>
      <c r="I53" s="1367"/>
      <c r="J53" s="1367"/>
      <c r="K53" s="1370"/>
      <c r="L53" s="171"/>
      <c r="M53" s="171"/>
      <c r="N53" s="171"/>
      <c r="O53" s="171"/>
      <c r="P53" s="171"/>
    </row>
    <row r="54" spans="1:16" ht="21">
      <c r="A54" s="430" t="s">
        <v>935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sheetView>
  </sheetViews>
  <sheetFormatPr defaultColWidth="8.59765625" defaultRowHeight="13.2"/>
  <cols>
    <col min="1" max="4" width="1.59765625" style="206" customWidth="1"/>
    <col min="5" max="5" width="71" style="206" customWidth="1"/>
    <col min="6" max="8" width="15.59765625" style="206" customWidth="1"/>
    <col min="9" max="9" width="2.59765625" style="206" customWidth="1"/>
    <col min="10" max="16384" width="8.59765625" style="206"/>
  </cols>
  <sheetData>
    <row r="1" spans="1:13" s="245" customFormat="1" ht="45">
      <c r="A1" s="675" t="str">
        <f ca="1" xml:space="preserve"> RIGHT(CELL("filename", $A$1), LEN(CELL("filename", $A$1)) - SEARCH("]", CELL("filename", $A$1)))</f>
        <v>Model outputs - Aggregate level</v>
      </c>
      <c r="B1" s="242"/>
      <c r="C1" s="242"/>
      <c r="D1" s="243"/>
      <c r="E1" s="244"/>
      <c r="F1" s="244"/>
      <c r="G1" s="244"/>
      <c r="H1" s="661" t="str">
        <f>InpCompany!F5</f>
        <v>South Staffs Water</v>
      </c>
      <c r="I1" s="244"/>
      <c r="J1" s="630" t="str">
        <f>VLOOKUP($H$1,Validation!$B$5:$C$22,2,0)</f>
        <v>SSC</v>
      </c>
      <c r="K1" s="244"/>
      <c r="L1" s="244"/>
      <c r="M1" s="244"/>
    </row>
    <row r="2" spans="1:13" s="201" customFormat="1" ht="13.8">
      <c r="A2" s="444"/>
      <c r="B2" s="444"/>
      <c r="C2" s="444"/>
      <c r="D2" s="444"/>
      <c r="E2" s="444"/>
      <c r="F2" s="453" t="s">
        <v>1045</v>
      </c>
      <c r="G2" s="453" t="s">
        <v>131</v>
      </c>
      <c r="H2" s="453" t="s">
        <v>1046</v>
      </c>
      <c r="I2" s="444"/>
      <c r="J2" s="1937" t="s">
        <v>968</v>
      </c>
      <c r="K2" s="1937" t="s">
        <v>980</v>
      </c>
      <c r="L2" s="1937" t="s">
        <v>985</v>
      </c>
      <c r="M2" s="1937" t="s">
        <v>958</v>
      </c>
    </row>
    <row r="3" spans="1:13" s="205" customFormat="1" ht="13.8">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8">
      <c r="A4" s="446"/>
      <c r="B4" s="677" t="s">
        <v>1592</v>
      </c>
      <c r="C4" s="446"/>
      <c r="D4" s="446"/>
      <c r="E4" s="446"/>
      <c r="F4" s="446"/>
      <c r="G4" s="446"/>
      <c r="H4" s="446"/>
      <c r="I4" s="446"/>
      <c r="J4" s="446"/>
      <c r="K4" s="446"/>
      <c r="L4" s="446"/>
      <c r="M4" s="446"/>
    </row>
    <row r="5" spans="1:13" ht="13.8">
      <c r="A5" s="446"/>
      <c r="B5" s="446"/>
      <c r="C5" s="446"/>
      <c r="D5" s="446"/>
      <c r="E5" s="446"/>
      <c r="F5" s="446"/>
      <c r="G5" s="446"/>
      <c r="H5" s="446"/>
      <c r="I5" s="446"/>
    </row>
    <row r="6" spans="1:13" ht="13.8">
      <c r="A6" s="446"/>
      <c r="B6" s="446"/>
      <c r="C6" s="451" t="s">
        <v>1593</v>
      </c>
      <c r="D6" s="446"/>
      <c r="E6" s="446"/>
      <c r="F6" s="446"/>
      <c r="G6" s="446"/>
      <c r="H6" s="446"/>
      <c r="I6" s="446"/>
    </row>
    <row r="7" spans="1:13" ht="13.8">
      <c r="A7" s="446"/>
      <c r="B7" s="446"/>
      <c r="C7" s="446"/>
      <c r="D7" s="446"/>
      <c r="E7" s="645" t="str">
        <f>'Aggregate calculations'!E26</f>
        <v>Revenue adjustments - Net ODI payments (to be applied in-period) - Water resources</v>
      </c>
      <c r="F7" s="645">
        <f>'Aggregate calculations'!F26</f>
        <v>4.7468400000000001E-2</v>
      </c>
      <c r="G7" s="645" t="str">
        <f>'Aggregate calculations'!G26</f>
        <v>£m (2017-18 prices)</v>
      </c>
      <c r="H7" s="645"/>
      <c r="I7" s="446"/>
    </row>
    <row r="8" spans="1:13" ht="13.8">
      <c r="A8" s="446"/>
      <c r="B8" s="446"/>
      <c r="C8" s="446"/>
      <c r="D8" s="446"/>
      <c r="E8" s="645" t="str">
        <f>'Aggregate calculations'!E27</f>
        <v>Revenue adjustments - Net ODI payments (to be applied in-period) - Water network plus</v>
      </c>
      <c r="F8" s="645">
        <f>'Aggregate calculations'!F27</f>
        <v>0.68105159999999987</v>
      </c>
      <c r="G8" s="645" t="str">
        <f>'Aggregate calculations'!G27</f>
        <v>£m (2017-18 prices)</v>
      </c>
      <c r="H8" s="645"/>
      <c r="I8" s="446"/>
      <c r="J8" s="446"/>
      <c r="K8" s="446"/>
      <c r="L8" s="446"/>
      <c r="M8" s="446"/>
    </row>
    <row r="9" spans="1:13" ht="13.8">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8">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8">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8">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8">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8">
      <c r="A14" s="446"/>
      <c r="B14" s="446"/>
      <c r="C14" s="446"/>
      <c r="D14" s="446"/>
      <c r="E14" s="645"/>
      <c r="F14" s="645"/>
      <c r="G14" s="645"/>
      <c r="H14" s="446"/>
      <c r="I14" s="446"/>
      <c r="J14" s="446"/>
      <c r="K14" s="446"/>
      <c r="L14" s="446"/>
      <c r="M14" s="446"/>
    </row>
    <row r="15" spans="1:13" s="205" customFormat="1" ht="13.8">
      <c r="A15" s="632" t="str">
        <f>"Net ODI payments to be applied in 2024-25 for "&amp;'Validation summary'!$B$2&amp;" performance"</f>
        <v>Net ODI payments to be applied in 2024-25 for 2024-25 performance</v>
      </c>
      <c r="B15" s="633"/>
      <c r="C15" s="633"/>
      <c r="D15" s="634"/>
      <c r="E15" s="635"/>
      <c r="F15" s="635"/>
      <c r="G15" s="635"/>
      <c r="H15" s="636"/>
      <c r="I15" s="1988"/>
      <c r="J15" s="663"/>
      <c r="K15" s="635"/>
      <c r="L15" s="635"/>
      <c r="M15" s="635"/>
    </row>
    <row r="16" spans="1:13" ht="13.8">
      <c r="A16" s="446"/>
      <c r="B16" s="677" t="s">
        <v>1594</v>
      </c>
      <c r="C16" s="446"/>
      <c r="D16" s="446"/>
      <c r="E16" s="446"/>
      <c r="F16" s="446"/>
      <c r="G16" s="446"/>
      <c r="H16" s="446"/>
      <c r="I16" s="446"/>
      <c r="J16" s="446"/>
      <c r="K16" s="446"/>
      <c r="L16" s="446"/>
      <c r="M16" s="446"/>
    </row>
    <row r="17" spans="1:13" ht="13.8">
      <c r="A17" s="446"/>
      <c r="B17" s="446"/>
      <c r="C17" s="446"/>
      <c r="D17" s="446"/>
      <c r="E17" s="446"/>
      <c r="F17" s="446"/>
      <c r="G17" s="446"/>
      <c r="H17" s="446"/>
      <c r="I17" s="446"/>
      <c r="J17" s="448"/>
      <c r="K17" s="448"/>
      <c r="L17" s="448"/>
      <c r="M17" s="448"/>
    </row>
    <row r="18" spans="1:13" ht="13.8">
      <c r="A18" s="446"/>
      <c r="B18" s="446"/>
      <c r="C18" s="451" t="s">
        <v>1575</v>
      </c>
      <c r="D18" s="446"/>
      <c r="E18" s="446"/>
      <c r="F18" s="446"/>
      <c r="G18" s="446"/>
      <c r="H18" s="446"/>
      <c r="I18" s="446"/>
    </row>
    <row r="19" spans="1:13" ht="13.8">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8">
      <c r="A20" s="446"/>
      <c r="B20" s="446"/>
      <c r="C20" s="446"/>
      <c r="D20" s="446"/>
      <c r="E20" s="645" t="str">
        <f>'Aggregate calculations'!E117</f>
        <v>Revenue adjustments - Net ODI payments (to be applied end of period) - Water network plus</v>
      </c>
      <c r="F20" s="645">
        <f>'Aggregate calculations'!F117</f>
        <v>-2.5167000000000002</v>
      </c>
      <c r="G20" s="645" t="str">
        <f>'Aggregate calculations'!G117</f>
        <v>£m (2017-18 prices)</v>
      </c>
      <c r="H20" s="645"/>
      <c r="I20" s="446"/>
    </row>
    <row r="21" spans="1:13" ht="13.8">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8">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8">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8">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8">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8">
      <c r="A26" s="446"/>
      <c r="B26" s="446"/>
      <c r="C26" s="446"/>
      <c r="D26" s="446"/>
      <c r="E26" s="446"/>
      <c r="F26" s="446"/>
      <c r="G26" s="446"/>
      <c r="H26" s="446"/>
      <c r="I26" s="446"/>
    </row>
    <row r="27" spans="1:13" ht="13.8">
      <c r="A27" s="446"/>
      <c r="B27" s="446"/>
      <c r="C27" s="451" t="s">
        <v>1576</v>
      </c>
      <c r="D27" s="446"/>
      <c r="E27" s="446"/>
      <c r="F27" s="446"/>
      <c r="G27" s="446"/>
      <c r="H27" s="446"/>
      <c r="I27" s="446"/>
    </row>
    <row r="28" spans="1:13" ht="13.8">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8">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8">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8">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8">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8">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8">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8">
      <c r="A35" s="446"/>
      <c r="B35" s="446"/>
      <c r="C35" s="446"/>
      <c r="D35" s="446"/>
      <c r="E35" s="446"/>
      <c r="F35" s="446"/>
      <c r="G35" s="446"/>
      <c r="H35" s="446"/>
      <c r="I35" s="446"/>
      <c r="J35" s="446"/>
      <c r="K35" s="446"/>
      <c r="L35" s="446"/>
      <c r="M35" s="446"/>
    </row>
    <row r="36" spans="1:13" ht="13.8">
      <c r="A36" s="632" t="s">
        <v>1595</v>
      </c>
      <c r="B36" s="633"/>
      <c r="C36" s="633"/>
      <c r="D36" s="634"/>
      <c r="E36" s="635"/>
      <c r="F36" s="635"/>
      <c r="G36" s="635"/>
      <c r="H36" s="636"/>
      <c r="I36" s="1988"/>
      <c r="J36" s="663"/>
      <c r="K36" s="635"/>
      <c r="L36" s="635"/>
      <c r="M36" s="635"/>
    </row>
    <row r="37" spans="1:13" ht="13.8">
      <c r="A37" s="446"/>
      <c r="B37" s="677" t="s">
        <v>1596</v>
      </c>
      <c r="C37" s="446"/>
      <c r="D37" s="446"/>
      <c r="E37" s="446"/>
      <c r="F37" s="446"/>
      <c r="G37" s="446"/>
      <c r="H37" s="446"/>
      <c r="I37" s="446"/>
      <c r="J37" s="446"/>
      <c r="K37" s="446"/>
      <c r="L37" s="446"/>
      <c r="M37" s="446"/>
    </row>
    <row r="38" spans="1:13" ht="13.8">
      <c r="A38" s="446"/>
      <c r="B38" s="446"/>
      <c r="C38" s="446"/>
      <c r="D38" s="446"/>
      <c r="E38" s="446"/>
      <c r="F38" s="446"/>
      <c r="G38" s="446"/>
      <c r="H38" s="446"/>
      <c r="I38" s="446"/>
      <c r="J38" s="446"/>
      <c r="K38" s="446"/>
      <c r="L38" s="446"/>
      <c r="M38" s="446"/>
    </row>
    <row r="39" spans="1:13" ht="13.8">
      <c r="A39" s="446"/>
      <c r="B39" s="446"/>
      <c r="C39" s="451" t="s">
        <v>1575</v>
      </c>
      <c r="D39" s="446"/>
      <c r="E39" s="446"/>
      <c r="F39" s="446"/>
      <c r="G39" s="446"/>
      <c r="H39" s="446"/>
    </row>
    <row r="40" spans="1:13" ht="13.8">
      <c r="A40" s="446"/>
      <c r="B40" s="446"/>
      <c r="C40" s="446"/>
      <c r="D40" s="446"/>
      <c r="E40" s="657" t="str">
        <f>E7</f>
        <v>Revenue adjustments - Net ODI payments (to be applied in-period) - Water resources</v>
      </c>
      <c r="F40" s="657">
        <f>F7</f>
        <v>4.7468400000000001E-2</v>
      </c>
      <c r="G40" s="657" t="str">
        <f>G7</f>
        <v>£m (2017-18 prices)</v>
      </c>
      <c r="H40" s="446"/>
    </row>
    <row r="41" spans="1:13" ht="13.8">
      <c r="A41" s="446"/>
      <c r="B41" s="446"/>
      <c r="C41" s="446"/>
      <c r="D41" s="446"/>
      <c r="E41" s="657" t="str">
        <f t="shared" ref="E41:F46" si="0">E8</f>
        <v>Revenue adjustments - Net ODI payments (to be applied in-period) - Water network plus</v>
      </c>
      <c r="F41" s="657">
        <f t="shared" si="0"/>
        <v>0.68105159999999987</v>
      </c>
      <c r="G41" s="657" t="str">
        <f t="shared" ref="G41:G46" si="1">G8</f>
        <v>£m (2017-18 prices)</v>
      </c>
      <c r="H41" s="446"/>
    </row>
    <row r="42" spans="1:13" ht="13.8">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8">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8">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8">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8">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8">
      <c r="A47" s="446"/>
      <c r="B47" s="446"/>
      <c r="C47" s="446"/>
      <c r="D47" s="446"/>
      <c r="E47" s="446"/>
      <c r="F47" s="446"/>
      <c r="G47" s="446"/>
      <c r="H47" s="446"/>
      <c r="I47" s="446"/>
      <c r="J47" s="446"/>
      <c r="K47" s="446"/>
      <c r="L47" s="446"/>
      <c r="M47" s="446"/>
    </row>
    <row r="48" spans="1:13" ht="13.8">
      <c r="A48" s="446"/>
      <c r="B48" s="446"/>
      <c r="C48" s="2133" t="s">
        <v>1597</v>
      </c>
      <c r="D48" s="1382"/>
      <c r="E48" s="1382"/>
      <c r="F48" s="446"/>
      <c r="G48" s="446"/>
      <c r="H48" s="446"/>
      <c r="I48" s="451" t="s">
        <v>1598</v>
      </c>
      <c r="J48" s="446"/>
      <c r="K48" s="446"/>
      <c r="L48" s="446"/>
      <c r="M48" s="446"/>
    </row>
    <row r="49" spans="1:13" ht="13.8">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8">
      <c r="A50" s="446"/>
      <c r="B50" s="446"/>
      <c r="C50" s="446"/>
      <c r="D50" s="446"/>
      <c r="E50" s="1991" t="str">
        <f t="shared" ref="E50:E55" si="2">E20</f>
        <v>Revenue adjustments - Net ODI payments (to be applied end of period) - Water network plus</v>
      </c>
      <c r="F50" s="657">
        <f>IF('Validation summary'!$B$2="2024-25",($F20+SUM($J50:$M50)),$F20)</f>
        <v>-6.5846999999999998</v>
      </c>
      <c r="G50" s="657" t="str">
        <f t="shared" ref="G50:G55" si="3">G20</f>
        <v>£m (2017-18 prices)</v>
      </c>
      <c r="H50" s="446"/>
      <c r="I50" s="446"/>
      <c r="J50" s="645">
        <f>SUMIFS('Accrued ODI payments'!F$58:F$444,'Accrued ODI payments'!$C$58:$C$444,$E50,'Accrued ODI payments'!$B$58:$B$444,$J$1)</f>
        <v>-1.5164</v>
      </c>
      <c r="K50" s="645">
        <f>SUMIFS('Accrued ODI payments'!G$58:G$444,'Accrued ODI payments'!$C$58:$C$444,$E50,'Accrued ODI payments'!$B$58:$B$444,$J$1)</f>
        <v>-2.5516000000000001</v>
      </c>
      <c r="L50" s="645">
        <f>SUMIFS('Accrued ODI payments'!H$58:H$444,'Accrued ODI payments'!$C$58:$C$444,$E50,'Accrued ODI payments'!$B$58:$B$444,$J$1)</f>
        <v>0</v>
      </c>
      <c r="M50" s="645">
        <f>SUMIFS('Accrued ODI payments'!I$58:I$444,'Accrued ODI payments'!$C$58:$C$444,$E50,'Accrued ODI payments'!$B$58:$B$444,$J$1)</f>
        <v>0</v>
      </c>
    </row>
    <row r="51" spans="1:13" ht="13.8">
      <c r="A51" s="446"/>
      <c r="B51" s="446"/>
      <c r="C51" s="446"/>
      <c r="D51" s="446"/>
      <c r="E51" s="1991"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8">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8">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8">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8">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8">
      <c r="A56" s="446"/>
      <c r="B56" s="446"/>
      <c r="C56" s="446"/>
      <c r="D56" s="446"/>
      <c r="E56" s="446"/>
      <c r="F56" s="446"/>
      <c r="G56" s="446"/>
      <c r="H56" s="446"/>
      <c r="I56" s="446"/>
      <c r="J56" s="446"/>
      <c r="K56" s="446"/>
      <c r="L56" s="446"/>
      <c r="M56" s="446"/>
    </row>
    <row r="57" spans="1:13" ht="13.8">
      <c r="A57" s="446"/>
      <c r="B57" s="446"/>
      <c r="C57" s="451" t="s">
        <v>1599</v>
      </c>
      <c r="D57" s="446"/>
      <c r="E57" s="446"/>
      <c r="F57" s="446"/>
      <c r="G57" s="446"/>
      <c r="H57" s="446"/>
      <c r="I57" s="451" t="s">
        <v>1600</v>
      </c>
      <c r="J57" s="446"/>
      <c r="K57" s="446"/>
      <c r="L57" s="446"/>
      <c r="M57" s="446"/>
    </row>
    <row r="58" spans="1:13" ht="13.8">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8">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8">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8">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8">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8">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8">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8">
      <c r="A65" s="446"/>
      <c r="B65" s="446"/>
      <c r="C65" s="446"/>
      <c r="D65" s="446"/>
      <c r="E65" s="446"/>
      <c r="F65" s="446"/>
      <c r="G65" s="446"/>
      <c r="H65" s="446"/>
      <c r="I65" s="446"/>
      <c r="J65" s="446"/>
      <c r="K65" s="446"/>
      <c r="L65" s="446"/>
      <c r="M65" s="446"/>
    </row>
    <row r="66" spans="1:13" ht="13.8">
      <c r="A66" s="632" t="s">
        <v>1601</v>
      </c>
      <c r="B66" s="633"/>
      <c r="C66" s="633"/>
      <c r="D66" s="634"/>
      <c r="E66" s="635"/>
      <c r="F66" s="635"/>
      <c r="G66" s="635"/>
      <c r="H66" s="636"/>
      <c r="I66" s="1988"/>
      <c r="J66" s="663"/>
      <c r="K66" s="635"/>
      <c r="L66" s="635"/>
      <c r="M66" s="635"/>
    </row>
    <row r="67" spans="1:13" ht="13.8">
      <c r="A67" s="446"/>
      <c r="B67" s="677" t="s">
        <v>1602</v>
      </c>
      <c r="C67" s="446"/>
      <c r="D67" s="446"/>
      <c r="E67" s="446"/>
      <c r="F67" s="446"/>
      <c r="G67" s="446"/>
      <c r="H67" s="446"/>
      <c r="I67" s="446"/>
      <c r="J67" s="446"/>
      <c r="K67" s="446"/>
      <c r="L67" s="446"/>
      <c r="M67" s="446"/>
    </row>
    <row r="68" spans="1:13" ht="13.8">
      <c r="A68" s="446"/>
      <c r="B68" s="446"/>
      <c r="C68" s="446"/>
      <c r="D68" s="446"/>
      <c r="E68" s="446"/>
      <c r="F68" s="446"/>
      <c r="G68" s="446"/>
      <c r="H68" s="446"/>
      <c r="I68" s="446"/>
      <c r="J68" s="446"/>
      <c r="K68" s="446"/>
      <c r="L68" s="446"/>
      <c r="M68" s="446"/>
    </row>
    <row r="69" spans="1:13" ht="13.8">
      <c r="A69" s="446"/>
      <c r="B69" s="446"/>
      <c r="C69" s="1382" t="s">
        <v>1603</v>
      </c>
      <c r="D69" s="1382"/>
      <c r="E69" s="446"/>
      <c r="F69" s="1385">
        <f>SUM(F40:F46)</f>
        <v>0.72851999999999983</v>
      </c>
      <c r="G69" s="1382" t="s">
        <v>700</v>
      </c>
      <c r="H69" s="446"/>
      <c r="I69" s="446"/>
      <c r="J69" s="446"/>
      <c r="K69" s="446"/>
      <c r="L69" s="446"/>
      <c r="M69" s="446"/>
    </row>
    <row r="70" spans="1:13" ht="13.8">
      <c r="A70" s="446"/>
      <c r="B70" s="446"/>
      <c r="C70" s="1382" t="s">
        <v>1604</v>
      </c>
      <c r="D70" s="1382"/>
      <c r="E70" s="446"/>
      <c r="F70" s="1385">
        <f>SUM(F49:F55)</f>
        <v>-6.5846999999999998</v>
      </c>
      <c r="G70" s="1382" t="s">
        <v>700</v>
      </c>
      <c r="H70" s="446"/>
      <c r="I70" s="446"/>
      <c r="J70" s="446"/>
      <c r="K70" s="446"/>
      <c r="L70" s="446"/>
      <c r="M70" s="446"/>
    </row>
    <row r="71" spans="1:13" ht="13.8">
      <c r="A71" s="446"/>
      <c r="B71" s="446"/>
      <c r="C71" s="1382" t="s">
        <v>1605</v>
      </c>
      <c r="D71" s="1382"/>
      <c r="E71" s="446"/>
      <c r="F71" s="1385">
        <f>SUM(F58:F64)</f>
        <v>0</v>
      </c>
      <c r="G71" s="1382" t="s">
        <v>700</v>
      </c>
      <c r="H71" s="446"/>
      <c r="I71" s="446"/>
      <c r="J71" s="446"/>
      <c r="K71" s="446"/>
      <c r="L71" s="446"/>
      <c r="M71" s="446"/>
    </row>
    <row r="72" spans="1:13" ht="13.8">
      <c r="A72" s="446"/>
      <c r="B72" s="446"/>
      <c r="C72" s="1382" t="s">
        <v>1046</v>
      </c>
      <c r="D72" s="1382"/>
      <c r="E72" s="446"/>
      <c r="F72" s="1385">
        <f>SUM(F69:F71)</f>
        <v>-5.8561800000000002</v>
      </c>
      <c r="G72" s="1382" t="s">
        <v>700</v>
      </c>
      <c r="H72" s="446"/>
      <c r="I72" s="446"/>
      <c r="J72" s="446"/>
      <c r="K72" s="446"/>
      <c r="L72" s="446"/>
      <c r="M72" s="446"/>
    </row>
    <row r="73" spans="1:13" ht="13.8">
      <c r="A73" s="446"/>
      <c r="B73" s="446"/>
      <c r="C73" s="1382"/>
      <c r="D73" s="1382"/>
      <c r="E73" s="446"/>
      <c r="F73" s="1382"/>
      <c r="G73" s="1382"/>
      <c r="H73" s="446"/>
      <c r="I73" s="446"/>
      <c r="J73" s="446"/>
      <c r="K73" s="446"/>
      <c r="L73" s="446"/>
      <c r="M73" s="446"/>
    </row>
    <row r="74" spans="1:13" ht="13.8">
      <c r="A74" s="446"/>
      <c r="B74" s="446"/>
      <c r="C74" s="1382" t="s">
        <v>1606</v>
      </c>
      <c r="D74" s="1382"/>
      <c r="E74" s="446"/>
      <c r="F74" s="1385">
        <f>SUM('3A'!$H$9:$H$16,'3A'!$H$19:$H$38)</f>
        <v>-1.7881800000000003</v>
      </c>
      <c r="G74" s="1382" t="s">
        <v>700</v>
      </c>
      <c r="H74" s="446"/>
      <c r="I74" s="446"/>
      <c r="J74" s="446"/>
      <c r="K74" s="446"/>
      <c r="L74" s="446"/>
      <c r="M74" s="446"/>
    </row>
    <row r="75" spans="1:13" ht="13.8">
      <c r="A75" s="446"/>
      <c r="B75" s="446"/>
      <c r="C75" s="1382" t="s">
        <v>1607</v>
      </c>
      <c r="D75" s="1382"/>
      <c r="E75" s="446"/>
      <c r="F75" s="1385">
        <f>SUM('3B'!$H$9:$H$12,'3B'!$H$15:$H$28)</f>
        <v>0</v>
      </c>
      <c r="G75" s="1382" t="s">
        <v>700</v>
      </c>
      <c r="H75" s="446"/>
      <c r="I75" s="446"/>
      <c r="J75" s="446"/>
      <c r="K75" s="446"/>
      <c r="L75" s="446"/>
      <c r="M75" s="446"/>
    </row>
    <row r="76" spans="1:13" ht="13.8">
      <c r="A76" s="446"/>
      <c r="B76" s="446"/>
      <c r="C76" s="1382" t="s">
        <v>1608</v>
      </c>
      <c r="D76" s="1382"/>
      <c r="E76" s="446"/>
      <c r="F76" s="1385">
        <f>IF('Validation summary'!$B$2="2024-25",SUM('Model outputs - Aggregate level'!$J$49:$M$55),0)</f>
        <v>-4.0679999999999996</v>
      </c>
      <c r="G76" s="1382" t="s">
        <v>700</v>
      </c>
      <c r="H76" s="446"/>
      <c r="I76" s="446"/>
      <c r="J76" s="446"/>
      <c r="K76" s="446"/>
      <c r="L76" s="446"/>
      <c r="M76" s="446"/>
    </row>
    <row r="77" spans="1:13" ht="13.8">
      <c r="A77" s="446"/>
      <c r="B77" s="446"/>
      <c r="C77" s="1382" t="s">
        <v>1609</v>
      </c>
      <c r="D77" s="1382"/>
      <c r="E77" s="446"/>
      <c r="F77" s="1385">
        <f>IF('Validation summary'!$B$2="2024-25",SUM('Model outputs - Aggregate level'!$J$58:$M$64),0)</f>
        <v>0</v>
      </c>
      <c r="G77" s="1382" t="s">
        <v>700</v>
      </c>
      <c r="H77" s="446"/>
      <c r="I77" s="446"/>
      <c r="J77" s="446"/>
      <c r="K77" s="446"/>
      <c r="L77" s="446"/>
      <c r="M77" s="446"/>
    </row>
    <row r="78" spans="1:13" ht="13.8">
      <c r="A78" s="446"/>
      <c r="B78" s="446"/>
      <c r="C78" s="1382" t="s">
        <v>1046</v>
      </c>
      <c r="D78" s="1382"/>
      <c r="E78" s="446"/>
      <c r="F78" s="1385">
        <f>SUM(F74:F77)</f>
        <v>-5.8561800000000002</v>
      </c>
      <c r="G78" s="1382" t="s">
        <v>700</v>
      </c>
      <c r="H78" s="446"/>
      <c r="I78" s="446"/>
      <c r="J78" s="446"/>
      <c r="K78" s="446"/>
      <c r="L78" s="446"/>
      <c r="M78" s="446"/>
    </row>
    <row r="79" spans="1:13" ht="13.8">
      <c r="A79" s="446"/>
      <c r="B79" s="446"/>
      <c r="C79" s="1382"/>
      <c r="D79" s="1382"/>
      <c r="E79" s="446"/>
      <c r="F79" s="1382"/>
      <c r="G79" s="1382"/>
      <c r="H79" s="446"/>
      <c r="I79" s="446"/>
      <c r="J79" s="446"/>
      <c r="K79" s="446"/>
      <c r="L79" s="446"/>
      <c r="M79" s="446"/>
    </row>
    <row r="80" spans="1:13" ht="13.8">
      <c r="A80" s="446"/>
      <c r="B80" s="446"/>
      <c r="C80" s="1382" t="s">
        <v>1610</v>
      </c>
      <c r="D80" s="1382"/>
      <c r="E80" s="446"/>
      <c r="F80" s="1385">
        <f>F78-F72</f>
        <v>0</v>
      </c>
      <c r="G80" s="1382" t="s">
        <v>700</v>
      </c>
      <c r="H80" s="446"/>
      <c r="I80" s="446"/>
      <c r="J80" s="446"/>
      <c r="K80" s="446"/>
      <c r="L80" s="446"/>
      <c r="M80" s="446"/>
    </row>
    <row r="81" spans="1:13" ht="13.8">
      <c r="A81" s="446"/>
      <c r="B81" s="446"/>
      <c r="C81" s="446"/>
      <c r="D81" s="446"/>
      <c r="E81" s="446"/>
      <c r="F81" s="446"/>
      <c r="G81" s="446"/>
      <c r="H81" s="446"/>
      <c r="I81" s="446"/>
      <c r="J81" s="446"/>
      <c r="K81" s="446"/>
      <c r="L81" s="446"/>
      <c r="M81" s="446"/>
    </row>
    <row r="82" spans="1:13" ht="21">
      <c r="A82" s="430" t="s">
        <v>935</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AC67"/>
  <sheetViews>
    <sheetView zoomScaleNormal="100" workbookViewId="0"/>
  </sheetViews>
  <sheetFormatPr defaultColWidth="9" defaultRowHeight="14.4"/>
  <cols>
    <col min="1" max="3" width="1.59765625" style="1367" customWidth="1"/>
    <col min="4" max="4" width="13.5" style="1367" bestFit="1" customWidth="1"/>
    <col min="5" max="5" width="55.3984375" style="1367" bestFit="1" customWidth="1"/>
    <col min="6" max="6" width="10" style="1367" bestFit="1" customWidth="1"/>
    <col min="7" max="7" width="10" style="1367" customWidth="1"/>
    <col min="8" max="8" width="18.59765625" style="1367" customWidth="1"/>
    <col min="9" max="9" width="16" style="1367" customWidth="1"/>
    <col min="10" max="10" width="10.69921875" style="1367" bestFit="1" customWidth="1"/>
    <col min="11" max="16384" width="9" style="1367"/>
  </cols>
  <sheetData>
    <row r="1" spans="1:29" ht="4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South Staffs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41"/>
    </row>
    <row r="5" spans="1:29">
      <c r="H5" s="2188" t="str">
        <f>Performance!E161</f>
        <v>Financial incentives apply or accrue this year?</v>
      </c>
      <c r="I5" s="2188" t="s">
        <v>1613</v>
      </c>
      <c r="J5" s="2138"/>
      <c r="K5" s="1937" t="s">
        <v>968</v>
      </c>
      <c r="L5" s="1937" t="s">
        <v>980</v>
      </c>
      <c r="M5" s="1940" t="s">
        <v>985</v>
      </c>
      <c r="N5" s="1937" t="s">
        <v>958</v>
      </c>
      <c r="O5" s="1940" t="s">
        <v>970</v>
      </c>
      <c r="P5" s="1937"/>
      <c r="Q5" s="1937"/>
    </row>
    <row r="6" spans="1:29" ht="27.6">
      <c r="D6" s="448" t="s">
        <v>1123</v>
      </c>
      <c r="E6" s="448" t="s">
        <v>1122</v>
      </c>
      <c r="F6" s="2139" t="s">
        <v>944</v>
      </c>
      <c r="G6" s="2139" t="s">
        <v>942</v>
      </c>
      <c r="H6" s="2188"/>
      <c r="I6" s="2188"/>
      <c r="J6" s="2138" t="s">
        <v>1614</v>
      </c>
      <c r="K6" s="1937" t="s">
        <v>141</v>
      </c>
      <c r="L6" s="1937" t="s">
        <v>141</v>
      </c>
      <c r="M6" s="1940" t="s">
        <v>141</v>
      </c>
      <c r="N6" s="1937" t="s">
        <v>141</v>
      </c>
      <c r="O6" s="1940" t="s">
        <v>141</v>
      </c>
      <c r="P6" s="1937"/>
      <c r="Q6" s="1937"/>
    </row>
    <row r="7" spans="1:29">
      <c r="D7" s="1434" t="str" cm="1">
        <f t="array" ref="D7:D52">TRANSPOSE(Performance!J5:BC5)</f>
        <v>PR19SSC_D1</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PR19SSC_D2</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PR19SSC_C1</v>
      </c>
      <c r="E9" s="1434" t="str">
        <v>Leakage South Staffs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PR19SSC_C2</v>
      </c>
      <c r="E10" s="1434" t="str">
        <v>Leakage Cambridge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PR19SSC_C3</v>
      </c>
      <c r="E11" s="1434" t="str">
        <v>Per capita consumption South Staffs region</v>
      </c>
      <c r="F11" s="1939" t="str">
        <v>End of period</v>
      </c>
      <c r="G11" s="1939" t="str">
        <v>Revenue</v>
      </c>
      <c r="H11" s="1939" t="b">
        <v>1</v>
      </c>
      <c r="I11" s="1939" t="b">
        <v>0</v>
      </c>
      <c r="J11" s="1939" t="str">
        <f>'3A'!AN13</f>
        <v>APR3A_16_PR24</v>
      </c>
      <c r="K11" s="595">
        <f>IFERROR(VLOOKUP($D11,'Accrued ODI payments'!$D$14:$I$31,3,0),"")</f>
        <v>-1.3689</v>
      </c>
      <c r="L11" s="643">
        <f>IFERROR(VLOOKUP($D11,'Accrued ODI payments'!$D$14:$I$31,4,0),"")</f>
        <v>-2.3491000000000004</v>
      </c>
      <c r="M11" s="1943">
        <f>IFERROR(VLOOKUP($D11,'Accrued ODI payments'!$D$14:$I$31,5,0),"")</f>
        <v>0</v>
      </c>
      <c r="N11" s="643" t="str">
        <f>IF('Validation summary'!$B$2="2023-24",IFERROR(IF(AND($F11="End of period",$H11=TRUE),(HLOOKUP($D11,'Model outputs - PC level'!$J$5:$BC$25,5,0) + HLOOKUP($D11,'Model outputs - PC level'!$J$5:$BC$25,6,0)),""),""),"")</f>
        <v/>
      </c>
      <c r="O11" s="1943">
        <f>IF('Validation summary'!$B$2="2024-25",IFERROR(IF(AND($F11="End of period",$H11=TRUE),(HLOOKUP($D11,'Model outputs - PC level'!$J$5:$BC$25,5,0) + HLOOKUP($D11,'Model outputs - PC level'!$J$5:$BC$25,6,0)),""),""),"")</f>
        <v>-2.4167000000000001</v>
      </c>
      <c r="P11" s="1946"/>
      <c r="Q11" s="1946"/>
      <c r="S11" s="446"/>
    </row>
    <row r="12" spans="1:29">
      <c r="D12" s="1434" t="str">
        <v>PR19SSC_C4</v>
      </c>
      <c r="E12" s="1434" t="str">
        <v>Per capita consumption Cambridge region</v>
      </c>
      <c r="F12" s="1939" t="str">
        <v>End of period</v>
      </c>
      <c r="G12" s="1939" t="str">
        <v>Revenue</v>
      </c>
      <c r="H12" s="1939" t="b">
        <v>1</v>
      </c>
      <c r="I12" s="1939" t="b">
        <v>0</v>
      </c>
      <c r="J12" s="1939" t="str">
        <f>'3A'!AN14</f>
        <v>APR3A_16A_PR24</v>
      </c>
      <c r="K12" s="595">
        <f>IFERROR(VLOOKUP($D12,'Accrued ODI payments'!$D$14:$I$31,3,0),"")</f>
        <v>-0.14750000000000002</v>
      </c>
      <c r="L12" s="643">
        <f>IFERROR(VLOOKUP($D12,'Accrued ODI payments'!$D$14:$I$31,4,0),"")</f>
        <v>-0.20250000000000001</v>
      </c>
      <c r="M12" s="1943">
        <f>IFERROR(VLOOKUP($D12,'Accrued ODI payments'!$D$14:$I$31,5,0),"")</f>
        <v>0</v>
      </c>
      <c r="N12" s="643" t="str">
        <f>IF('Validation summary'!$B$2="2023-24",IFERROR(IF(AND($F12="End of period",$H12=TRUE),(HLOOKUP($D12,'Model outputs - PC level'!$J$5:$BC$25,5,0) + HLOOKUP($D12,'Model outputs - PC level'!$J$5:$BC$25,6,0)),""),""),"")</f>
        <v/>
      </c>
      <c r="O12" s="1943">
        <f>IF('Validation summary'!$B$2="2024-25",IFERROR(IF(AND($F12="End of period",$H12=TRUE),(HLOOKUP($D12,'Model outputs - PC level'!$J$5:$BC$25,5,0) + HLOOKUP($D12,'Model outputs - PC level'!$J$5:$BC$25,6,0)),""),""),"")</f>
        <v>-0.1</v>
      </c>
      <c r="P12" s="1946"/>
      <c r="Q12" s="1946"/>
      <c r="S12" s="446"/>
    </row>
    <row r="13" spans="1:29">
      <c r="D13" s="1434" t="str">
        <v>PR19SSC_D4</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PR19SSC_D5</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PR19SSC_B1</v>
      </c>
      <c r="E15" s="1434" t="str">
        <v>Financial support</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PR19SSC_B2</v>
      </c>
      <c r="E16" s="1434" t="str">
        <v>Extra Care assistance</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PR19SSC_B3</v>
      </c>
      <c r="E17" s="1434" t="str">
        <v>Education activity</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PR19SSC_C5</v>
      </c>
      <c r="E18" s="1434" t="str">
        <v>Environmentally sensitive water abstraction</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PR19SSC_C7</v>
      </c>
      <c r="E19" s="1434" t="str">
        <v>Protecting wildlife, plants, habitats and catchments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PR19SSC_D6</v>
      </c>
      <c r="E20" s="1434" t="str">
        <v>Customer contact about water quality</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PR19SSC_D7</v>
      </c>
      <c r="E21" s="1434" t="str">
        <v>Visible leak repair time</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PR19SSC_D8</v>
      </c>
      <c r="E22" s="1434" t="str">
        <v>Water treatment works delivery programme</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PR19SSC_E2</v>
      </c>
      <c r="E23" s="1434" t="str">
        <v>Residential void properties and gap sites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
      </c>
      <c r="E24" s="1434" t="str">
        <v/>
      </c>
      <c r="F24" s="1939" t="str">
        <v/>
      </c>
      <c r="G24" s="1939" t="str">
        <v/>
      </c>
      <c r="H24" s="1939" t="b">
        <v>1</v>
      </c>
      <c r="I24" s="1939" t="b">
        <v>0</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
      </c>
      <c r="E25" s="1434" t="str">
        <v/>
      </c>
      <c r="F25" s="1939" t="str">
        <v/>
      </c>
      <c r="G25" s="1939" t="str">
        <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t="str">
        <f>IF('Validation summary'!$B$2="2024-25",IFERROR(IF(AND($F25="End of period",$H25=TRUE),(HLOOKUP($D25,'Model outputs - PC level'!$J$5:$BC$25,5,0) + HLOOKUP($D25,'Model outputs - PC level'!$J$5:$BC$25,6,0)),""),""),"")</f>
        <v/>
      </c>
      <c r="P25" s="1946"/>
      <c r="Q25" s="1946"/>
      <c r="S25" s="446"/>
    </row>
    <row r="26" spans="4:19">
      <c r="D26" s="1434" t="str">
        <v/>
      </c>
      <c r="E26" s="1434" t="str">
        <v/>
      </c>
      <c r="F26" s="1939" t="str">
        <v/>
      </c>
      <c r="G26" s="1939" t="str">
        <v/>
      </c>
      <c r="H26" s="1939" t="b">
        <v>1</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t="str">
        <f>IF('Validation summary'!$B$2="2024-25",IFERROR(IF(AND($F26="End of period",$H26=TRUE),(HLOOKUP($D26,'Model outputs - PC level'!$J$5:$BC$25,5,0) + HLOOKUP($D26,'Model outputs - PC level'!$J$5:$BC$25,6,0)),""),""),"")</f>
        <v/>
      </c>
      <c r="P26" s="1946"/>
      <c r="Q26" s="1946"/>
      <c r="S26" s="446"/>
    </row>
    <row r="27" spans="4:19">
      <c r="D27" s="1509" t="str">
        <v/>
      </c>
      <c r="E27" s="1509" t="str">
        <v/>
      </c>
      <c r="F27" s="1938" t="str">
        <v/>
      </c>
      <c r="G27" s="1938" t="str">
        <v/>
      </c>
      <c r="H27" s="1938" t="b">
        <v>1</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t="str">
        <f>IF('Validation summary'!$B$2="2024-25",IFERROR(IF(AND($F27="End of period",$H27=TRUE),(HLOOKUP($D27,'Model outputs - PC level'!$J$5:$BC$25,5,0) + HLOOKUP($D27,'Model outputs - PC level'!$J$5:$BC$25,6,0)),""),""),"")</f>
        <v/>
      </c>
      <c r="P27" s="1946"/>
      <c r="Q27" s="1946"/>
      <c r="S27" s="446"/>
    </row>
    <row r="28" spans="4:19">
      <c r="D28" s="1509" t="str">
        <v/>
      </c>
      <c r="E28" s="1509" t="str">
        <v/>
      </c>
      <c r="F28" s="1938" t="str">
        <v/>
      </c>
      <c r="G28" s="1938" t="str">
        <v/>
      </c>
      <c r="H28" s="1938" t="b">
        <v>1</v>
      </c>
      <c r="I28" s="1938" t="b">
        <v>0</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
      </c>
      <c r="E35" s="1509" t="str">
        <v/>
      </c>
      <c r="F35" s="1938" t="str">
        <v/>
      </c>
      <c r="G35" s="1938" t="str">
        <v/>
      </c>
      <c r="H35" s="1938" t="b">
        <v>1</v>
      </c>
      <c r="I35" s="1938" t="b">
        <v>0</v>
      </c>
      <c r="J35" s="1938" t="str">
        <f>'3B'!AN9</f>
        <v>APR3B_09_PR24</v>
      </c>
      <c r="K35" s="1948"/>
      <c r="L35" s="1950"/>
      <c r="M35" s="1949"/>
      <c r="N35" s="1950"/>
      <c r="O35" s="1949"/>
      <c r="P35" s="1951"/>
      <c r="Q35" s="1951"/>
      <c r="S35" s="1941"/>
    </row>
    <row r="36" spans="4:19">
      <c r="D36" s="1509" t="str">
        <v/>
      </c>
      <c r="E36" s="1509" t="str">
        <v/>
      </c>
      <c r="F36" s="1938" t="str">
        <v/>
      </c>
      <c r="G36" s="1938" t="str">
        <v/>
      </c>
      <c r="H36" s="1938" t="b">
        <v>1</v>
      </c>
      <c r="I36" s="1938" t="b">
        <v>0</v>
      </c>
      <c r="J36" s="1938" t="str">
        <f>'3B'!AN10</f>
        <v>APR3B_10_PR24</v>
      </c>
      <c r="K36" s="1948"/>
      <c r="L36" s="1950"/>
      <c r="M36" s="1949"/>
      <c r="N36" s="1950"/>
      <c r="O36" s="1949"/>
      <c r="P36" s="1951"/>
      <c r="Q36" s="1951"/>
      <c r="S36" s="1941"/>
    </row>
    <row r="37" spans="4:19">
      <c r="D37" s="1509" t="str">
        <v/>
      </c>
      <c r="E37" s="1509" t="str">
        <v/>
      </c>
      <c r="F37" s="1938" t="str">
        <v/>
      </c>
      <c r="G37" s="1938" t="str">
        <v/>
      </c>
      <c r="H37" s="1938" t="b">
        <v>1</v>
      </c>
      <c r="I37" s="1938" t="b">
        <v>0</v>
      </c>
      <c r="J37" s="1938" t="str">
        <f>'3B'!AN11</f>
        <v>APR3B_11_PR24</v>
      </c>
      <c r="K37" s="1948"/>
      <c r="L37" s="1950"/>
      <c r="M37" s="1949"/>
      <c r="N37" s="1950"/>
      <c r="O37" s="1949"/>
      <c r="P37" s="1951"/>
      <c r="Q37" s="1951"/>
      <c r="S37" s="1941"/>
    </row>
    <row r="38" spans="4:19">
      <c r="D38" s="1509" t="str">
        <v/>
      </c>
      <c r="E38" s="1509" t="str">
        <v/>
      </c>
      <c r="F38" s="1938" t="str">
        <v/>
      </c>
      <c r="G38" s="1938" t="str">
        <v/>
      </c>
      <c r="H38" s="1938" t="b">
        <v>1</v>
      </c>
      <c r="I38" s="1938" t="b">
        <v>0</v>
      </c>
      <c r="J38" s="1938" t="str">
        <f>'3B'!AN12</f>
        <v>APR3B_12_PR24</v>
      </c>
      <c r="K38" s="1948"/>
      <c r="L38" s="1950"/>
      <c r="M38" s="1949"/>
      <c r="N38" s="1950"/>
      <c r="O38" s="1949"/>
      <c r="P38" s="1951"/>
      <c r="Q38" s="1951"/>
      <c r="S38" s="1941"/>
    </row>
    <row r="39" spans="4:19">
      <c r="D39" s="1509" t="str">
        <v/>
      </c>
      <c r="E39" s="1509" t="str">
        <v/>
      </c>
      <c r="F39" s="1938" t="str">
        <v/>
      </c>
      <c r="G39" s="1938" t="str">
        <v/>
      </c>
      <c r="H39" s="1938" t="b">
        <v>1</v>
      </c>
      <c r="I39" s="1938" t="b">
        <v>0</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
      </c>
      <c r="E40" s="1435" t="str">
        <v/>
      </c>
      <c r="F40" s="1938" t="str">
        <v/>
      </c>
      <c r="G40" s="1938" t="str">
        <v/>
      </c>
      <c r="H40" s="1938" t="b">
        <v>1</v>
      </c>
      <c r="I40" s="1938" t="b">
        <v>0</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
      </c>
      <c r="E41" s="1435" t="str">
        <v/>
      </c>
      <c r="F41" s="1938" t="str">
        <v/>
      </c>
      <c r="G41" s="1938" t="str">
        <v/>
      </c>
      <c r="H41" s="1938" t="b">
        <v>1</v>
      </c>
      <c r="I41" s="1938" t="b">
        <v>0</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
      </c>
      <c r="E42" s="1435" t="str">
        <v/>
      </c>
      <c r="F42" s="1938" t="str">
        <v/>
      </c>
      <c r="G42" s="1938" t="str">
        <v/>
      </c>
      <c r="H42" s="1938" t="b">
        <v>1</v>
      </c>
      <c r="I42" s="1938" t="b">
        <v>0</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
      </c>
      <c r="E43" s="1435" t="str">
        <v/>
      </c>
      <c r="F43" s="1938" t="str">
        <v/>
      </c>
      <c r="G43" s="1938" t="str">
        <v/>
      </c>
      <c r="H43" s="1938" t="b">
        <v>1</v>
      </c>
      <c r="I43" s="1938" t="b">
        <v>0</v>
      </c>
      <c r="J43" s="1938" t="str">
        <f>'3B'!AN19</f>
        <v>APR3B_50_PR24</v>
      </c>
      <c r="K43" s="595" t="str">
        <f>IFERROR(VLOOKUP($D43,'Accrued ODI payments'!$M$14:$R$26,3,0),"")</f>
        <v/>
      </c>
      <c r="L43" s="643" t="str">
        <f>IFERROR(VLOOKUP($D43,'Accrued ODI payments'!$M$14:$R$26,4,0),"")</f>
        <v/>
      </c>
      <c r="M43" s="1943" t="str">
        <f>IFERROR(VLOOKUP($D43,'Accrued ODI payments'!$M$14:$R$26,5,0),"")</f>
        <v/>
      </c>
      <c r="N43" s="643" t="str">
        <f>IF('Validation summary'!$B$2="2023-24",IFERROR(IF(AND($F43="End of period",$H43=TRUE),(HLOOKUP($D43,'Model outputs - PC level'!$J$5:$BC$25,5,0) + HLOOKUP($D43,'Model outputs - PC level'!$J$5:$BC$25,6,0)),""),""),"")</f>
        <v/>
      </c>
      <c r="O43" s="1943" t="str">
        <f>IF('Validation summary'!$B$2="2024-25",IFERROR(IF(AND($F43="End of period",$H43=TRUE),(HLOOKUP($D43,'Model outputs - PC level'!$J$5:$BC$25,5,0) + HLOOKUP($D43,'Model outputs - PC level'!$J$5:$BC$25,6,0)),""),""),"")</f>
        <v/>
      </c>
      <c r="P43" s="1946"/>
      <c r="Q43" s="1946"/>
    </row>
    <row r="44" spans="4:19">
      <c r="D44" s="1435" t="str">
        <v/>
      </c>
      <c r="E44" s="1435" t="str">
        <v/>
      </c>
      <c r="F44" s="1938" t="str">
        <v/>
      </c>
      <c r="G44" s="1938" t="str">
        <v/>
      </c>
      <c r="H44" s="1938" t="b">
        <v>1</v>
      </c>
      <c r="I44" s="1938" t="b">
        <v>0</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
      </c>
      <c r="E45" s="1435" t="str">
        <v/>
      </c>
      <c r="F45" s="1938" t="str">
        <v/>
      </c>
      <c r="G45" s="1938" t="str">
        <v/>
      </c>
      <c r="H45" s="1938" t="b">
        <v>1</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t="str">
        <f>IF('Validation summary'!$B$2="2024-25",IFERROR(IF(AND($F45="End of period",$H45=TRUE),(HLOOKUP($D45,'Model outputs - PC level'!$J$5:$BC$25,5,0) + HLOOKUP($D45,'Model outputs - PC level'!$J$5:$BC$25,6,0)),""),""),"")</f>
        <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1121</v>
      </c>
      <c r="E53" s="448"/>
      <c r="F53" s="448"/>
      <c r="G53" s="448"/>
      <c r="H53" s="448"/>
      <c r="I53" s="448"/>
      <c r="J53" s="448"/>
      <c r="K53" s="1944">
        <f>SUM(K7:K52)</f>
        <v>-1.5164</v>
      </c>
      <c r="L53" s="1946">
        <f t="shared" ref="L53:O53" si="0">SUM(L7:L52)</f>
        <v>-2.5516000000000005</v>
      </c>
      <c r="M53" s="1945">
        <f t="shared" si="0"/>
        <v>0</v>
      </c>
      <c r="N53" s="1946">
        <f t="shared" si="0"/>
        <v>0</v>
      </c>
      <c r="O53" s="1945">
        <f t="shared" si="0"/>
        <v>-2.5167000000000002</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pageSetUpPr fitToPage="1"/>
  </sheetPr>
  <dimension ref="A1:G118"/>
  <sheetViews>
    <sheetView zoomScaleNormal="100" workbookViewId="0"/>
  </sheetViews>
  <sheetFormatPr defaultColWidth="9" defaultRowHeight="14.4"/>
  <cols>
    <col min="1" max="1" width="7.19921875" style="1195" customWidth="1"/>
    <col min="2" max="2" width="20.09765625" style="1195" bestFit="1" customWidth="1"/>
    <col min="3" max="3" width="91" style="1195" bestFit="1" customWidth="1"/>
    <col min="4" max="4" width="3.8984375" style="1195" bestFit="1" customWidth="1"/>
    <col min="5" max="5" width="25.59765625" style="1195" customWidth="1"/>
    <col min="6" max="6" width="38.8984375" style="1195" bestFit="1" customWidth="1"/>
    <col min="7" max="7" width="10.3984375" style="1195" customWidth="1"/>
    <col min="8" max="16384" width="9" style="1195"/>
  </cols>
  <sheetData>
    <row r="1" spans="1:7">
      <c r="A1" s="1194"/>
      <c r="B1" s="1371"/>
      <c r="C1" s="1371" t="s">
        <v>1615</v>
      </c>
      <c r="D1" s="1371"/>
      <c r="E1" s="1371"/>
      <c r="F1" s="1372"/>
      <c r="G1" s="1371"/>
    </row>
    <row r="2" spans="1:7">
      <c r="A2" s="1371" t="s">
        <v>938</v>
      </c>
      <c r="B2" s="1371" t="s">
        <v>1616</v>
      </c>
      <c r="C2" s="1371" t="s">
        <v>1617</v>
      </c>
      <c r="D2" s="1371" t="s">
        <v>131</v>
      </c>
      <c r="E2" s="1371" t="s">
        <v>1618</v>
      </c>
      <c r="F2" s="1371" t="s">
        <v>1619</v>
      </c>
      <c r="G2" s="1373" t="str">
        <f>'Validation summary'!B2</f>
        <v>2024-25</v>
      </c>
    </row>
    <row r="4" spans="1:7">
      <c r="A4" s="1371"/>
      <c r="B4" s="1197" t="s">
        <v>1620</v>
      </c>
      <c r="C4" s="1372" t="s">
        <v>1621</v>
      </c>
      <c r="D4" s="1372" t="s">
        <v>141</v>
      </c>
      <c r="E4" s="1372" t="s">
        <v>1622</v>
      </c>
      <c r="F4" s="1372"/>
      <c r="G4" s="1196">
        <f>'Model outputs - Aggregate level'!F40</f>
        <v>4.7468400000000001E-2</v>
      </c>
    </row>
    <row r="5" spans="1:7">
      <c r="A5" s="1371"/>
      <c r="B5" s="1197" t="s">
        <v>1623</v>
      </c>
      <c r="C5" s="1372" t="s">
        <v>1624</v>
      </c>
      <c r="D5" s="1372" t="s">
        <v>141</v>
      </c>
      <c r="E5" s="1372" t="s">
        <v>1622</v>
      </c>
      <c r="F5" s="1372"/>
      <c r="G5" s="1196">
        <f>'Model outputs - Aggregate level'!F41</f>
        <v>0.68105159999999987</v>
      </c>
    </row>
    <row r="6" spans="1:7">
      <c r="A6" s="1371"/>
      <c r="B6" s="1197" t="s">
        <v>1625</v>
      </c>
      <c r="C6" s="1372" t="s">
        <v>1626</v>
      </c>
      <c r="D6" s="1372" t="s">
        <v>141</v>
      </c>
      <c r="E6" s="1372" t="s">
        <v>1622</v>
      </c>
      <c r="F6" s="1372"/>
      <c r="G6" s="1196">
        <f>'Model outputs - Aggregate level'!F42</f>
        <v>0</v>
      </c>
    </row>
    <row r="7" spans="1:7">
      <c r="A7" s="1371"/>
      <c r="B7" s="1197" t="s">
        <v>1627</v>
      </c>
      <c r="C7" s="1372" t="s">
        <v>1628</v>
      </c>
      <c r="D7" s="1372" t="s">
        <v>141</v>
      </c>
      <c r="E7" s="1372" t="s">
        <v>1622</v>
      </c>
      <c r="F7" s="1372"/>
      <c r="G7" s="1196">
        <f>'Model outputs - Aggregate level'!F43</f>
        <v>0</v>
      </c>
    </row>
    <row r="8" spans="1:7">
      <c r="A8" s="1371"/>
      <c r="B8" s="1197" t="s">
        <v>1629</v>
      </c>
      <c r="C8" s="1372" t="s">
        <v>1630</v>
      </c>
      <c r="D8" s="1372" t="s">
        <v>141</v>
      </c>
      <c r="E8" s="1372" t="s">
        <v>1622</v>
      </c>
      <c r="F8" s="1372"/>
      <c r="G8" s="1196">
        <f>'Model outputs - Aggregate level'!F44</f>
        <v>0</v>
      </c>
    </row>
    <row r="9" spans="1:7">
      <c r="A9" s="1371"/>
      <c r="B9" s="1197" t="s">
        <v>1631</v>
      </c>
      <c r="C9" s="1372" t="s">
        <v>1632</v>
      </c>
      <c r="D9" s="1372" t="s">
        <v>141</v>
      </c>
      <c r="E9" s="1372" t="s">
        <v>1622</v>
      </c>
      <c r="F9" s="1372"/>
      <c r="G9" s="1196">
        <f>'Model outputs - Aggregate level'!F45</f>
        <v>0</v>
      </c>
    </row>
    <row r="10" spans="1:7">
      <c r="A10" s="1371"/>
      <c r="B10" s="1197" t="s">
        <v>1633</v>
      </c>
      <c r="C10" s="1372" t="s">
        <v>1634</v>
      </c>
      <c r="D10" s="1372" t="s">
        <v>141</v>
      </c>
      <c r="E10" s="1372" t="s">
        <v>1622</v>
      </c>
      <c r="F10" s="1372"/>
      <c r="G10" s="1196">
        <f>'Model outputs - Aggregate level'!F46</f>
        <v>0</v>
      </c>
    </row>
    <row r="11" spans="1:7">
      <c r="A11" s="1371"/>
      <c r="B11" s="1197" t="s">
        <v>1635</v>
      </c>
      <c r="C11" s="1372" t="s">
        <v>1636</v>
      </c>
      <c r="D11" s="1372" t="s">
        <v>141</v>
      </c>
      <c r="E11" s="1372" t="s">
        <v>1622</v>
      </c>
      <c r="F11" s="1372"/>
      <c r="G11" s="1196">
        <f>'Model outputs - Aggregate level'!F49</f>
        <v>0</v>
      </c>
    </row>
    <row r="12" spans="1:7">
      <c r="A12" s="1371"/>
      <c r="B12" s="1197" t="s">
        <v>1637</v>
      </c>
      <c r="C12" s="1372" t="s">
        <v>1638</v>
      </c>
      <c r="D12" s="1372" t="s">
        <v>141</v>
      </c>
      <c r="E12" s="1372" t="s">
        <v>1622</v>
      </c>
      <c r="F12" s="1372"/>
      <c r="G12" s="1196">
        <f>'Model outputs - Aggregate level'!F50</f>
        <v>-6.5846999999999998</v>
      </c>
    </row>
    <row r="13" spans="1:7">
      <c r="A13" s="1371"/>
      <c r="B13" s="1197" t="s">
        <v>1639</v>
      </c>
      <c r="C13" s="1372" t="s">
        <v>1640</v>
      </c>
      <c r="D13" s="1372" t="s">
        <v>141</v>
      </c>
      <c r="E13" s="1372" t="s">
        <v>1622</v>
      </c>
      <c r="F13" s="1372"/>
      <c r="G13" s="1196">
        <f>'Model outputs - Aggregate level'!F51</f>
        <v>0</v>
      </c>
    </row>
    <row r="14" spans="1:7">
      <c r="A14" s="1371"/>
      <c r="B14" s="1197" t="s">
        <v>1641</v>
      </c>
      <c r="C14" s="1372" t="s">
        <v>1642</v>
      </c>
      <c r="D14" s="1372" t="s">
        <v>141</v>
      </c>
      <c r="E14" s="1372" t="s">
        <v>1622</v>
      </c>
      <c r="F14" s="1372"/>
      <c r="G14" s="1196">
        <f>'Model outputs - Aggregate level'!F52</f>
        <v>0</v>
      </c>
    </row>
    <row r="15" spans="1:7">
      <c r="A15" s="1371"/>
      <c r="B15" s="1197" t="s">
        <v>1643</v>
      </c>
      <c r="C15" s="1372" t="s">
        <v>1644</v>
      </c>
      <c r="D15" s="1372" t="s">
        <v>141</v>
      </c>
      <c r="E15" s="1372" t="s">
        <v>1622</v>
      </c>
      <c r="F15" s="1372"/>
      <c r="G15" s="1196">
        <f>'Model outputs - Aggregate level'!F53</f>
        <v>0</v>
      </c>
    </row>
    <row r="16" spans="1:7">
      <c r="A16" s="1371"/>
      <c r="B16" s="1197" t="s">
        <v>1645</v>
      </c>
      <c r="C16" s="1372" t="s">
        <v>1646</v>
      </c>
      <c r="D16" s="1372" t="s">
        <v>141</v>
      </c>
      <c r="E16" s="1372" t="s">
        <v>1622</v>
      </c>
      <c r="F16" s="1372"/>
      <c r="G16" s="1196">
        <f>'Model outputs - Aggregate level'!F54</f>
        <v>0</v>
      </c>
    </row>
    <row r="17" spans="1:7">
      <c r="A17" s="1371"/>
      <c r="B17" s="1197" t="s">
        <v>1647</v>
      </c>
      <c r="C17" s="1372" t="s">
        <v>1648</v>
      </c>
      <c r="D17" s="1372" t="s">
        <v>141</v>
      </c>
      <c r="E17" s="1372" t="s">
        <v>1622</v>
      </c>
      <c r="F17" s="1372"/>
      <c r="G17" s="1196">
        <f>'Model outputs - Aggregate level'!F55</f>
        <v>0</v>
      </c>
    </row>
    <row r="18" spans="1:7">
      <c r="A18" s="1371"/>
      <c r="B18" s="1197" t="s">
        <v>1649</v>
      </c>
      <c r="C18" s="1372" t="s">
        <v>1650</v>
      </c>
      <c r="D18" s="1372" t="s">
        <v>141</v>
      </c>
      <c r="E18" s="1372" t="s">
        <v>1622</v>
      </c>
      <c r="F18" s="1372"/>
      <c r="G18" s="1196">
        <f>'Model outputs - Aggregate level'!F58</f>
        <v>0</v>
      </c>
    </row>
    <row r="19" spans="1:7">
      <c r="A19" s="1371"/>
      <c r="B19" s="1197" t="s">
        <v>1651</v>
      </c>
      <c r="C19" s="1372" t="s">
        <v>1652</v>
      </c>
      <c r="D19" s="1372" t="s">
        <v>141</v>
      </c>
      <c r="E19" s="1372" t="s">
        <v>1622</v>
      </c>
      <c r="F19" s="1372"/>
      <c r="G19" s="1196">
        <f>'Model outputs - Aggregate level'!F59</f>
        <v>0</v>
      </c>
    </row>
    <row r="20" spans="1:7">
      <c r="A20" s="1371"/>
      <c r="B20" s="1197" t="s">
        <v>1653</v>
      </c>
      <c r="C20" s="1372" t="s">
        <v>1654</v>
      </c>
      <c r="D20" s="1372" t="s">
        <v>141</v>
      </c>
      <c r="E20" s="1372" t="s">
        <v>1622</v>
      </c>
      <c r="F20" s="1372"/>
      <c r="G20" s="1196">
        <f>'Model outputs - Aggregate level'!F60</f>
        <v>0</v>
      </c>
    </row>
    <row r="21" spans="1:7">
      <c r="A21" s="1371"/>
      <c r="B21" s="1197" t="s">
        <v>1655</v>
      </c>
      <c r="C21" s="1372" t="s">
        <v>1656</v>
      </c>
      <c r="D21" s="1372" t="s">
        <v>141</v>
      </c>
      <c r="E21" s="1372" t="s">
        <v>1622</v>
      </c>
      <c r="F21" s="1372"/>
      <c r="G21" s="1196">
        <f>'Model outputs - Aggregate level'!F61</f>
        <v>0</v>
      </c>
    </row>
    <row r="22" spans="1:7">
      <c r="A22" s="1371"/>
      <c r="B22" s="1197" t="s">
        <v>1657</v>
      </c>
      <c r="C22" s="1372" t="s">
        <v>1658</v>
      </c>
      <c r="D22" s="1372" t="s">
        <v>141</v>
      </c>
      <c r="E22" s="1372" t="s">
        <v>1622</v>
      </c>
      <c r="F22" s="1372"/>
      <c r="G22" s="1196">
        <f>'Model outputs - Aggregate level'!F62</f>
        <v>0</v>
      </c>
    </row>
    <row r="23" spans="1:7">
      <c r="A23" s="1372"/>
      <c r="B23" s="1197" t="s">
        <v>1659</v>
      </c>
      <c r="C23" s="1372" t="s">
        <v>1660</v>
      </c>
      <c r="D23" s="1372" t="s">
        <v>141</v>
      </c>
      <c r="E23" s="1372" t="s">
        <v>1622</v>
      </c>
      <c r="F23" s="1372"/>
      <c r="G23" s="1196">
        <f>'Model outputs - Aggregate level'!F63</f>
        <v>0</v>
      </c>
    </row>
    <row r="24" spans="1:7">
      <c r="A24" s="1372"/>
      <c r="B24" s="1197" t="s">
        <v>1661</v>
      </c>
      <c r="C24" s="1372" t="s">
        <v>1662</v>
      </c>
      <c r="D24" s="1372" t="s">
        <v>141</v>
      </c>
      <c r="E24" s="1372" t="s">
        <v>1622</v>
      </c>
      <c r="F24" s="1372"/>
      <c r="G24" s="1196">
        <f>'Model outputs - Aggregate level'!F64</f>
        <v>0</v>
      </c>
    </row>
    <row r="25" spans="1:7">
      <c r="A25" s="1372"/>
      <c r="B25" s="1197" t="s">
        <v>1663</v>
      </c>
      <c r="C25" s="1372" t="s">
        <v>1664</v>
      </c>
      <c r="D25" s="1372" t="s">
        <v>991</v>
      </c>
      <c r="E25" s="1372" t="s">
        <v>1622</v>
      </c>
      <c r="F25" s="1372" t="str">
        <f>'Model outputs - interventions'!F7</f>
        <v>PR19SSC_D1</v>
      </c>
      <c r="G25" s="1196">
        <f>'Model outputs - interventions'!K7</f>
        <v>1.2</v>
      </c>
    </row>
    <row r="26" spans="1:7">
      <c r="A26" s="1372"/>
      <c r="B26" s="1197" t="s">
        <v>1665</v>
      </c>
      <c r="C26" s="1372" t="s">
        <v>1666</v>
      </c>
      <c r="D26" s="1372" t="s">
        <v>991</v>
      </c>
      <c r="E26" s="1372" t="s">
        <v>1622</v>
      </c>
      <c r="F26" s="1372" t="str">
        <f>'Model outputs - interventions'!F8</f>
        <v>PR19SSC_D2</v>
      </c>
      <c r="G26" s="1196">
        <f>'Model outputs - interventions'!K8</f>
        <v>2.5347222222222221E-3</v>
      </c>
    </row>
    <row r="27" spans="1:7">
      <c r="A27" s="1372"/>
      <c r="B27" s="1197" t="s">
        <v>1667</v>
      </c>
      <c r="C27" s="1372" t="s">
        <v>1668</v>
      </c>
      <c r="D27" s="1372" t="s">
        <v>991</v>
      </c>
      <c r="E27" s="1372" t="s">
        <v>1622</v>
      </c>
      <c r="F27" s="1372" t="str">
        <f>'Model outputs - interventions'!F9</f>
        <v>PR19SSC_C1</v>
      </c>
      <c r="G27" s="1196">
        <f>'Model outputs - interventions'!K9</f>
        <v>14.993122420907845</v>
      </c>
    </row>
    <row r="28" spans="1:7">
      <c r="A28" s="1372"/>
      <c r="B28" s="1197" t="s">
        <v>1669</v>
      </c>
      <c r="C28" s="1372" t="s">
        <v>1670</v>
      </c>
      <c r="D28" s="1372" t="s">
        <v>991</v>
      </c>
      <c r="E28" s="1372" t="s">
        <v>1622</v>
      </c>
      <c r="F28" s="1372" t="str">
        <f>'Model outputs - interventions'!F10</f>
        <v>PR19SSC_C2</v>
      </c>
      <c r="G28" s="1196">
        <f>'Model outputs - interventions'!K10</f>
        <v>14.743589743589736</v>
      </c>
    </row>
    <row r="29" spans="1:7">
      <c r="A29" s="1372"/>
      <c r="B29" s="1197" t="s">
        <v>1671</v>
      </c>
      <c r="C29" s="1372" t="s">
        <v>1672</v>
      </c>
      <c r="D29" s="1372" t="s">
        <v>991</v>
      </c>
      <c r="E29" s="1372" t="s">
        <v>1622</v>
      </c>
      <c r="F29" s="1372" t="str">
        <f>'Model outputs - interventions'!F11</f>
        <v>PR19SSC_C3</v>
      </c>
      <c r="G29" s="1196">
        <f>'Model outputs - interventions'!K11</f>
        <v>-10.116731517509736</v>
      </c>
    </row>
    <row r="30" spans="1:7">
      <c r="A30" s="1372"/>
      <c r="B30" s="1197" t="s">
        <v>1673</v>
      </c>
      <c r="C30" s="1372" t="s">
        <v>1674</v>
      </c>
      <c r="D30" s="1372" t="s">
        <v>991</v>
      </c>
      <c r="E30" s="1372" t="s">
        <v>1622</v>
      </c>
      <c r="F30" s="1372" t="str">
        <f>'Model outputs - interventions'!F12</f>
        <v>PR19SSC_C4</v>
      </c>
      <c r="G30" s="1196">
        <f>'Model outputs - interventions'!K12</f>
        <v>3.3382789317507378</v>
      </c>
    </row>
    <row r="31" spans="1:7">
      <c r="A31" s="1372"/>
      <c r="B31" s="1197" t="s">
        <v>1675</v>
      </c>
      <c r="C31" s="1372" t="s">
        <v>1676</v>
      </c>
      <c r="D31" s="1372" t="s">
        <v>991</v>
      </c>
      <c r="E31" s="1372" t="s">
        <v>1622</v>
      </c>
      <c r="F31" s="1372" t="str">
        <f>'Model outputs - interventions'!F13</f>
        <v>PR19SSC_D4</v>
      </c>
      <c r="G31" s="1196">
        <f>'Model outputs - interventions'!K13</f>
        <v>122.4</v>
      </c>
    </row>
    <row r="32" spans="1:7">
      <c r="A32" s="1372"/>
      <c r="B32" s="1197" t="s">
        <v>1677</v>
      </c>
      <c r="C32" s="1372" t="s">
        <v>1678</v>
      </c>
      <c r="D32" s="1372" t="s">
        <v>991</v>
      </c>
      <c r="E32" s="1372" t="s">
        <v>1622</v>
      </c>
      <c r="F32" s="1372" t="str">
        <f>'Model outputs - interventions'!F14</f>
        <v>PR19SSC_D5</v>
      </c>
      <c r="G32" s="1196">
        <f>'Model outputs - interventions'!K14</f>
        <v>1.47</v>
      </c>
    </row>
    <row r="33" spans="1:7">
      <c r="A33" s="1372"/>
      <c r="B33" s="1197" t="s">
        <v>1679</v>
      </c>
      <c r="C33" s="1372" t="s">
        <v>1680</v>
      </c>
      <c r="D33" s="1372" t="s">
        <v>991</v>
      </c>
      <c r="E33" s="1372" t="s">
        <v>1622</v>
      </c>
      <c r="F33" s="1372" t="str">
        <f>'Model outputs - interventions'!F15</f>
        <v>PR19SSC_B1</v>
      </c>
      <c r="G33" s="1196">
        <f>'Model outputs - interventions'!K15</f>
        <v>58000</v>
      </c>
    </row>
    <row r="34" spans="1:7">
      <c r="A34" s="1372"/>
      <c r="B34" s="1197" t="s">
        <v>1681</v>
      </c>
      <c r="C34" s="1372" t="s">
        <v>1682</v>
      </c>
      <c r="D34" s="1372" t="s">
        <v>991</v>
      </c>
      <c r="E34" s="1372" t="s">
        <v>1622</v>
      </c>
      <c r="F34" s="1372" t="str">
        <f>'Model outputs - interventions'!F16</f>
        <v>PR19SSC_B2</v>
      </c>
      <c r="G34" s="1196">
        <f>'Model outputs - interventions'!K16</f>
        <v>5</v>
      </c>
    </row>
    <row r="35" spans="1:7">
      <c r="A35" s="1372"/>
      <c r="B35" s="1197" t="s">
        <v>1683</v>
      </c>
      <c r="C35" s="1372" t="s">
        <v>1684</v>
      </c>
      <c r="D35" s="1372" t="s">
        <v>991</v>
      </c>
      <c r="E35" s="1372" t="s">
        <v>1622</v>
      </c>
      <c r="F35" s="1372" t="str">
        <f>'Model outputs - interventions'!F17</f>
        <v>PR19SSC_B3</v>
      </c>
      <c r="G35" s="1196">
        <f>'Model outputs - interventions'!K17</f>
        <v>6000</v>
      </c>
    </row>
    <row r="36" spans="1:7">
      <c r="A36" s="1372"/>
      <c r="B36" s="1197" t="s">
        <v>1685</v>
      </c>
      <c r="C36" s="1372" t="s">
        <v>1686</v>
      </c>
      <c r="D36" s="1372" t="s">
        <v>991</v>
      </c>
      <c r="E36" s="1372" t="s">
        <v>1622</v>
      </c>
      <c r="F36" s="1372" t="str">
        <f>'Model outputs - interventions'!F18</f>
        <v>PR19SSC_C5</v>
      </c>
      <c r="G36" s="1196">
        <f>'Model outputs - interventions'!K18</f>
        <v>0</v>
      </c>
    </row>
    <row r="37" spans="1:7">
      <c r="A37" s="1372"/>
      <c r="B37" s="1197" t="s">
        <v>1687</v>
      </c>
      <c r="C37" s="1372" t="s">
        <v>1688</v>
      </c>
      <c r="D37" s="1372" t="s">
        <v>991</v>
      </c>
      <c r="E37" s="1372" t="s">
        <v>1622</v>
      </c>
      <c r="F37" s="1372" t="str">
        <f>'Model outputs - interventions'!F19</f>
        <v>PR19SSC_C7</v>
      </c>
      <c r="G37" s="1196">
        <f>'Model outputs - interventions'!K19</f>
        <v>783.3</v>
      </c>
    </row>
    <row r="38" spans="1:7">
      <c r="A38" s="1372"/>
      <c r="B38" s="1197" t="s">
        <v>1689</v>
      </c>
      <c r="C38" s="1372" t="s">
        <v>1690</v>
      </c>
      <c r="D38" s="1372" t="s">
        <v>991</v>
      </c>
      <c r="E38" s="1372" t="s">
        <v>1622</v>
      </c>
      <c r="F38" s="1372" t="str">
        <f>'Model outputs - interventions'!F20</f>
        <v>PR19SSC_D6</v>
      </c>
      <c r="G38" s="1196">
        <f>'Model outputs - interventions'!K20</f>
        <v>0.6</v>
      </c>
    </row>
    <row r="39" spans="1:7">
      <c r="A39" s="1372"/>
      <c r="B39" s="1197" t="s">
        <v>1691</v>
      </c>
      <c r="C39" s="1372" t="s">
        <v>1692</v>
      </c>
      <c r="D39" s="1372" t="s">
        <v>991</v>
      </c>
      <c r="E39" s="1372" t="s">
        <v>1622</v>
      </c>
      <c r="F39" s="1372" t="str">
        <f>'Model outputs - interventions'!F21</f>
        <v>PR19SSC_D7</v>
      </c>
      <c r="G39" s="1196">
        <f>'Model outputs - interventions'!K21</f>
        <v>4</v>
      </c>
    </row>
    <row r="40" spans="1:7">
      <c r="A40" s="1372"/>
      <c r="B40" s="1197" t="s">
        <v>1693</v>
      </c>
      <c r="C40" s="1372" t="s">
        <v>1694</v>
      </c>
      <c r="D40" s="1372" t="s">
        <v>991</v>
      </c>
      <c r="E40" s="1372" t="s">
        <v>1622</v>
      </c>
      <c r="F40" s="1372" t="str">
        <f>'Model outputs - interventions'!F22</f>
        <v>PR19SSC_D8</v>
      </c>
      <c r="G40" s="1196">
        <f>'Model outputs - interventions'!K22</f>
        <v>100</v>
      </c>
    </row>
    <row r="41" spans="1:7">
      <c r="A41" s="1372"/>
      <c r="B41" s="1197" t="s">
        <v>1695</v>
      </c>
      <c r="C41" s="1372" t="s">
        <v>1696</v>
      </c>
      <c r="D41" s="1372" t="s">
        <v>991</v>
      </c>
      <c r="E41" s="1372" t="s">
        <v>1622</v>
      </c>
      <c r="F41" s="1372" t="str">
        <f>'Model outputs - interventions'!F23</f>
        <v>PR19SSC_E2</v>
      </c>
      <c r="G41" s="1196">
        <f>'Model outputs - interventions'!K23</f>
        <v>100</v>
      </c>
    </row>
    <row r="42" spans="1:7">
      <c r="A42" s="1372"/>
      <c r="B42" s="1197" t="s">
        <v>1697</v>
      </c>
      <c r="C42" s="1372" t="s">
        <v>1698</v>
      </c>
      <c r="D42" s="1372" t="s">
        <v>991</v>
      </c>
      <c r="E42" s="1372" t="s">
        <v>1622</v>
      </c>
      <c r="F42" s="1372" t="str">
        <f>'Model outputs - interventions'!F24</f>
        <v/>
      </c>
      <c r="G42" s="1196" t="str">
        <f>'Model outputs - interventions'!K24</f>
        <v/>
      </c>
    </row>
    <row r="43" spans="1:7">
      <c r="A43" s="1372"/>
      <c r="B43" s="1197" t="s">
        <v>1699</v>
      </c>
      <c r="C43" s="1372" t="s">
        <v>1700</v>
      </c>
      <c r="D43" s="1372" t="s">
        <v>991</v>
      </c>
      <c r="E43" s="1372" t="s">
        <v>1622</v>
      </c>
      <c r="F43" s="1372" t="str">
        <f>'Model outputs - interventions'!F25</f>
        <v/>
      </c>
      <c r="G43" s="1196" t="str">
        <f>'Model outputs - interventions'!K25</f>
        <v/>
      </c>
    </row>
    <row r="44" spans="1:7">
      <c r="A44" s="1372"/>
      <c r="B44" s="1197" t="s">
        <v>1701</v>
      </c>
      <c r="C44" s="1372" t="s">
        <v>1702</v>
      </c>
      <c r="D44" s="1372" t="s">
        <v>991</v>
      </c>
      <c r="E44" s="1372" t="s">
        <v>1622</v>
      </c>
      <c r="F44" s="1372" t="str">
        <f>'Model outputs - interventions'!F26</f>
        <v/>
      </c>
      <c r="G44" s="1196" t="str">
        <f>'Model outputs - interventions'!K26</f>
        <v/>
      </c>
    </row>
    <row r="45" spans="1:7">
      <c r="A45" s="1372"/>
      <c r="B45" s="1197" t="s">
        <v>1703</v>
      </c>
      <c r="C45" s="1372" t="s">
        <v>1704</v>
      </c>
      <c r="D45" s="1372" t="s">
        <v>991</v>
      </c>
      <c r="E45" s="1372" t="s">
        <v>1622</v>
      </c>
      <c r="F45" s="1372" t="str">
        <f>'Model outputs - interventions'!F27</f>
        <v/>
      </c>
      <c r="G45" s="1196" t="str">
        <f>'Model outputs - interventions'!K27</f>
        <v/>
      </c>
    </row>
    <row r="46" spans="1:7">
      <c r="A46" s="1372"/>
      <c r="B46" s="1197" t="s">
        <v>1705</v>
      </c>
      <c r="C46" s="1372" t="s">
        <v>1706</v>
      </c>
      <c r="D46" s="1372" t="s">
        <v>991</v>
      </c>
      <c r="E46" s="1372" t="s">
        <v>1622</v>
      </c>
      <c r="F46" s="1372" t="str">
        <f>'Model outputs - interventions'!F28</f>
        <v/>
      </c>
      <c r="G46" s="1196" t="str">
        <f>'Model outputs - interventions'!K28</f>
        <v/>
      </c>
    </row>
    <row r="47" spans="1:7">
      <c r="A47" s="1372"/>
      <c r="B47" s="1197" t="s">
        <v>1707</v>
      </c>
      <c r="C47" s="1372" t="s">
        <v>1708</v>
      </c>
      <c r="D47" s="1372" t="s">
        <v>991</v>
      </c>
      <c r="E47" s="1372" t="s">
        <v>1622</v>
      </c>
      <c r="F47" s="1372" t="str">
        <f>'Model outputs - interventions'!F29</f>
        <v/>
      </c>
      <c r="G47" s="1196" t="str">
        <f>'Model outputs - interventions'!K29</f>
        <v/>
      </c>
    </row>
    <row r="48" spans="1:7">
      <c r="A48" s="1372"/>
      <c r="B48" s="1197" t="s">
        <v>1709</v>
      </c>
      <c r="C48" s="1372" t="s">
        <v>1710</v>
      </c>
      <c r="D48" s="1372" t="s">
        <v>991</v>
      </c>
      <c r="E48" s="1372" t="s">
        <v>1622</v>
      </c>
      <c r="F48" s="1372" t="str">
        <f>'Model outputs - interventions'!F30</f>
        <v/>
      </c>
      <c r="G48" s="1196" t="str">
        <f>'Model outputs - interventions'!K30</f>
        <v/>
      </c>
    </row>
    <row r="49" spans="1:7">
      <c r="A49" s="1372"/>
      <c r="B49" s="1197" t="s">
        <v>1711</v>
      </c>
      <c r="C49" s="1372" t="s">
        <v>1712</v>
      </c>
      <c r="D49" s="1372" t="s">
        <v>991</v>
      </c>
      <c r="E49" s="1372" t="s">
        <v>1622</v>
      </c>
      <c r="F49" s="1372" t="str">
        <f>'Model outputs - interventions'!F31</f>
        <v/>
      </c>
      <c r="G49" s="1196" t="str">
        <f>'Model outputs - interventions'!K31</f>
        <v/>
      </c>
    </row>
    <row r="50" spans="1:7">
      <c r="A50" s="1372"/>
      <c r="B50" s="1197" t="s">
        <v>1713</v>
      </c>
      <c r="C50" s="1372" t="s">
        <v>1714</v>
      </c>
      <c r="D50" s="1372" t="s">
        <v>991</v>
      </c>
      <c r="E50" s="1372" t="s">
        <v>1622</v>
      </c>
      <c r="F50" s="1372" t="str">
        <f>'Model outputs - interventions'!F32</f>
        <v/>
      </c>
      <c r="G50" s="1196" t="str">
        <f>'Model outputs - interventions'!K32</f>
        <v/>
      </c>
    </row>
    <row r="51" spans="1:7">
      <c r="A51" s="1372"/>
      <c r="B51" s="1197" t="s">
        <v>1715</v>
      </c>
      <c r="C51" s="1372" t="s">
        <v>1716</v>
      </c>
      <c r="D51" s="1372" t="s">
        <v>991</v>
      </c>
      <c r="E51" s="1372" t="s">
        <v>1622</v>
      </c>
      <c r="F51" s="1372" t="str">
        <f>'Model outputs - interventions'!F33</f>
        <v/>
      </c>
      <c r="G51" s="1196" t="str">
        <f>'Model outputs - interventions'!K33</f>
        <v/>
      </c>
    </row>
    <row r="52" spans="1:7">
      <c r="A52" s="1372"/>
      <c r="B52" s="1197" t="s">
        <v>1717</v>
      </c>
      <c r="C52" s="1372" t="s">
        <v>1718</v>
      </c>
      <c r="D52" s="1372" t="s">
        <v>991</v>
      </c>
      <c r="E52" s="1372" t="s">
        <v>1622</v>
      </c>
      <c r="F52" s="1372" t="str">
        <f>'Model outputs - interventions'!F34</f>
        <v/>
      </c>
      <c r="G52" s="1196" t="str">
        <f>'Model outputs - interventions'!K34</f>
        <v/>
      </c>
    </row>
    <row r="53" spans="1:7">
      <c r="A53" s="1372"/>
      <c r="B53" s="1197" t="s">
        <v>1719</v>
      </c>
      <c r="C53" s="1372" t="s">
        <v>1720</v>
      </c>
      <c r="D53" s="1372" t="s">
        <v>991</v>
      </c>
      <c r="E53" s="1372" t="s">
        <v>1622</v>
      </c>
      <c r="F53" s="1372" t="str">
        <f>'Model outputs - interventions'!F35</f>
        <v/>
      </c>
      <c r="G53" s="1196" t="str">
        <f>'Model outputs - interventions'!K35</f>
        <v/>
      </c>
    </row>
    <row r="54" spans="1:7">
      <c r="A54" s="1372"/>
      <c r="B54" s="1197" t="s">
        <v>1721</v>
      </c>
      <c r="C54" s="1372" t="s">
        <v>1722</v>
      </c>
      <c r="D54" s="1372" t="s">
        <v>991</v>
      </c>
      <c r="E54" s="1372" t="s">
        <v>1622</v>
      </c>
      <c r="F54" s="1372" t="str">
        <f>'Model outputs - interventions'!F36</f>
        <v/>
      </c>
      <c r="G54" s="1196" t="str">
        <f>'Model outputs - interventions'!K36</f>
        <v/>
      </c>
    </row>
    <row r="55" spans="1:7">
      <c r="A55" s="1372"/>
      <c r="B55" s="1197" t="s">
        <v>1723</v>
      </c>
      <c r="C55" s="1372" t="s">
        <v>1724</v>
      </c>
      <c r="D55" s="1372" t="s">
        <v>991</v>
      </c>
      <c r="E55" s="1372" t="s">
        <v>1622</v>
      </c>
      <c r="F55" s="1372" t="str">
        <f>'Model outputs - interventions'!F37</f>
        <v/>
      </c>
      <c r="G55" s="1196" t="str">
        <f>'Model outputs - interventions'!K37</f>
        <v/>
      </c>
    </row>
    <row r="56" spans="1:7">
      <c r="A56" s="1372"/>
      <c r="B56" s="1197" t="s">
        <v>1725</v>
      </c>
      <c r="C56" s="1372" t="s">
        <v>1726</v>
      </c>
      <c r="D56" s="1372" t="s">
        <v>991</v>
      </c>
      <c r="E56" s="1372" t="s">
        <v>1622</v>
      </c>
      <c r="F56" s="1372" t="str">
        <f>'Model outputs - interventions'!F38</f>
        <v/>
      </c>
      <c r="G56" s="1196" t="str">
        <f>'Model outputs - interventions'!K38</f>
        <v/>
      </c>
    </row>
    <row r="57" spans="1:7">
      <c r="A57" s="1372"/>
      <c r="B57" s="1197" t="s">
        <v>1727</v>
      </c>
      <c r="C57" s="1372" t="s">
        <v>1728</v>
      </c>
      <c r="D57" s="1372" t="s">
        <v>991</v>
      </c>
      <c r="E57" s="1372" t="s">
        <v>1622</v>
      </c>
      <c r="F57" s="1372" t="str">
        <f>'Model outputs - interventions'!F39</f>
        <v/>
      </c>
      <c r="G57" s="1196" t="str">
        <f>'Model outputs - interventions'!K39</f>
        <v/>
      </c>
    </row>
    <row r="58" spans="1:7">
      <c r="A58" s="1372"/>
      <c r="B58" s="1197" t="s">
        <v>1729</v>
      </c>
      <c r="C58" s="1372" t="s">
        <v>1730</v>
      </c>
      <c r="D58" s="1372" t="s">
        <v>991</v>
      </c>
      <c r="E58" s="1372" t="s">
        <v>1622</v>
      </c>
      <c r="F58" s="1372" t="str">
        <f>'Model outputs - interventions'!F40</f>
        <v/>
      </c>
      <c r="G58" s="1196" t="str">
        <f>'Model outputs - interventions'!K40</f>
        <v/>
      </c>
    </row>
    <row r="59" spans="1:7">
      <c r="A59" s="1372"/>
      <c r="B59" s="1197" t="s">
        <v>1731</v>
      </c>
      <c r="C59" s="1372" t="s">
        <v>1732</v>
      </c>
      <c r="D59" s="1372" t="s">
        <v>991</v>
      </c>
      <c r="E59" s="1372" t="s">
        <v>1622</v>
      </c>
      <c r="F59" s="1372" t="str">
        <f>'Model outputs - interventions'!F41</f>
        <v/>
      </c>
      <c r="G59" s="1196" t="str">
        <f>'Model outputs - interventions'!K41</f>
        <v/>
      </c>
    </row>
    <row r="60" spans="1:7">
      <c r="A60" s="1372"/>
      <c r="B60" s="1197" t="s">
        <v>1733</v>
      </c>
      <c r="C60" s="1372" t="s">
        <v>1734</v>
      </c>
      <c r="D60" s="1372" t="s">
        <v>991</v>
      </c>
      <c r="E60" s="1372" t="s">
        <v>1622</v>
      </c>
      <c r="F60" s="1372" t="str">
        <f>'Model outputs - interventions'!F42</f>
        <v/>
      </c>
      <c r="G60" s="1196" t="str">
        <f>'Model outputs - interventions'!K42</f>
        <v/>
      </c>
    </row>
    <row r="61" spans="1:7">
      <c r="A61" s="1372"/>
      <c r="B61" s="1197" t="s">
        <v>1735</v>
      </c>
      <c r="C61" s="1372" t="s">
        <v>1736</v>
      </c>
      <c r="D61" s="1372" t="s">
        <v>991</v>
      </c>
      <c r="E61" s="1372" t="s">
        <v>1622</v>
      </c>
      <c r="F61" s="1372" t="str">
        <f>'Model outputs - interventions'!F43</f>
        <v/>
      </c>
      <c r="G61" s="1196" t="str">
        <f>'Model outputs - interventions'!K43</f>
        <v/>
      </c>
    </row>
    <row r="62" spans="1:7">
      <c r="A62" s="1372"/>
      <c r="B62" s="1197" t="s">
        <v>1737</v>
      </c>
      <c r="C62" s="1372" t="s">
        <v>1738</v>
      </c>
      <c r="D62" s="1372" t="s">
        <v>991</v>
      </c>
      <c r="E62" s="1372" t="s">
        <v>1622</v>
      </c>
      <c r="F62" s="1372" t="str">
        <f>'Model outputs - interventions'!F44</f>
        <v/>
      </c>
      <c r="G62" s="1196" t="str">
        <f>'Model outputs - interventions'!K44</f>
        <v/>
      </c>
    </row>
    <row r="63" spans="1:7">
      <c r="A63" s="1372"/>
      <c r="B63" s="1197" t="s">
        <v>1739</v>
      </c>
      <c r="C63" s="1372" t="s">
        <v>1740</v>
      </c>
      <c r="D63" s="1372" t="s">
        <v>991</v>
      </c>
      <c r="E63" s="1372" t="s">
        <v>1622</v>
      </c>
      <c r="F63" s="1372" t="str">
        <f>'Model outputs - interventions'!F45</f>
        <v/>
      </c>
      <c r="G63" s="1196" t="str">
        <f>'Model outputs - interventions'!K45</f>
        <v/>
      </c>
    </row>
    <row r="64" spans="1:7">
      <c r="A64" s="1372"/>
      <c r="B64" s="1197" t="s">
        <v>1741</v>
      </c>
      <c r="C64" s="1372" t="s">
        <v>1742</v>
      </c>
      <c r="D64" s="1372" t="s">
        <v>991</v>
      </c>
      <c r="E64" s="1372" t="s">
        <v>1622</v>
      </c>
      <c r="F64" s="1372" t="str">
        <f>'Model outputs - interventions'!F46</f>
        <v/>
      </c>
      <c r="G64" s="1196" t="str">
        <f>'Model outputs - interventions'!K46</f>
        <v/>
      </c>
    </row>
    <row r="65" spans="1:7">
      <c r="A65" s="1372"/>
      <c r="B65" s="1197" t="s">
        <v>1743</v>
      </c>
      <c r="C65" s="1372" t="s">
        <v>1744</v>
      </c>
      <c r="D65" s="1372" t="s">
        <v>991</v>
      </c>
      <c r="E65" s="1372" t="s">
        <v>1622</v>
      </c>
      <c r="F65" s="1372" t="str">
        <f>'Model outputs - interventions'!F47</f>
        <v/>
      </c>
      <c r="G65" s="1196" t="str">
        <f>'Model outputs - interventions'!K47</f>
        <v/>
      </c>
    </row>
    <row r="66" spans="1:7">
      <c r="A66" s="1372"/>
      <c r="B66" s="1197" t="s">
        <v>1745</v>
      </c>
      <c r="C66" s="1372" t="s">
        <v>1746</v>
      </c>
      <c r="D66" s="1372" t="s">
        <v>991</v>
      </c>
      <c r="E66" s="1372" t="s">
        <v>1622</v>
      </c>
      <c r="F66" s="1372" t="str">
        <f>'Model outputs - interventions'!F48</f>
        <v/>
      </c>
      <c r="G66" s="1196" t="str">
        <f>'Model outputs - interventions'!K48</f>
        <v/>
      </c>
    </row>
    <row r="67" spans="1:7">
      <c r="A67" s="1372"/>
      <c r="B67" s="1197" t="s">
        <v>1747</v>
      </c>
      <c r="C67" s="1372" t="s">
        <v>1748</v>
      </c>
      <c r="D67" s="1372" t="s">
        <v>991</v>
      </c>
      <c r="E67" s="1372" t="s">
        <v>1622</v>
      </c>
      <c r="F67" s="1372" t="str">
        <f>'Model outputs - interventions'!F49</f>
        <v/>
      </c>
      <c r="G67" s="1196" t="str">
        <f>'Model outputs - interventions'!K49</f>
        <v/>
      </c>
    </row>
    <row r="68" spans="1:7">
      <c r="A68" s="1372"/>
      <c r="B68" s="1197" t="s">
        <v>1749</v>
      </c>
      <c r="C68" s="1372" t="s">
        <v>1750</v>
      </c>
      <c r="D68" s="1372" t="s">
        <v>991</v>
      </c>
      <c r="E68" s="1372" t="s">
        <v>1622</v>
      </c>
      <c r="F68" s="1372" t="str">
        <f>'Model outputs - interventions'!F50</f>
        <v/>
      </c>
      <c r="G68" s="1196" t="str">
        <f>'Model outputs - interventions'!K50</f>
        <v/>
      </c>
    </row>
    <row r="69" spans="1:7">
      <c r="A69" s="1372"/>
      <c r="B69" s="1197" t="s">
        <v>1751</v>
      </c>
      <c r="C69" s="1372" t="s">
        <v>1752</v>
      </c>
      <c r="D69" s="1372" t="s">
        <v>991</v>
      </c>
      <c r="E69" s="1372" t="s">
        <v>1622</v>
      </c>
      <c r="F69" s="1372" t="str">
        <f>'Model outputs - interventions'!F51</f>
        <v/>
      </c>
      <c r="G69" s="1196" t="str">
        <f>'Model outputs - interventions'!K51</f>
        <v/>
      </c>
    </row>
    <row r="70" spans="1:7">
      <c r="A70" s="1372"/>
      <c r="B70" s="1197" t="s">
        <v>1753</v>
      </c>
      <c r="C70" s="1372" t="s">
        <v>1754</v>
      </c>
      <c r="D70" s="1372" t="s">
        <v>991</v>
      </c>
      <c r="E70" s="1372" t="s">
        <v>1622</v>
      </c>
      <c r="F70" s="1372" t="str">
        <f>'Model outputs - interventions'!F52</f>
        <v/>
      </c>
      <c r="G70" s="1196" t="str">
        <f>'Model outputs - interventions'!K52</f>
        <v/>
      </c>
    </row>
    <row r="71" spans="1:7">
      <c r="A71" s="1372"/>
      <c r="B71" s="1197" t="s">
        <v>1755</v>
      </c>
      <c r="C71" s="1372" t="s">
        <v>1756</v>
      </c>
      <c r="D71" s="1372" t="s">
        <v>141</v>
      </c>
      <c r="E71" s="1372" t="s">
        <v>1622</v>
      </c>
      <c r="F71" s="1372" t="str">
        <f>'Model outputs - interventions'!F7</f>
        <v>PR19SSC_D1</v>
      </c>
      <c r="G71" s="1196">
        <f>'Model outputs - interventions'!P7</f>
        <v>0</v>
      </c>
    </row>
    <row r="72" spans="1:7">
      <c r="A72" s="1372"/>
      <c r="B72" s="1197" t="s">
        <v>1757</v>
      </c>
      <c r="C72" s="1372" t="s">
        <v>1758</v>
      </c>
      <c r="D72" s="1372" t="s">
        <v>141</v>
      </c>
      <c r="E72" s="1372" t="s">
        <v>1622</v>
      </c>
      <c r="F72" s="1372" t="str">
        <f>'Model outputs - interventions'!F8</f>
        <v>PR19SSC_D2</v>
      </c>
      <c r="G72" s="1196">
        <f>'Model outputs - interventions'!P8</f>
        <v>0.26594999999999996</v>
      </c>
    </row>
    <row r="73" spans="1:7">
      <c r="A73" s="1372"/>
      <c r="B73" s="1197" t="s">
        <v>1759</v>
      </c>
      <c r="C73" s="1372" t="s">
        <v>1760</v>
      </c>
      <c r="D73" s="1372" t="s">
        <v>141</v>
      </c>
      <c r="E73" s="1372" t="s">
        <v>1622</v>
      </c>
      <c r="F73" s="1372" t="str">
        <f>'Model outputs - interventions'!F9</f>
        <v>PR19SSC_C1</v>
      </c>
      <c r="G73" s="1196">
        <f>'Model outputs - interventions'!P9</f>
        <v>0</v>
      </c>
    </row>
    <row r="74" spans="1:7">
      <c r="A74" s="1372"/>
      <c r="B74" s="1197" t="s">
        <v>1761</v>
      </c>
      <c r="C74" s="1372" t="s">
        <v>1762</v>
      </c>
      <c r="D74" s="1372" t="s">
        <v>141</v>
      </c>
      <c r="E74" s="1372" t="s">
        <v>1622</v>
      </c>
      <c r="F74" s="1372" t="str">
        <f>'Model outputs - interventions'!F10</f>
        <v>PR19SSC_C2</v>
      </c>
      <c r="G74" s="1196">
        <f>'Model outputs - interventions'!P10</f>
        <v>2.1100000000000001E-2</v>
      </c>
    </row>
    <row r="75" spans="1:7">
      <c r="A75" s="1372"/>
      <c r="B75" s="1197" t="s">
        <v>1763</v>
      </c>
      <c r="C75" s="1372" t="s">
        <v>1764</v>
      </c>
      <c r="D75" s="1372" t="s">
        <v>141</v>
      </c>
      <c r="E75" s="1372" t="s">
        <v>1622</v>
      </c>
      <c r="F75" s="1372" t="str">
        <f>'Model outputs - interventions'!F11</f>
        <v>PR19SSC_C3</v>
      </c>
      <c r="G75" s="1196">
        <f>'Model outputs - interventions'!P11</f>
        <v>0</v>
      </c>
    </row>
    <row r="76" spans="1:7">
      <c r="A76" s="1372"/>
      <c r="B76" s="1197" t="s">
        <v>1765</v>
      </c>
      <c r="C76" s="1372" t="s">
        <v>1766</v>
      </c>
      <c r="D76" s="1372" t="s">
        <v>141</v>
      </c>
      <c r="E76" s="1372" t="s">
        <v>1622</v>
      </c>
      <c r="F76" s="1372" t="str">
        <f>'Model outputs - interventions'!F12</f>
        <v>PR19SSC_C4</v>
      </c>
      <c r="G76" s="1196">
        <f>'Model outputs - interventions'!P12</f>
        <v>0</v>
      </c>
    </row>
    <row r="77" spans="1:7">
      <c r="A77" s="1372"/>
      <c r="B77" s="1197" t="s">
        <v>1767</v>
      </c>
      <c r="C77" s="1372" t="s">
        <v>1768</v>
      </c>
      <c r="D77" s="1372" t="s">
        <v>141</v>
      </c>
      <c r="E77" s="1372" t="s">
        <v>1622</v>
      </c>
      <c r="F77" s="1372" t="str">
        <f>'Model outputs - interventions'!F13</f>
        <v>PR19SSC_D4</v>
      </c>
      <c r="G77" s="1196">
        <f>'Model outputs - interventions'!P13</f>
        <v>0</v>
      </c>
    </row>
    <row r="78" spans="1:7">
      <c r="A78" s="1372"/>
      <c r="B78" s="1197" t="s">
        <v>1769</v>
      </c>
      <c r="C78" s="1372" t="s">
        <v>1770</v>
      </c>
      <c r="D78" s="1372" t="s">
        <v>141</v>
      </c>
      <c r="E78" s="1372" t="s">
        <v>1622</v>
      </c>
      <c r="F78" s="1372" t="str">
        <f>'Model outputs - interventions'!F14</f>
        <v>PR19SSC_D5</v>
      </c>
      <c r="G78" s="1196">
        <f>'Model outputs - interventions'!P14</f>
        <v>0.25339999999999996</v>
      </c>
    </row>
    <row r="79" spans="1:7">
      <c r="A79" s="1372"/>
      <c r="B79" s="1197" t="s">
        <v>1771</v>
      </c>
      <c r="C79" s="1372" t="s">
        <v>1772</v>
      </c>
      <c r="D79" s="1372" t="s">
        <v>141</v>
      </c>
      <c r="E79" s="1372" t="s">
        <v>1622</v>
      </c>
      <c r="F79" s="1372" t="str">
        <f>'Model outputs - interventions'!F15</f>
        <v>PR19SSC_B1</v>
      </c>
      <c r="G79" s="1196">
        <f>'Model outputs - interventions'!P15</f>
        <v>0</v>
      </c>
    </row>
    <row r="80" spans="1:7">
      <c r="A80" s="1372"/>
      <c r="B80" s="1197" t="s">
        <v>1773</v>
      </c>
      <c r="C80" s="1372" t="s">
        <v>1774</v>
      </c>
      <c r="D80" s="1372" t="s">
        <v>141</v>
      </c>
      <c r="E80" s="1372" t="s">
        <v>1622</v>
      </c>
      <c r="F80" s="1372" t="str">
        <f>'Model outputs - interventions'!F16</f>
        <v>PR19SSC_B2</v>
      </c>
      <c r="G80" s="1196">
        <f>'Model outputs - interventions'!P16</f>
        <v>0</v>
      </c>
    </row>
    <row r="81" spans="1:7">
      <c r="A81" s="1372"/>
      <c r="B81" s="1197" t="s">
        <v>1775</v>
      </c>
      <c r="C81" s="1372" t="s">
        <v>1776</v>
      </c>
      <c r="D81" s="1372" t="s">
        <v>141</v>
      </c>
      <c r="E81" s="1372" t="s">
        <v>1622</v>
      </c>
      <c r="F81" s="1372" t="str">
        <f>'Model outputs - interventions'!F17</f>
        <v>PR19SSC_B3</v>
      </c>
      <c r="G81" s="1196">
        <f>'Model outputs - interventions'!P17</f>
        <v>0</v>
      </c>
    </row>
    <row r="82" spans="1:7">
      <c r="A82" s="1372"/>
      <c r="B82" s="1197" t="s">
        <v>1777</v>
      </c>
      <c r="C82" s="1372" t="s">
        <v>1778</v>
      </c>
      <c r="D82" s="1372" t="s">
        <v>141</v>
      </c>
      <c r="E82" s="1372" t="s">
        <v>1622</v>
      </c>
      <c r="F82" s="1372" t="str">
        <f>'Model outputs - interventions'!F18</f>
        <v>PR19SSC_C5</v>
      </c>
      <c r="G82" s="1196">
        <f>'Model outputs - interventions'!P18</f>
        <v>0</v>
      </c>
    </row>
    <row r="83" spans="1:7">
      <c r="A83" s="1372"/>
      <c r="B83" s="1197" t="s">
        <v>1779</v>
      </c>
      <c r="C83" s="1372" t="s">
        <v>1780</v>
      </c>
      <c r="D83" s="1372" t="s">
        <v>141</v>
      </c>
      <c r="E83" s="1372" t="s">
        <v>1622</v>
      </c>
      <c r="F83" s="1372" t="str">
        <f>'Model outputs - interventions'!F19</f>
        <v>PR19SSC_C7</v>
      </c>
      <c r="G83" s="1196">
        <f>'Model outputs - interventions'!P19</f>
        <v>4.3750000000000004E-2</v>
      </c>
    </row>
    <row r="84" spans="1:7">
      <c r="A84" s="1372"/>
      <c r="B84" s="1197" t="s">
        <v>1781</v>
      </c>
      <c r="C84" s="1372" t="s">
        <v>1782</v>
      </c>
      <c r="D84" s="1372" t="s">
        <v>141</v>
      </c>
      <c r="E84" s="1372" t="s">
        <v>1622</v>
      </c>
      <c r="F84" s="1372" t="str">
        <f>'Model outputs - interventions'!F20</f>
        <v>PR19SSC_D6</v>
      </c>
      <c r="G84" s="1196">
        <f>'Model outputs - interventions'!P20</f>
        <v>0.14432000000000003</v>
      </c>
    </row>
    <row r="85" spans="1:7">
      <c r="A85" s="1372"/>
      <c r="B85" s="1197" t="s">
        <v>1783</v>
      </c>
      <c r="C85" s="1372" t="s">
        <v>1784</v>
      </c>
      <c r="D85" s="1372" t="s">
        <v>141</v>
      </c>
      <c r="E85" s="1372" t="s">
        <v>1622</v>
      </c>
      <c r="F85" s="1372" t="str">
        <f>'Model outputs - interventions'!F21</f>
        <v>PR19SSC_D7</v>
      </c>
      <c r="G85" s="1196">
        <f>'Model outputs - interventions'!P21</f>
        <v>0</v>
      </c>
    </row>
    <row r="86" spans="1:7">
      <c r="A86" s="1372"/>
      <c r="B86" s="1197" t="s">
        <v>1785</v>
      </c>
      <c r="C86" s="1372" t="s">
        <v>1786</v>
      </c>
      <c r="D86" s="1372" t="s">
        <v>141</v>
      </c>
      <c r="E86" s="1372" t="s">
        <v>1622</v>
      </c>
      <c r="F86" s="1372" t="str">
        <f>'Model outputs - interventions'!F22</f>
        <v>PR19SSC_D8</v>
      </c>
      <c r="G86" s="1196">
        <f>'Model outputs - interventions'!P22</f>
        <v>0</v>
      </c>
    </row>
    <row r="87" spans="1:7">
      <c r="A87" s="1372"/>
      <c r="B87" s="1197" t="s">
        <v>1787</v>
      </c>
      <c r="C87" s="1372" t="s">
        <v>1788</v>
      </c>
      <c r="D87" s="1372" t="s">
        <v>141</v>
      </c>
      <c r="E87" s="1372" t="s">
        <v>1622</v>
      </c>
      <c r="F87" s="1372" t="str">
        <f>'Model outputs - interventions'!F23</f>
        <v>PR19SSC_E2</v>
      </c>
      <c r="G87" s="1196">
        <f>'Model outputs - interventions'!P23</f>
        <v>0</v>
      </c>
    </row>
    <row r="88" spans="1:7">
      <c r="A88" s="1372"/>
      <c r="B88" s="1197" t="s">
        <v>1789</v>
      </c>
      <c r="C88" s="1372" t="s">
        <v>1790</v>
      </c>
      <c r="D88" s="1372" t="s">
        <v>141</v>
      </c>
      <c r="E88" s="1372" t="s">
        <v>1622</v>
      </c>
      <c r="F88" s="1372" t="str">
        <f>'Model outputs - interventions'!F24</f>
        <v/>
      </c>
      <c r="G88" s="1196">
        <f>'Model outputs - interventions'!P24</f>
        <v>0</v>
      </c>
    </row>
    <row r="89" spans="1:7">
      <c r="A89" s="1372"/>
      <c r="B89" s="1197" t="s">
        <v>1791</v>
      </c>
      <c r="C89" s="1372" t="s">
        <v>1792</v>
      </c>
      <c r="D89" s="1372" t="s">
        <v>141</v>
      </c>
      <c r="E89" s="1372" t="s">
        <v>1622</v>
      </c>
      <c r="F89" s="1372" t="str">
        <f>'Model outputs - interventions'!F25</f>
        <v/>
      </c>
      <c r="G89" s="1196">
        <f>'Model outputs - interventions'!P25</f>
        <v>0</v>
      </c>
    </row>
    <row r="90" spans="1:7">
      <c r="A90" s="1372"/>
      <c r="B90" s="1197" t="s">
        <v>1793</v>
      </c>
      <c r="C90" s="1372" t="s">
        <v>1794</v>
      </c>
      <c r="D90" s="1372" t="s">
        <v>141</v>
      </c>
      <c r="E90" s="1372" t="s">
        <v>1622</v>
      </c>
      <c r="F90" s="1372" t="str">
        <f>'Model outputs - interventions'!F26</f>
        <v/>
      </c>
      <c r="G90" s="1196">
        <f>'Model outputs - interventions'!P26</f>
        <v>0</v>
      </c>
    </row>
    <row r="91" spans="1:7">
      <c r="A91" s="1372"/>
      <c r="B91" s="1197" t="s">
        <v>1795</v>
      </c>
      <c r="C91" s="1372" t="s">
        <v>1796</v>
      </c>
      <c r="D91" s="1372" t="s">
        <v>141</v>
      </c>
      <c r="E91" s="1372" t="s">
        <v>1622</v>
      </c>
      <c r="F91" s="1372" t="str">
        <f>'Model outputs - interventions'!F27</f>
        <v/>
      </c>
      <c r="G91" s="1196">
        <f>'Model outputs - interventions'!P27</f>
        <v>0</v>
      </c>
    </row>
    <row r="92" spans="1:7">
      <c r="A92" s="1372"/>
      <c r="B92" s="1197" t="s">
        <v>1797</v>
      </c>
      <c r="C92" s="1372" t="s">
        <v>1798</v>
      </c>
      <c r="D92" s="1372" t="s">
        <v>141</v>
      </c>
      <c r="E92" s="1372" t="s">
        <v>1622</v>
      </c>
      <c r="F92" s="1372" t="str">
        <f>'Model outputs - interventions'!F28</f>
        <v/>
      </c>
      <c r="G92" s="1196">
        <f>'Model outputs - interventions'!P28</f>
        <v>0</v>
      </c>
    </row>
    <row r="93" spans="1:7">
      <c r="A93" s="1372"/>
      <c r="B93" s="1197" t="s">
        <v>1799</v>
      </c>
      <c r="C93" s="1372" t="s">
        <v>1800</v>
      </c>
      <c r="D93" s="1372" t="s">
        <v>141</v>
      </c>
      <c r="E93" s="1372" t="s">
        <v>1622</v>
      </c>
      <c r="F93" s="1372" t="str">
        <f>'Model outputs - interventions'!F29</f>
        <v/>
      </c>
      <c r="G93" s="1196">
        <f>'Model outputs - interventions'!P29</f>
        <v>0</v>
      </c>
    </row>
    <row r="94" spans="1:7">
      <c r="A94" s="1372"/>
      <c r="B94" s="1197" t="s">
        <v>1801</v>
      </c>
      <c r="C94" s="1372" t="s">
        <v>1802</v>
      </c>
      <c r="D94" s="1372" t="s">
        <v>141</v>
      </c>
      <c r="E94" s="1372" t="s">
        <v>1622</v>
      </c>
      <c r="F94" s="1372" t="str">
        <f>'Model outputs - interventions'!F30</f>
        <v/>
      </c>
      <c r="G94" s="1196">
        <f>'Model outputs - interventions'!P30</f>
        <v>0</v>
      </c>
    </row>
    <row r="95" spans="1:7">
      <c r="A95" s="1372"/>
      <c r="B95" s="1197" t="s">
        <v>1803</v>
      </c>
      <c r="C95" s="1372" t="s">
        <v>1804</v>
      </c>
      <c r="D95" s="1372" t="s">
        <v>141</v>
      </c>
      <c r="E95" s="1372" t="s">
        <v>1622</v>
      </c>
      <c r="F95" s="1372" t="str">
        <f>'Model outputs - interventions'!F31</f>
        <v/>
      </c>
      <c r="G95" s="1196">
        <f>'Model outputs - interventions'!P31</f>
        <v>0</v>
      </c>
    </row>
    <row r="96" spans="1:7">
      <c r="A96" s="1372"/>
      <c r="B96" s="1197" t="s">
        <v>1805</v>
      </c>
      <c r="C96" s="1372" t="s">
        <v>1806</v>
      </c>
      <c r="D96" s="1372" t="s">
        <v>141</v>
      </c>
      <c r="E96" s="1372" t="s">
        <v>1622</v>
      </c>
      <c r="F96" s="1372" t="str">
        <f>'Model outputs - interventions'!F32</f>
        <v/>
      </c>
      <c r="G96" s="1196">
        <f>'Model outputs - interventions'!P32</f>
        <v>0</v>
      </c>
    </row>
    <row r="97" spans="1:7">
      <c r="A97" s="1372"/>
      <c r="B97" s="1197" t="s">
        <v>1807</v>
      </c>
      <c r="C97" s="1372" t="s">
        <v>1808</v>
      </c>
      <c r="D97" s="1372" t="s">
        <v>141</v>
      </c>
      <c r="E97" s="1372" t="s">
        <v>1622</v>
      </c>
      <c r="F97" s="1372" t="str">
        <f>'Model outputs - interventions'!F33</f>
        <v/>
      </c>
      <c r="G97" s="1196">
        <f>'Model outputs - interventions'!P33</f>
        <v>0</v>
      </c>
    </row>
    <row r="98" spans="1:7">
      <c r="A98" s="1372"/>
      <c r="B98" s="1197" t="s">
        <v>1809</v>
      </c>
      <c r="C98" s="1372" t="s">
        <v>1810</v>
      </c>
      <c r="D98" s="1372" t="s">
        <v>141</v>
      </c>
      <c r="E98" s="1372" t="s">
        <v>1622</v>
      </c>
      <c r="F98" s="1372" t="str">
        <f>'Model outputs - interventions'!F34</f>
        <v/>
      </c>
      <c r="G98" s="1196">
        <f>'Model outputs - interventions'!P34</f>
        <v>0</v>
      </c>
    </row>
    <row r="99" spans="1:7">
      <c r="A99" s="1372"/>
      <c r="B99" s="1197" t="s">
        <v>1811</v>
      </c>
      <c r="C99" s="1372" t="s">
        <v>1812</v>
      </c>
      <c r="D99" s="1372" t="s">
        <v>141</v>
      </c>
      <c r="E99" s="1372" t="s">
        <v>1622</v>
      </c>
      <c r="F99" s="1372" t="str">
        <f>'Model outputs - interventions'!F35</f>
        <v/>
      </c>
      <c r="G99" s="1196">
        <f>'Model outputs - interventions'!P35</f>
        <v>0</v>
      </c>
    </row>
    <row r="100" spans="1:7">
      <c r="A100" s="1372"/>
      <c r="B100" s="1197" t="s">
        <v>1813</v>
      </c>
      <c r="C100" s="1372" t="s">
        <v>1814</v>
      </c>
      <c r="D100" s="1372" t="s">
        <v>141</v>
      </c>
      <c r="E100" s="1372" t="s">
        <v>1622</v>
      </c>
      <c r="F100" s="1372" t="str">
        <f>'Model outputs - interventions'!F36</f>
        <v/>
      </c>
      <c r="G100" s="1196">
        <f>'Model outputs - interventions'!P36</f>
        <v>0</v>
      </c>
    </row>
    <row r="101" spans="1:7">
      <c r="A101" s="1372"/>
      <c r="B101" s="1197" t="s">
        <v>1815</v>
      </c>
      <c r="C101" s="1372" t="s">
        <v>1816</v>
      </c>
      <c r="D101" s="1372" t="s">
        <v>141</v>
      </c>
      <c r="E101" s="1372" t="s">
        <v>1622</v>
      </c>
      <c r="F101" s="1372" t="str">
        <f>'Model outputs - interventions'!F37</f>
        <v/>
      </c>
      <c r="G101" s="1196">
        <f>'Model outputs - interventions'!P37</f>
        <v>0</v>
      </c>
    </row>
    <row r="102" spans="1:7">
      <c r="A102" s="1372"/>
      <c r="B102" s="1197" t="s">
        <v>1817</v>
      </c>
      <c r="C102" s="1372" t="s">
        <v>1818</v>
      </c>
      <c r="D102" s="1372" t="s">
        <v>141</v>
      </c>
      <c r="E102" s="1372" t="s">
        <v>1622</v>
      </c>
      <c r="F102" s="1372" t="str">
        <f>'Model outputs - interventions'!F38</f>
        <v/>
      </c>
      <c r="G102" s="1196">
        <f>'Model outputs - interventions'!P38</f>
        <v>0</v>
      </c>
    </row>
    <row r="103" spans="1:7">
      <c r="A103" s="1372"/>
      <c r="B103" s="1197" t="s">
        <v>1819</v>
      </c>
      <c r="C103" s="1372" t="s">
        <v>1820</v>
      </c>
      <c r="D103" s="1372" t="s">
        <v>141</v>
      </c>
      <c r="E103" s="1372" t="s">
        <v>1622</v>
      </c>
      <c r="F103" s="1372" t="str">
        <f>'Model outputs - interventions'!F39</f>
        <v/>
      </c>
      <c r="G103" s="1196">
        <f>'Model outputs - interventions'!P39</f>
        <v>0</v>
      </c>
    </row>
    <row r="104" spans="1:7">
      <c r="A104" s="1372"/>
      <c r="B104" s="1197" t="s">
        <v>1821</v>
      </c>
      <c r="C104" s="1372" t="s">
        <v>1822</v>
      </c>
      <c r="D104" s="1372" t="s">
        <v>141</v>
      </c>
      <c r="E104" s="1372" t="s">
        <v>1622</v>
      </c>
      <c r="F104" s="1372" t="str">
        <f>'Model outputs - interventions'!F40</f>
        <v/>
      </c>
      <c r="G104" s="1196">
        <f>'Model outputs - interventions'!P40</f>
        <v>0</v>
      </c>
    </row>
    <row r="105" spans="1:7">
      <c r="A105" s="1372"/>
      <c r="B105" s="1197" t="s">
        <v>1823</v>
      </c>
      <c r="C105" s="1372" t="s">
        <v>1824</v>
      </c>
      <c r="D105" s="1372" t="s">
        <v>141</v>
      </c>
      <c r="E105" s="1372" t="s">
        <v>1622</v>
      </c>
      <c r="F105" s="1372" t="str">
        <f>'Model outputs - interventions'!F41</f>
        <v/>
      </c>
      <c r="G105" s="1196">
        <f>'Model outputs - interventions'!P41</f>
        <v>0</v>
      </c>
    </row>
    <row r="106" spans="1:7">
      <c r="A106" s="1372"/>
      <c r="B106" s="1197" t="s">
        <v>1825</v>
      </c>
      <c r="C106" s="1372" t="s">
        <v>1826</v>
      </c>
      <c r="D106" s="1372" t="s">
        <v>141</v>
      </c>
      <c r="E106" s="1372" t="s">
        <v>1622</v>
      </c>
      <c r="F106" s="1372" t="str">
        <f>'Model outputs - interventions'!F42</f>
        <v/>
      </c>
      <c r="G106" s="1196">
        <f>'Model outputs - interventions'!P42</f>
        <v>0</v>
      </c>
    </row>
    <row r="107" spans="1:7">
      <c r="A107" s="1372"/>
      <c r="B107" s="1197" t="s">
        <v>1827</v>
      </c>
      <c r="C107" s="1372" t="s">
        <v>1828</v>
      </c>
      <c r="D107" s="1372" t="s">
        <v>141</v>
      </c>
      <c r="E107" s="1372" t="s">
        <v>1622</v>
      </c>
      <c r="F107" s="1372" t="str">
        <f>'Model outputs - interventions'!F43</f>
        <v/>
      </c>
      <c r="G107" s="1196">
        <f>'Model outputs - interventions'!P43</f>
        <v>0</v>
      </c>
    </row>
    <row r="108" spans="1:7">
      <c r="A108" s="1372"/>
      <c r="B108" s="1197" t="s">
        <v>1829</v>
      </c>
      <c r="C108" s="1372" t="s">
        <v>1830</v>
      </c>
      <c r="D108" s="1372" t="s">
        <v>141</v>
      </c>
      <c r="E108" s="1372" t="s">
        <v>1622</v>
      </c>
      <c r="F108" s="1372" t="str">
        <f>'Model outputs - interventions'!F44</f>
        <v/>
      </c>
      <c r="G108" s="1196">
        <f>'Model outputs - interventions'!P44</f>
        <v>0</v>
      </c>
    </row>
    <row r="109" spans="1:7">
      <c r="A109" s="1372"/>
      <c r="B109" s="1197" t="s">
        <v>1831</v>
      </c>
      <c r="C109" s="1372" t="s">
        <v>1832</v>
      </c>
      <c r="D109" s="1372" t="s">
        <v>141</v>
      </c>
      <c r="E109" s="1372" t="s">
        <v>1622</v>
      </c>
      <c r="F109" s="1372" t="str">
        <f>'Model outputs - interventions'!F45</f>
        <v/>
      </c>
      <c r="G109" s="1196">
        <f>'Model outputs - interventions'!P45</f>
        <v>0</v>
      </c>
    </row>
    <row r="110" spans="1:7">
      <c r="A110" s="1372"/>
      <c r="B110" s="1197" t="s">
        <v>1833</v>
      </c>
      <c r="C110" s="1372" t="s">
        <v>1834</v>
      </c>
      <c r="D110" s="1372" t="s">
        <v>141</v>
      </c>
      <c r="E110" s="1372" t="s">
        <v>1622</v>
      </c>
      <c r="F110" s="1372" t="str">
        <f>'Model outputs - interventions'!F46</f>
        <v/>
      </c>
      <c r="G110" s="1196">
        <f>'Model outputs - interventions'!P46</f>
        <v>0</v>
      </c>
    </row>
    <row r="111" spans="1:7">
      <c r="A111" s="1372"/>
      <c r="B111" s="1197" t="s">
        <v>1835</v>
      </c>
      <c r="C111" s="1372" t="s">
        <v>1836</v>
      </c>
      <c r="D111" s="1372" t="s">
        <v>141</v>
      </c>
      <c r="E111" s="1372" t="s">
        <v>1622</v>
      </c>
      <c r="F111" s="1372" t="str">
        <f>'Model outputs - interventions'!F47</f>
        <v/>
      </c>
      <c r="G111" s="1196">
        <f>'Model outputs - interventions'!P47</f>
        <v>0</v>
      </c>
    </row>
    <row r="112" spans="1:7">
      <c r="A112" s="1372"/>
      <c r="B112" s="1197" t="s">
        <v>1837</v>
      </c>
      <c r="C112" s="1372" t="s">
        <v>1838</v>
      </c>
      <c r="D112" s="1372" t="s">
        <v>141</v>
      </c>
      <c r="E112" s="1372" t="s">
        <v>1622</v>
      </c>
      <c r="F112" s="1372" t="str">
        <f>'Model outputs - interventions'!F48</f>
        <v/>
      </c>
      <c r="G112" s="1196">
        <f>'Model outputs - interventions'!P48</f>
        <v>0</v>
      </c>
    </row>
    <row r="113" spans="1:7">
      <c r="A113" s="1372"/>
      <c r="B113" s="1197" t="s">
        <v>1839</v>
      </c>
      <c r="C113" s="1372" t="s">
        <v>1840</v>
      </c>
      <c r="D113" s="1372" t="s">
        <v>141</v>
      </c>
      <c r="E113" s="1372" t="s">
        <v>1622</v>
      </c>
      <c r="F113" s="1372" t="str">
        <f>'Model outputs - interventions'!F49</f>
        <v/>
      </c>
      <c r="G113" s="1196">
        <f>'Model outputs - interventions'!P49</f>
        <v>0</v>
      </c>
    </row>
    <row r="114" spans="1:7">
      <c r="A114" s="1372"/>
      <c r="B114" s="1197" t="s">
        <v>1841</v>
      </c>
      <c r="C114" s="1372" t="s">
        <v>1842</v>
      </c>
      <c r="D114" s="1372" t="s">
        <v>141</v>
      </c>
      <c r="E114" s="1372" t="s">
        <v>1622</v>
      </c>
      <c r="F114" s="1372" t="str">
        <f>'Model outputs - interventions'!F50</f>
        <v/>
      </c>
      <c r="G114" s="1196">
        <f>'Model outputs - interventions'!P50</f>
        <v>0</v>
      </c>
    </row>
    <row r="115" spans="1:7">
      <c r="A115" s="1372"/>
      <c r="B115" s="1197" t="s">
        <v>1843</v>
      </c>
      <c r="C115" s="1372" t="s">
        <v>1844</v>
      </c>
      <c r="D115" s="1372" t="s">
        <v>141</v>
      </c>
      <c r="E115" s="1372" t="s">
        <v>1622</v>
      </c>
      <c r="F115" s="1372" t="str">
        <f>'Model outputs - interventions'!F51</f>
        <v/>
      </c>
      <c r="G115" s="1196">
        <f>'Model outputs - interventions'!P51</f>
        <v>0</v>
      </c>
    </row>
    <row r="116" spans="1:7">
      <c r="A116" s="1372"/>
      <c r="B116" s="1197" t="s">
        <v>1845</v>
      </c>
      <c r="C116" s="1372" t="s">
        <v>1846</v>
      </c>
      <c r="D116" s="1372" t="s">
        <v>141</v>
      </c>
      <c r="E116" s="1372" t="s">
        <v>1622</v>
      </c>
      <c r="F116" s="1372" t="str">
        <f>'Model outputs - interventions'!F52</f>
        <v/>
      </c>
      <c r="G116" s="1196">
        <f>'Model outputs - interventions'!P52</f>
        <v>0</v>
      </c>
    </row>
    <row r="117" spans="1:7">
      <c r="A117" s="1372"/>
      <c r="B117" s="1372" t="s">
        <v>1847</v>
      </c>
      <c r="C117" s="1372" t="s">
        <v>1848</v>
      </c>
      <c r="D117" s="1372" t="s">
        <v>1052</v>
      </c>
      <c r="E117" s="1372" t="s">
        <v>1622</v>
      </c>
      <c r="F117" s="1372"/>
      <c r="G117" s="1374" t="str">
        <f ca="1">CONCATENATE("[…]", TEXT(NOW(),"dd/mm/yyy hh:mm:ss"))</f>
        <v>[…]15/09/2023 13:28:42</v>
      </c>
    </row>
    <row r="118" spans="1:7">
      <c r="A118" s="1372"/>
      <c r="B118" s="1372" t="s">
        <v>1849</v>
      </c>
      <c r="C118" s="1372" t="s">
        <v>1850</v>
      </c>
      <c r="D118" s="1372" t="s">
        <v>1052</v>
      </c>
      <c r="E118" s="1372" t="s">
        <v>1622</v>
      </c>
      <c r="F118" s="1372"/>
      <c r="G118" s="1506" t="str">
        <f ca="1">MID(CELL("filename",A1),SEARCH("[",CELL("filename",A1))+1,SEARCH(".",CELL("filename",A1))-1-SEARCH("[",CELL("filename",A1)))</f>
        <v>For-Business-Plan-use_PR19IPD01_ODI-performance-model-v1</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26.25" customHeight="1">
      <c r="A1" s="688" t="s">
        <v>1851</v>
      </c>
      <c r="B1" s="381"/>
      <c r="C1" s="380"/>
      <c r="D1" s="44"/>
      <c r="E1" s="44"/>
      <c r="F1" s="44"/>
      <c r="G1" s="382"/>
      <c r="H1" s="383" t="s">
        <v>106</v>
      </c>
      <c r="I1" s="383" t="s">
        <v>1018</v>
      </c>
      <c r="J1" s="384" t="s">
        <v>972</v>
      </c>
      <c r="K1" s="384" t="s">
        <v>1022</v>
      </c>
      <c r="L1" s="384" t="s">
        <v>969</v>
      </c>
      <c r="M1" s="384" t="s">
        <v>990</v>
      </c>
      <c r="N1" s="384" t="s">
        <v>1026</v>
      </c>
      <c r="O1" s="384" t="s">
        <v>1029</v>
      </c>
      <c r="P1" s="384" t="s">
        <v>1033</v>
      </c>
      <c r="Q1" s="384" t="s">
        <v>996</v>
      </c>
      <c r="R1" s="385" t="s">
        <v>1036</v>
      </c>
      <c r="S1" s="384" t="s">
        <v>993</v>
      </c>
      <c r="T1" s="385" t="s">
        <v>999</v>
      </c>
      <c r="U1" s="384" t="s">
        <v>1003</v>
      </c>
      <c r="V1" s="384" t="s">
        <v>1008</v>
      </c>
      <c r="W1" s="384" t="s">
        <v>982</v>
      </c>
      <c r="X1" s="386" t="s">
        <v>1012</v>
      </c>
      <c r="Y1" s="384" t="s">
        <v>1015</v>
      </c>
      <c r="Z1" s="386" t="s">
        <v>106</v>
      </c>
      <c r="AA1" s="385"/>
      <c r="AB1" s="385"/>
      <c r="AC1" s="385"/>
      <c r="AD1" s="385"/>
      <c r="AE1" s="385"/>
      <c r="AF1" s="385"/>
      <c r="AG1" s="384"/>
      <c r="AH1" s="384"/>
      <c r="AI1" s="384"/>
      <c r="AJ1" s="384"/>
      <c r="AK1" s="384"/>
      <c r="AL1" s="384"/>
      <c r="AM1" s="384"/>
      <c r="AN1" s="384"/>
      <c r="AO1" s="384"/>
      <c r="AP1" s="384"/>
      <c r="AQ1" s="384"/>
      <c r="AR1" s="384"/>
      <c r="AS1" s="387" t="s">
        <v>106</v>
      </c>
      <c r="AT1" s="384"/>
      <c r="AU1" s="384"/>
      <c r="AV1" s="384"/>
      <c r="AW1" s="384"/>
      <c r="AX1" s="384"/>
      <c r="AY1" s="384"/>
      <c r="AZ1" s="384"/>
      <c r="BA1" s="384"/>
      <c r="BB1" s="384"/>
      <c r="BC1" s="384"/>
      <c r="BD1" s="384"/>
      <c r="BE1" s="384"/>
      <c r="BF1" s="384"/>
      <c r="BG1" s="384"/>
      <c r="BH1" s="384"/>
      <c r="BI1" s="384"/>
      <c r="BJ1" s="384"/>
      <c r="BK1" s="388" t="s">
        <v>106</v>
      </c>
      <c r="BL1" s="385"/>
      <c r="BM1" s="385"/>
      <c r="BN1" s="385"/>
      <c r="BO1" s="385"/>
      <c r="BP1" s="385"/>
      <c r="BQ1" s="386"/>
      <c r="BR1" s="386"/>
      <c r="BS1" s="386"/>
      <c r="BT1" s="386"/>
      <c r="BU1" s="386"/>
      <c r="BV1" s="386"/>
      <c r="BW1" s="386"/>
      <c r="BX1" s="386"/>
      <c r="BY1" s="386"/>
      <c r="BZ1" s="386"/>
      <c r="CA1" s="388" t="s">
        <v>106</v>
      </c>
      <c r="CB1" s="386"/>
      <c r="CC1" s="386"/>
      <c r="CD1" s="386"/>
      <c r="CE1" s="386"/>
      <c r="CF1" s="386"/>
      <c r="CG1" s="386"/>
      <c r="CH1" s="386"/>
      <c r="CI1" s="386"/>
      <c r="CJ1" s="386"/>
      <c r="CK1" s="386"/>
      <c r="CL1" s="386"/>
      <c r="CM1" s="386"/>
      <c r="CN1" s="386"/>
      <c r="CO1" s="386"/>
      <c r="CP1" s="386"/>
      <c r="CQ1" s="386"/>
      <c r="CR1" s="386"/>
      <c r="CS1" s="386"/>
      <c r="CT1" s="386"/>
      <c r="CU1" s="383" t="s">
        <v>106</v>
      </c>
      <c r="CV1" s="386"/>
      <c r="CW1" s="386"/>
      <c r="CX1" s="386"/>
      <c r="CY1" s="386"/>
      <c r="CZ1" s="386"/>
      <c r="DA1" s="386"/>
      <c r="DB1" s="386"/>
      <c r="DC1" s="385"/>
      <c r="DD1" s="386"/>
      <c r="DE1" s="388" t="s">
        <v>106</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192">
        <v>7</v>
      </c>
      <c r="J3" s="2193"/>
      <c r="K3" s="2193"/>
      <c r="L3" s="2193"/>
      <c r="M3" s="2193"/>
      <c r="N3" s="2193"/>
      <c r="O3" s="2193"/>
      <c r="P3" s="2193"/>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190">
        <v>31</v>
      </c>
      <c r="AH3" s="2191">
        <v>34</v>
      </c>
      <c r="AI3" s="2191">
        <v>35</v>
      </c>
      <c r="AJ3" s="2191">
        <v>36</v>
      </c>
      <c r="AK3" s="2191">
        <v>37</v>
      </c>
      <c r="AL3" s="2191">
        <v>38</v>
      </c>
      <c r="AM3" s="2191">
        <v>39</v>
      </c>
      <c r="AN3" s="2191">
        <v>40</v>
      </c>
      <c r="AO3" s="2191">
        <v>41</v>
      </c>
      <c r="AP3" s="2194">
        <v>42</v>
      </c>
      <c r="AQ3" s="2190">
        <v>41</v>
      </c>
      <c r="AR3" s="2191">
        <v>44</v>
      </c>
      <c r="AS3" s="2191">
        <v>45</v>
      </c>
      <c r="AT3" s="2191">
        <v>46</v>
      </c>
      <c r="AU3" s="2194">
        <v>47</v>
      </c>
      <c r="AV3" s="2190">
        <v>46</v>
      </c>
      <c r="AW3" s="2191">
        <v>49</v>
      </c>
      <c r="AX3" s="2191">
        <v>50</v>
      </c>
      <c r="AY3" s="2191">
        <v>51</v>
      </c>
      <c r="AZ3" s="2191">
        <v>52</v>
      </c>
      <c r="BA3" s="2191">
        <v>53</v>
      </c>
      <c r="BB3" s="2191">
        <v>54</v>
      </c>
      <c r="BC3" s="2191">
        <v>55</v>
      </c>
      <c r="BD3" s="2191">
        <v>56</v>
      </c>
      <c r="BE3" s="2191">
        <v>57</v>
      </c>
      <c r="BF3" s="2191">
        <v>58</v>
      </c>
      <c r="BG3" s="2191">
        <v>59</v>
      </c>
      <c r="BH3" s="2191">
        <v>60</v>
      </c>
      <c r="BI3" s="2191">
        <v>61</v>
      </c>
      <c r="BJ3" s="2191">
        <v>62</v>
      </c>
      <c r="BK3" s="2194">
        <v>63</v>
      </c>
      <c r="BL3" s="2190">
        <v>62</v>
      </c>
      <c r="BM3" s="2191">
        <v>65</v>
      </c>
      <c r="BN3" s="2191">
        <v>66</v>
      </c>
      <c r="BO3" s="2191">
        <v>67</v>
      </c>
      <c r="BP3" s="2194">
        <v>68</v>
      </c>
      <c r="BQ3" s="2190">
        <v>67</v>
      </c>
      <c r="BR3" s="2191">
        <v>70</v>
      </c>
      <c r="BS3" s="2191">
        <v>71</v>
      </c>
      <c r="BT3" s="2191">
        <v>72</v>
      </c>
      <c r="BU3" s="2194">
        <v>73</v>
      </c>
      <c r="BV3" s="2190">
        <v>72</v>
      </c>
      <c r="BW3" s="2191">
        <v>75</v>
      </c>
      <c r="BX3" s="2191">
        <v>76</v>
      </c>
      <c r="BY3" s="2191">
        <v>77</v>
      </c>
      <c r="BZ3" s="2194">
        <v>78</v>
      </c>
      <c r="CA3" s="2190">
        <v>77</v>
      </c>
      <c r="CB3" s="2191">
        <v>80</v>
      </c>
      <c r="CC3" s="2191">
        <v>81</v>
      </c>
      <c r="CD3" s="2191">
        <v>82</v>
      </c>
      <c r="CE3" s="2194">
        <v>83</v>
      </c>
      <c r="CF3" s="2190">
        <v>82</v>
      </c>
      <c r="CG3" s="2191">
        <v>85</v>
      </c>
      <c r="CH3" s="2191">
        <v>86</v>
      </c>
      <c r="CI3" s="2191">
        <v>87</v>
      </c>
      <c r="CJ3" s="2194">
        <v>88</v>
      </c>
      <c r="CK3" s="2190">
        <v>87</v>
      </c>
      <c r="CL3" s="2191">
        <v>90</v>
      </c>
      <c r="CM3" s="2191">
        <v>91</v>
      </c>
      <c r="CN3" s="2191">
        <v>92</v>
      </c>
      <c r="CO3" s="2194">
        <v>93</v>
      </c>
      <c r="CP3" s="2190">
        <v>92</v>
      </c>
      <c r="CQ3" s="2191">
        <v>95</v>
      </c>
      <c r="CR3" s="2191">
        <v>96</v>
      </c>
      <c r="CS3" s="2191">
        <v>97</v>
      </c>
      <c r="CT3" s="2194">
        <v>98</v>
      </c>
      <c r="CU3" s="2190">
        <v>97</v>
      </c>
      <c r="CV3" s="2191"/>
      <c r="CW3" s="2191"/>
      <c r="CX3" s="703">
        <v>100</v>
      </c>
      <c r="CY3" s="2190">
        <v>101</v>
      </c>
      <c r="CZ3" s="2191"/>
      <c r="DA3" s="2191"/>
      <c r="DB3" s="703">
        <v>104</v>
      </c>
      <c r="DC3" s="2145">
        <v>105</v>
      </c>
      <c r="DD3" s="703">
        <v>106</v>
      </c>
      <c r="DE3" s="695">
        <v>107</v>
      </c>
    </row>
    <row r="4" spans="1:109" s="53" customFormat="1" ht="15" customHeight="1">
      <c r="A4" s="704"/>
      <c r="B4" s="705"/>
      <c r="C4" s="706" t="s">
        <v>1852</v>
      </c>
      <c r="D4" s="707" t="s">
        <v>961</v>
      </c>
      <c r="E4" s="708" t="s">
        <v>961</v>
      </c>
      <c r="F4" s="2142" t="s">
        <v>961</v>
      </c>
      <c r="G4" s="709" t="s">
        <v>961</v>
      </c>
      <c r="H4" s="710" t="s">
        <v>961</v>
      </c>
      <c r="I4" s="2198"/>
      <c r="J4" s="2199"/>
      <c r="K4" s="2199"/>
      <c r="L4" s="2199"/>
      <c r="M4" s="2199"/>
      <c r="N4" s="2199"/>
      <c r="O4" s="2199"/>
      <c r="P4" s="2199"/>
      <c r="Q4" s="2143"/>
      <c r="R4" s="2141" t="s">
        <v>961</v>
      </c>
      <c r="S4" s="708" t="s">
        <v>961</v>
      </c>
      <c r="T4" s="2143" t="s">
        <v>961</v>
      </c>
      <c r="U4" s="708" t="s">
        <v>961</v>
      </c>
      <c r="V4" s="708" t="s">
        <v>961</v>
      </c>
      <c r="W4" s="708" t="s">
        <v>961</v>
      </c>
      <c r="X4" s="711" t="s">
        <v>961</v>
      </c>
      <c r="Y4" s="712" t="s">
        <v>961</v>
      </c>
      <c r="Z4" s="709" t="s">
        <v>961</v>
      </c>
      <c r="AA4" s="2142" t="s">
        <v>961</v>
      </c>
      <c r="AB4" s="2142" t="s">
        <v>961</v>
      </c>
      <c r="AC4" s="2142" t="s">
        <v>961</v>
      </c>
      <c r="AD4" s="2142" t="s">
        <v>961</v>
      </c>
      <c r="AE4" s="2142" t="s">
        <v>961</v>
      </c>
      <c r="AF4" s="706" t="s">
        <v>973</v>
      </c>
      <c r="AG4" s="2195" t="s">
        <v>973</v>
      </c>
      <c r="AH4" s="2196"/>
      <c r="AI4" s="2196"/>
      <c r="AJ4" s="2196"/>
      <c r="AK4" s="2196"/>
      <c r="AL4" s="2196"/>
      <c r="AM4" s="2196"/>
      <c r="AN4" s="2196"/>
      <c r="AO4" s="2196"/>
      <c r="AP4" s="2197"/>
      <c r="AQ4" s="2195" t="s">
        <v>973</v>
      </c>
      <c r="AR4" s="2196"/>
      <c r="AS4" s="2196"/>
      <c r="AT4" s="2196"/>
      <c r="AU4" s="2197"/>
      <c r="AV4" s="2195" t="s">
        <v>973</v>
      </c>
      <c r="AW4" s="2196"/>
      <c r="AX4" s="2196"/>
      <c r="AY4" s="2196"/>
      <c r="AZ4" s="2196"/>
      <c r="BA4" s="2196"/>
      <c r="BB4" s="2196"/>
      <c r="BC4" s="2196"/>
      <c r="BD4" s="2196"/>
      <c r="BE4" s="2196"/>
      <c r="BF4" s="2196"/>
      <c r="BG4" s="2196"/>
      <c r="BH4" s="2196"/>
      <c r="BI4" s="2196"/>
      <c r="BJ4" s="2196"/>
      <c r="BK4" s="2197"/>
      <c r="BL4" s="2195" t="s">
        <v>973</v>
      </c>
      <c r="BM4" s="2196"/>
      <c r="BN4" s="2196"/>
      <c r="BO4" s="2196"/>
      <c r="BP4" s="2197"/>
      <c r="BQ4" s="2195" t="s">
        <v>973</v>
      </c>
      <c r="BR4" s="2196"/>
      <c r="BS4" s="2196"/>
      <c r="BT4" s="2196"/>
      <c r="BU4" s="2197"/>
      <c r="BV4" s="2195" t="s">
        <v>973</v>
      </c>
      <c r="BW4" s="2196"/>
      <c r="BX4" s="2196"/>
      <c r="BY4" s="2196"/>
      <c r="BZ4" s="2197"/>
      <c r="CA4" s="2195" t="s">
        <v>973</v>
      </c>
      <c r="CB4" s="2196"/>
      <c r="CC4" s="2196"/>
      <c r="CD4" s="2196"/>
      <c r="CE4" s="2197"/>
      <c r="CF4" s="2195" t="s">
        <v>973</v>
      </c>
      <c r="CG4" s="2196"/>
      <c r="CH4" s="2196"/>
      <c r="CI4" s="2196"/>
      <c r="CJ4" s="2197"/>
      <c r="CK4" s="2195" t="s">
        <v>973</v>
      </c>
      <c r="CL4" s="2196"/>
      <c r="CM4" s="2196"/>
      <c r="CN4" s="2196"/>
      <c r="CO4" s="2197"/>
      <c r="CP4" s="2195" t="s">
        <v>973</v>
      </c>
      <c r="CQ4" s="2196"/>
      <c r="CR4" s="2196"/>
      <c r="CS4" s="2196"/>
      <c r="CT4" s="2197"/>
      <c r="CU4" s="713" t="s">
        <v>973</v>
      </c>
      <c r="CV4" s="714" t="s">
        <v>973</v>
      </c>
      <c r="CW4" s="715" t="s">
        <v>973</v>
      </c>
      <c r="CX4" s="716" t="s">
        <v>973</v>
      </c>
      <c r="CY4" s="713" t="s">
        <v>973</v>
      </c>
      <c r="CZ4" s="714" t="s">
        <v>973</v>
      </c>
      <c r="DA4" s="715" t="s">
        <v>973</v>
      </c>
      <c r="DB4" s="716" t="s">
        <v>973</v>
      </c>
      <c r="DC4" s="2142" t="s">
        <v>973</v>
      </c>
      <c r="DD4" s="717" t="s">
        <v>973</v>
      </c>
      <c r="DE4" s="706" t="s">
        <v>973</v>
      </c>
    </row>
    <row r="5" spans="1:109" s="54" customFormat="1" ht="40.950000000000003" customHeight="1">
      <c r="A5" s="718"/>
      <c r="B5" s="705"/>
      <c r="C5" s="719"/>
      <c r="D5" s="720"/>
      <c r="E5" s="721"/>
      <c r="F5" s="722"/>
      <c r="G5" s="723"/>
      <c r="H5" s="724"/>
      <c r="I5" s="2203" t="s">
        <v>1853</v>
      </c>
      <c r="J5" s="2204"/>
      <c r="K5" s="2204"/>
      <c r="L5" s="2204"/>
      <c r="M5" s="2204"/>
      <c r="N5" s="2204"/>
      <c r="O5" s="2204"/>
      <c r="P5" s="2204"/>
      <c r="Q5" s="2205"/>
      <c r="R5" s="725"/>
      <c r="S5" s="721"/>
      <c r="T5" s="726"/>
      <c r="U5" s="727"/>
      <c r="V5" s="727"/>
      <c r="W5" s="728"/>
      <c r="X5" s="729"/>
      <c r="Y5" s="2143"/>
      <c r="Z5" s="723"/>
      <c r="AA5" s="2140"/>
      <c r="AB5" s="730"/>
      <c r="AC5" s="730"/>
      <c r="AD5" s="730"/>
      <c r="AE5" s="730"/>
      <c r="AF5" s="731"/>
      <c r="AG5" s="2203" t="s">
        <v>1854</v>
      </c>
      <c r="AH5" s="2204"/>
      <c r="AI5" s="2204"/>
      <c r="AJ5" s="2204"/>
      <c r="AK5" s="2204"/>
      <c r="AL5" s="2204"/>
      <c r="AM5" s="2204"/>
      <c r="AN5" s="2204"/>
      <c r="AO5" s="2204"/>
      <c r="AP5" s="2206"/>
      <c r="AQ5" s="2203" t="s">
        <v>1855</v>
      </c>
      <c r="AR5" s="2204"/>
      <c r="AS5" s="2204"/>
      <c r="AT5" s="2204"/>
      <c r="AU5" s="2206"/>
      <c r="AV5" s="2203" t="s">
        <v>1856</v>
      </c>
      <c r="AW5" s="2204"/>
      <c r="AX5" s="2204"/>
      <c r="AY5" s="2204"/>
      <c r="AZ5" s="2204"/>
      <c r="BA5" s="2204"/>
      <c r="BB5" s="2204"/>
      <c r="BC5" s="2204"/>
      <c r="BD5" s="2204"/>
      <c r="BE5" s="2204"/>
      <c r="BF5" s="2204"/>
      <c r="BG5" s="2204"/>
      <c r="BH5" s="2204"/>
      <c r="BI5" s="2204"/>
      <c r="BJ5" s="2204"/>
      <c r="BK5" s="2206"/>
      <c r="BL5" s="2207" t="s">
        <v>956</v>
      </c>
      <c r="BM5" s="2208"/>
      <c r="BN5" s="2208"/>
      <c r="BO5" s="2208"/>
      <c r="BP5" s="2209"/>
      <c r="BQ5" s="2210" t="s">
        <v>1857</v>
      </c>
      <c r="BR5" s="2211"/>
      <c r="BS5" s="2211"/>
      <c r="BT5" s="2211"/>
      <c r="BU5" s="2212"/>
      <c r="BV5" s="2210" t="s">
        <v>1858</v>
      </c>
      <c r="BW5" s="2211"/>
      <c r="BX5" s="2211"/>
      <c r="BY5" s="2211"/>
      <c r="BZ5" s="2212"/>
      <c r="CA5" s="2210" t="s">
        <v>1859</v>
      </c>
      <c r="CB5" s="2211"/>
      <c r="CC5" s="2211"/>
      <c r="CD5" s="2211"/>
      <c r="CE5" s="2212"/>
      <c r="CF5" s="2210" t="s">
        <v>1860</v>
      </c>
      <c r="CG5" s="2211"/>
      <c r="CH5" s="2211"/>
      <c r="CI5" s="2211"/>
      <c r="CJ5" s="2212"/>
      <c r="CK5" s="2210" t="s">
        <v>1861</v>
      </c>
      <c r="CL5" s="2211"/>
      <c r="CM5" s="2211"/>
      <c r="CN5" s="2211"/>
      <c r="CO5" s="2212"/>
      <c r="CP5" s="2210" t="s">
        <v>1862</v>
      </c>
      <c r="CQ5" s="2211"/>
      <c r="CR5" s="2211"/>
      <c r="CS5" s="2211"/>
      <c r="CT5" s="2212"/>
      <c r="CU5" s="2200" t="s">
        <v>1863</v>
      </c>
      <c r="CV5" s="2201"/>
      <c r="CW5" s="2201"/>
      <c r="CX5" s="2201"/>
      <c r="CY5" s="2200" t="s">
        <v>1864</v>
      </c>
      <c r="CZ5" s="2201"/>
      <c r="DA5" s="2201"/>
      <c r="DB5" s="2202"/>
      <c r="DC5" s="730"/>
      <c r="DD5" s="732"/>
      <c r="DE5" s="733"/>
    </row>
    <row r="6" spans="1:109" s="55" customFormat="1" ht="57.45" customHeight="1">
      <c r="A6" s="734" t="s">
        <v>1865</v>
      </c>
      <c r="B6" s="735" t="s">
        <v>1866</v>
      </c>
      <c r="C6" s="736" t="s">
        <v>1123</v>
      </c>
      <c r="D6" s="737" t="s">
        <v>1867</v>
      </c>
      <c r="E6" s="738" t="s">
        <v>1868</v>
      </c>
      <c r="F6" s="739" t="s">
        <v>1869</v>
      </c>
      <c r="G6" s="740" t="s">
        <v>1122</v>
      </c>
      <c r="H6" s="741" t="s">
        <v>1870</v>
      </c>
      <c r="I6" s="742" t="s">
        <v>702</v>
      </c>
      <c r="J6" s="743" t="s">
        <v>705</v>
      </c>
      <c r="K6" s="743" t="s">
        <v>708</v>
      </c>
      <c r="L6" s="743" t="s">
        <v>711</v>
      </c>
      <c r="M6" s="743" t="s">
        <v>714</v>
      </c>
      <c r="N6" s="743" t="s">
        <v>717</v>
      </c>
      <c r="O6" s="743" t="s">
        <v>1871</v>
      </c>
      <c r="P6" s="743" t="s">
        <v>720</v>
      </c>
      <c r="Q6" s="744" t="s">
        <v>1046</v>
      </c>
      <c r="R6" s="745" t="s">
        <v>942</v>
      </c>
      <c r="S6" s="738" t="s">
        <v>943</v>
      </c>
      <c r="T6" s="746" t="s">
        <v>944</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968</v>
      </c>
      <c r="AR6" s="743" t="s">
        <v>980</v>
      </c>
      <c r="AS6" s="743" t="s">
        <v>985</v>
      </c>
      <c r="AT6" s="743" t="s">
        <v>958</v>
      </c>
      <c r="AU6" s="751" t="s">
        <v>970</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968</v>
      </c>
      <c r="BM6" s="743" t="s">
        <v>980</v>
      </c>
      <c r="BN6" s="743" t="s">
        <v>985</v>
      </c>
      <c r="BO6" s="743" t="s">
        <v>958</v>
      </c>
      <c r="BP6" s="751" t="s">
        <v>970</v>
      </c>
      <c r="BQ6" s="742" t="s">
        <v>968</v>
      </c>
      <c r="BR6" s="743" t="s">
        <v>980</v>
      </c>
      <c r="BS6" s="743" t="s">
        <v>985</v>
      </c>
      <c r="BT6" s="743" t="s">
        <v>958</v>
      </c>
      <c r="BU6" s="751" t="s">
        <v>970</v>
      </c>
      <c r="BV6" s="742" t="s">
        <v>968</v>
      </c>
      <c r="BW6" s="743" t="s">
        <v>980</v>
      </c>
      <c r="BX6" s="743" t="s">
        <v>985</v>
      </c>
      <c r="BY6" s="743" t="s">
        <v>958</v>
      </c>
      <c r="BZ6" s="751" t="s">
        <v>970</v>
      </c>
      <c r="CA6" s="742" t="s">
        <v>968</v>
      </c>
      <c r="CB6" s="743" t="s">
        <v>980</v>
      </c>
      <c r="CC6" s="743" t="s">
        <v>985</v>
      </c>
      <c r="CD6" s="743" t="s">
        <v>958</v>
      </c>
      <c r="CE6" s="751" t="s">
        <v>970</v>
      </c>
      <c r="CF6" s="742" t="s">
        <v>968</v>
      </c>
      <c r="CG6" s="743" t="s">
        <v>980</v>
      </c>
      <c r="CH6" s="743" t="s">
        <v>985</v>
      </c>
      <c r="CI6" s="743" t="s">
        <v>958</v>
      </c>
      <c r="CJ6" s="751" t="s">
        <v>970</v>
      </c>
      <c r="CK6" s="742" t="s">
        <v>968</v>
      </c>
      <c r="CL6" s="743" t="s">
        <v>980</v>
      </c>
      <c r="CM6" s="743" t="s">
        <v>985</v>
      </c>
      <c r="CN6" s="743" t="s">
        <v>958</v>
      </c>
      <c r="CO6" s="751" t="s">
        <v>970</v>
      </c>
      <c r="CP6" s="742" t="s">
        <v>968</v>
      </c>
      <c r="CQ6" s="743" t="s">
        <v>980</v>
      </c>
      <c r="CR6" s="743" t="s">
        <v>985</v>
      </c>
      <c r="CS6" s="743" t="s">
        <v>958</v>
      </c>
      <c r="CT6" s="751" t="s">
        <v>970</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1018</v>
      </c>
      <c r="B7" s="761">
        <v>1</v>
      </c>
      <c r="C7" s="762" t="s">
        <v>1918</v>
      </c>
      <c r="D7" s="763" t="s">
        <v>1919</v>
      </c>
      <c r="E7" s="763" t="s">
        <v>1920</v>
      </c>
      <c r="F7" s="764" t="s">
        <v>1921</v>
      </c>
      <c r="G7" s="765" t="s">
        <v>154</v>
      </c>
      <c r="H7" s="766" t="s">
        <v>1922</v>
      </c>
      <c r="I7" s="767"/>
      <c r="J7" s="768">
        <v>1</v>
      </c>
      <c r="K7" s="768"/>
      <c r="L7" s="768"/>
      <c r="M7" s="768"/>
      <c r="N7" s="768"/>
      <c r="O7" s="768"/>
      <c r="P7" s="769"/>
      <c r="Q7" s="770">
        <f>SUM(I7:P7)</f>
        <v>1</v>
      </c>
      <c r="R7" s="762" t="s">
        <v>988</v>
      </c>
      <c r="S7" s="763" t="s">
        <v>964</v>
      </c>
      <c r="T7" s="771" t="s">
        <v>965</v>
      </c>
      <c r="U7" s="763" t="s">
        <v>1923</v>
      </c>
      <c r="V7" s="763" t="s">
        <v>987</v>
      </c>
      <c r="W7" s="763" t="s">
        <v>1924</v>
      </c>
      <c r="X7" s="1293">
        <v>0</v>
      </c>
      <c r="Y7" s="772" t="s">
        <v>978</v>
      </c>
      <c r="Z7" s="765" t="s">
        <v>154</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customHeight="1">
      <c r="A8" s="760" t="s">
        <v>1018</v>
      </c>
      <c r="B8" s="761">
        <v>2</v>
      </c>
      <c r="C8" s="777" t="s">
        <v>1925</v>
      </c>
      <c r="D8" s="761" t="s">
        <v>1926</v>
      </c>
      <c r="E8" s="761" t="s">
        <v>1927</v>
      </c>
      <c r="F8" s="773" t="s">
        <v>1928</v>
      </c>
      <c r="G8" s="778" t="s">
        <v>629</v>
      </c>
      <c r="H8" s="779" t="s">
        <v>1929</v>
      </c>
      <c r="I8" s="780"/>
      <c r="J8" s="781">
        <v>1</v>
      </c>
      <c r="K8" s="781"/>
      <c r="L8" s="781"/>
      <c r="M8" s="781"/>
      <c r="N8" s="781"/>
      <c r="O8" s="781"/>
      <c r="P8" s="782"/>
      <c r="Q8" s="783">
        <f>SUM(I8:P8)</f>
        <v>1</v>
      </c>
      <c r="R8" s="777" t="s">
        <v>988</v>
      </c>
      <c r="S8" s="761" t="s">
        <v>964</v>
      </c>
      <c r="T8" s="784" t="s">
        <v>965</v>
      </c>
      <c r="U8" s="761" t="s">
        <v>629</v>
      </c>
      <c r="V8" s="761" t="s">
        <v>991</v>
      </c>
      <c r="W8" s="761" t="s">
        <v>1930</v>
      </c>
      <c r="X8" s="1263">
        <v>1</v>
      </c>
      <c r="Y8" s="786" t="s">
        <v>978</v>
      </c>
      <c r="Z8" s="778" t="s">
        <v>629</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customHeight="1">
      <c r="A9" s="760" t="s">
        <v>1018</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988</v>
      </c>
      <c r="S9" s="761" t="s">
        <v>964</v>
      </c>
      <c r="T9" s="1414" t="s">
        <v>977</v>
      </c>
      <c r="U9" s="761" t="s">
        <v>1933</v>
      </c>
      <c r="V9" s="761" t="s">
        <v>991</v>
      </c>
      <c r="W9" s="761" t="s">
        <v>1934</v>
      </c>
      <c r="X9" s="817">
        <v>1</v>
      </c>
      <c r="Y9" s="786" t="s">
        <v>978</v>
      </c>
      <c r="Z9" s="778" t="s">
        <v>1124</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customHeight="1">
      <c r="A10" s="760" t="s">
        <v>1018</v>
      </c>
      <c r="B10" s="761">
        <v>4</v>
      </c>
      <c r="C10" s="777" t="s">
        <v>1935</v>
      </c>
      <c r="D10" s="761" t="s">
        <v>1919</v>
      </c>
      <c r="E10" s="761" t="s">
        <v>1936</v>
      </c>
      <c r="F10" s="773" t="s">
        <v>1937</v>
      </c>
      <c r="G10" s="778" t="s">
        <v>499</v>
      </c>
      <c r="H10" s="779" t="s">
        <v>1938</v>
      </c>
      <c r="I10" s="803"/>
      <c r="J10" s="781">
        <v>1</v>
      </c>
      <c r="K10" s="781"/>
      <c r="L10" s="781"/>
      <c r="M10" s="781"/>
      <c r="N10" s="781"/>
      <c r="O10" s="781"/>
      <c r="P10" s="782"/>
      <c r="Q10" s="783">
        <f t="shared" si="0"/>
        <v>1</v>
      </c>
      <c r="R10" s="777" t="s">
        <v>963</v>
      </c>
      <c r="S10" s="761"/>
      <c r="T10" s="784"/>
      <c r="U10" s="761" t="s">
        <v>1939</v>
      </c>
      <c r="V10" s="761" t="s">
        <v>293</v>
      </c>
      <c r="W10" s="761" t="s">
        <v>1940</v>
      </c>
      <c r="X10" s="817">
        <v>1</v>
      </c>
      <c r="Y10" s="786" t="s">
        <v>978</v>
      </c>
      <c r="Z10" s="778" t="s">
        <v>499</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customHeight="1">
      <c r="A11" s="760" t="s">
        <v>1018</v>
      </c>
      <c r="B11" s="761">
        <v>5</v>
      </c>
      <c r="C11" s="777" t="s">
        <v>1941</v>
      </c>
      <c r="D11" s="761" t="s">
        <v>1919</v>
      </c>
      <c r="E11" s="761" t="s">
        <v>1936</v>
      </c>
      <c r="F11" s="773" t="s">
        <v>1942</v>
      </c>
      <c r="G11" s="778" t="s">
        <v>184</v>
      </c>
      <c r="H11" s="779" t="s">
        <v>1943</v>
      </c>
      <c r="I11" s="780"/>
      <c r="J11" s="781">
        <v>1</v>
      </c>
      <c r="K11" s="781"/>
      <c r="L11" s="781"/>
      <c r="M11" s="781"/>
      <c r="N11" s="781"/>
      <c r="O11" s="781"/>
      <c r="P11" s="782"/>
      <c r="Q11" s="783">
        <f t="shared" si="0"/>
        <v>1</v>
      </c>
      <c r="R11" s="777" t="s">
        <v>984</v>
      </c>
      <c r="S11" s="761" t="s">
        <v>964</v>
      </c>
      <c r="T11" s="784" t="s">
        <v>965</v>
      </c>
      <c r="U11" s="761" t="s">
        <v>1944</v>
      </c>
      <c r="V11" s="761" t="s">
        <v>293</v>
      </c>
      <c r="W11" s="761" t="s">
        <v>1945</v>
      </c>
      <c r="X11" s="1263">
        <v>2</v>
      </c>
      <c r="Y11" s="807" t="s">
        <v>978</v>
      </c>
      <c r="Z11" s="778" t="s">
        <v>184</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customHeight="1">
      <c r="A12" s="760" t="s">
        <v>1018</v>
      </c>
      <c r="B12" s="761">
        <v>6</v>
      </c>
      <c r="C12" s="777" t="s">
        <v>1946</v>
      </c>
      <c r="D12" s="761" t="s">
        <v>1919</v>
      </c>
      <c r="E12" s="761" t="s">
        <v>1927</v>
      </c>
      <c r="F12" s="773" t="s">
        <v>1947</v>
      </c>
      <c r="G12" s="778" t="s">
        <v>178</v>
      </c>
      <c r="H12" s="779" t="s">
        <v>1948</v>
      </c>
      <c r="I12" s="780"/>
      <c r="J12" s="781">
        <v>1</v>
      </c>
      <c r="K12" s="781"/>
      <c r="L12" s="781"/>
      <c r="M12" s="781"/>
      <c r="N12" s="781"/>
      <c r="O12" s="781"/>
      <c r="P12" s="782"/>
      <c r="Q12" s="783">
        <f t="shared" si="0"/>
        <v>1</v>
      </c>
      <c r="R12" s="777" t="s">
        <v>984</v>
      </c>
      <c r="S12" s="761" t="s">
        <v>964</v>
      </c>
      <c r="T12" s="784" t="s">
        <v>965</v>
      </c>
      <c r="U12" s="761" t="s">
        <v>1949</v>
      </c>
      <c r="V12" s="761" t="s">
        <v>991</v>
      </c>
      <c r="W12" s="761" t="s">
        <v>1950</v>
      </c>
      <c r="X12" s="817">
        <v>1</v>
      </c>
      <c r="Y12" s="807" t="s">
        <v>978</v>
      </c>
      <c r="Z12" s="778" t="s">
        <v>178</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customHeight="1">
      <c r="A13" s="760" t="s">
        <v>1018</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984</v>
      </c>
      <c r="S13" s="761" t="s">
        <v>964</v>
      </c>
      <c r="T13" s="784" t="s">
        <v>965</v>
      </c>
      <c r="U13" s="761" t="s">
        <v>1955</v>
      </c>
      <c r="V13" s="761" t="s">
        <v>1039</v>
      </c>
      <c r="W13" s="761" t="s">
        <v>1956</v>
      </c>
      <c r="X13" s="1263">
        <v>2</v>
      </c>
      <c r="Y13" s="807" t="s">
        <v>978</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customHeight="1">
      <c r="A14" s="760" t="s">
        <v>1018</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988</v>
      </c>
      <c r="S14" s="761" t="s">
        <v>964</v>
      </c>
      <c r="T14" s="784" t="s">
        <v>965</v>
      </c>
      <c r="U14" s="761" t="s">
        <v>1027</v>
      </c>
      <c r="V14" s="761" t="s">
        <v>1039</v>
      </c>
      <c r="W14" s="761" t="s">
        <v>1956</v>
      </c>
      <c r="X14" s="817">
        <v>2</v>
      </c>
      <c r="Y14" s="809" t="s">
        <v>966</v>
      </c>
      <c r="Z14" s="778" t="s">
        <v>1960</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customHeight="1">
      <c r="A15" s="760" t="s">
        <v>1018</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988</v>
      </c>
      <c r="S15" s="761" t="s">
        <v>964</v>
      </c>
      <c r="T15" s="784" t="s">
        <v>965</v>
      </c>
      <c r="U15" s="761" t="s">
        <v>1031</v>
      </c>
      <c r="V15" s="761" t="s">
        <v>1039</v>
      </c>
      <c r="W15" s="761" t="s">
        <v>1956</v>
      </c>
      <c r="X15" s="817">
        <v>2</v>
      </c>
      <c r="Y15" s="807" t="s">
        <v>966</v>
      </c>
      <c r="Z15" s="778" t="s">
        <v>1964</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customHeight="1">
      <c r="A16" s="760" t="s">
        <v>1018</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963</v>
      </c>
      <c r="S16" s="761"/>
      <c r="T16" s="784"/>
      <c r="U16" s="761" t="s">
        <v>1939</v>
      </c>
      <c r="V16" s="761" t="s">
        <v>991</v>
      </c>
      <c r="W16" s="761" t="s">
        <v>1970</v>
      </c>
      <c r="X16" s="1263">
        <v>0</v>
      </c>
      <c r="Y16" s="810" t="s">
        <v>978</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1018</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963</v>
      </c>
      <c r="S17" s="761"/>
      <c r="T17" s="784"/>
      <c r="U17" s="761" t="s">
        <v>1976</v>
      </c>
      <c r="V17" s="761" t="s">
        <v>293</v>
      </c>
      <c r="W17" s="761" t="s">
        <v>1977</v>
      </c>
      <c r="X17" s="817">
        <v>0</v>
      </c>
      <c r="Y17" s="814" t="s">
        <v>966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1018</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963</v>
      </c>
      <c r="S18" s="761"/>
      <c r="T18" s="784"/>
      <c r="U18" s="761" t="s">
        <v>1976</v>
      </c>
      <c r="V18" s="761" t="s">
        <v>293</v>
      </c>
      <c r="W18" s="761" t="s">
        <v>1977</v>
      </c>
      <c r="X18" s="817">
        <v>0</v>
      </c>
      <c r="Y18" s="809" t="s">
        <v>966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1018</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975</v>
      </c>
      <c r="S19" s="761" t="s">
        <v>964</v>
      </c>
      <c r="T19" s="784" t="s">
        <v>965</v>
      </c>
      <c r="U19" s="761" t="s">
        <v>1933</v>
      </c>
      <c r="V19" s="761" t="s">
        <v>991</v>
      </c>
      <c r="W19" s="761" t="s">
        <v>1986</v>
      </c>
      <c r="X19" s="817">
        <v>0</v>
      </c>
      <c r="Y19" s="814" t="s">
        <v>966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961</v>
      </c>
      <c r="BM19" s="773" t="s">
        <v>961</v>
      </c>
      <c r="BN19" s="773" t="s">
        <v>961</v>
      </c>
      <c r="BO19" s="773" t="s">
        <v>961</v>
      </c>
      <c r="BP19" s="784" t="s">
        <v>961</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1018</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988</v>
      </c>
      <c r="S20" s="761" t="s">
        <v>964</v>
      </c>
      <c r="T20" s="784" t="s">
        <v>965</v>
      </c>
      <c r="U20" s="761" t="s">
        <v>1990</v>
      </c>
      <c r="V20" s="761" t="s">
        <v>293</v>
      </c>
      <c r="W20" s="761" t="s">
        <v>1991</v>
      </c>
      <c r="X20" s="817">
        <v>2</v>
      </c>
      <c r="Y20" s="809" t="s">
        <v>978</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961</v>
      </c>
      <c r="BM20" s="773" t="s">
        <v>961</v>
      </c>
      <c r="BN20" s="773" t="s">
        <v>961</v>
      </c>
      <c r="BO20" s="773" t="s">
        <v>961</v>
      </c>
      <c r="BP20" s="784" t="s">
        <v>961</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1018</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988</v>
      </c>
      <c r="S21" s="761" t="s">
        <v>964</v>
      </c>
      <c r="T21" s="784" t="s">
        <v>965</v>
      </c>
      <c r="U21" s="761" t="s">
        <v>1996</v>
      </c>
      <c r="V21" s="761" t="s">
        <v>991</v>
      </c>
      <c r="W21" s="761" t="s">
        <v>1997</v>
      </c>
      <c r="X21" s="817">
        <v>0</v>
      </c>
      <c r="Y21" s="807" t="s">
        <v>966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961</v>
      </c>
      <c r="BM21" s="773" t="s">
        <v>961</v>
      </c>
      <c r="BN21" s="773" t="s">
        <v>961</v>
      </c>
      <c r="BO21" s="773" t="s">
        <v>961</v>
      </c>
      <c r="BP21" s="784" t="s">
        <v>961</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1018</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984</v>
      </c>
      <c r="S22" s="761" t="s">
        <v>964</v>
      </c>
      <c r="T22" s="784" t="s">
        <v>965</v>
      </c>
      <c r="U22" s="761" t="s">
        <v>1933</v>
      </c>
      <c r="V22" s="761" t="s">
        <v>991</v>
      </c>
      <c r="W22" s="761" t="s">
        <v>2003</v>
      </c>
      <c r="X22" s="817">
        <v>2</v>
      </c>
      <c r="Y22" s="807" t="s">
        <v>966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961</v>
      </c>
      <c r="BM22" s="773" t="s">
        <v>961</v>
      </c>
      <c r="BN22" s="773" t="s">
        <v>961</v>
      </c>
      <c r="BO22" s="773" t="s">
        <v>961</v>
      </c>
      <c r="BP22" s="784" t="s">
        <v>961</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1018</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988</v>
      </c>
      <c r="S23" s="761" t="s">
        <v>964</v>
      </c>
      <c r="T23" s="784" t="s">
        <v>965</v>
      </c>
      <c r="U23" s="761" t="s">
        <v>2008</v>
      </c>
      <c r="V23" s="761" t="s">
        <v>991</v>
      </c>
      <c r="W23" s="761" t="s">
        <v>2009</v>
      </c>
      <c r="X23" s="1263">
        <v>0</v>
      </c>
      <c r="Y23" s="807" t="s">
        <v>978</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961</v>
      </c>
      <c r="BM23" s="773" t="s">
        <v>961</v>
      </c>
      <c r="BN23" s="773" t="s">
        <v>961</v>
      </c>
      <c r="BO23" s="773" t="s">
        <v>961</v>
      </c>
      <c r="BP23" s="784" t="s">
        <v>961</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1018</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984</v>
      </c>
      <c r="S24" s="761" t="s">
        <v>964</v>
      </c>
      <c r="T24" s="784" t="s">
        <v>965</v>
      </c>
      <c r="U24" s="761" t="s">
        <v>2014</v>
      </c>
      <c r="V24" s="761" t="s">
        <v>991</v>
      </c>
      <c r="W24" s="761" t="s">
        <v>2015</v>
      </c>
      <c r="X24" s="817">
        <v>3</v>
      </c>
      <c r="Y24" s="807" t="s">
        <v>978</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961</v>
      </c>
      <c r="BM24" s="773" t="s">
        <v>961</v>
      </c>
      <c r="BN24" s="773" t="s">
        <v>961</v>
      </c>
      <c r="BO24" s="773" t="s">
        <v>961</v>
      </c>
      <c r="BP24" s="784" t="s">
        <v>961</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1018</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984</v>
      </c>
      <c r="S25" s="761" t="s">
        <v>964</v>
      </c>
      <c r="T25" s="784" t="s">
        <v>965</v>
      </c>
      <c r="U25" s="761" t="s">
        <v>1990</v>
      </c>
      <c r="V25" s="761" t="s">
        <v>991</v>
      </c>
      <c r="W25" s="761" t="s">
        <v>2020</v>
      </c>
      <c r="X25" s="817">
        <v>0</v>
      </c>
      <c r="Y25" s="809" t="s">
        <v>966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961</v>
      </c>
      <c r="BM25" s="773" t="s">
        <v>961</v>
      </c>
      <c r="BN25" s="773" t="s">
        <v>961</v>
      </c>
      <c r="BO25" s="773" t="s">
        <v>961</v>
      </c>
      <c r="BP25" s="784" t="s">
        <v>961</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1018</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988</v>
      </c>
      <c r="S26" s="761" t="s">
        <v>964</v>
      </c>
      <c r="T26" s="784" t="s">
        <v>965</v>
      </c>
      <c r="U26" s="761" t="s">
        <v>1939</v>
      </c>
      <c r="V26" s="761" t="s">
        <v>991</v>
      </c>
      <c r="W26" s="761" t="s">
        <v>2025</v>
      </c>
      <c r="X26" s="817">
        <v>0</v>
      </c>
      <c r="Y26" s="786" t="s">
        <v>978</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961</v>
      </c>
      <c r="BM26" s="773" t="s">
        <v>961</v>
      </c>
      <c r="BN26" s="773" t="s">
        <v>961</v>
      </c>
      <c r="BO26" s="773" t="s">
        <v>961</v>
      </c>
      <c r="BP26" s="784" t="s">
        <v>961</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1018</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984</v>
      </c>
      <c r="S27" s="761" t="s">
        <v>964</v>
      </c>
      <c r="T27" s="784" t="s">
        <v>965</v>
      </c>
      <c r="U27" s="761" t="s">
        <v>1878</v>
      </c>
      <c r="V27" s="761" t="s">
        <v>991</v>
      </c>
      <c r="W27" s="761" t="s">
        <v>2030</v>
      </c>
      <c r="X27" s="817">
        <v>2</v>
      </c>
      <c r="Y27" s="786" t="s">
        <v>978</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961</v>
      </c>
      <c r="BM27" s="773" t="s">
        <v>961</v>
      </c>
      <c r="BN27" s="773" t="s">
        <v>961</v>
      </c>
      <c r="BO27" s="773" t="s">
        <v>961</v>
      </c>
      <c r="BP27" s="784" t="s">
        <v>961</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1018</v>
      </c>
      <c r="B28" s="761">
        <v>22</v>
      </c>
      <c r="C28" s="777" t="s">
        <v>2032</v>
      </c>
      <c r="D28" s="761" t="s">
        <v>1958</v>
      </c>
      <c r="E28" s="761" t="s">
        <v>1936</v>
      </c>
      <c r="F28" s="773" t="s">
        <v>2033</v>
      </c>
      <c r="G28" s="778" t="s">
        <v>658</v>
      </c>
      <c r="H28" s="779" t="s">
        <v>2034</v>
      </c>
      <c r="I28" s="780"/>
      <c r="J28" s="781"/>
      <c r="K28" s="781"/>
      <c r="L28" s="781"/>
      <c r="M28" s="781">
        <v>1</v>
      </c>
      <c r="N28" s="781"/>
      <c r="O28" s="781"/>
      <c r="P28" s="782"/>
      <c r="Q28" s="783">
        <f t="shared" si="0"/>
        <v>1</v>
      </c>
      <c r="R28" s="777" t="s">
        <v>963</v>
      </c>
      <c r="S28" s="761"/>
      <c r="T28" s="784"/>
      <c r="U28" s="761" t="s">
        <v>1976</v>
      </c>
      <c r="V28" s="761" t="s">
        <v>293</v>
      </c>
      <c r="W28" s="761" t="s">
        <v>2035</v>
      </c>
      <c r="X28" s="1263">
        <v>1</v>
      </c>
      <c r="Y28" s="786" t="s">
        <v>966</v>
      </c>
      <c r="Z28" s="778" t="s">
        <v>658</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customHeight="1">
      <c r="A29" s="760" t="s">
        <v>1018</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963</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1018</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963</v>
      </c>
      <c r="S30" s="761"/>
      <c r="T30" s="784"/>
      <c r="U30" s="761" t="s">
        <v>1939</v>
      </c>
      <c r="V30" s="761" t="s">
        <v>991</v>
      </c>
      <c r="W30" s="761" t="s">
        <v>2046</v>
      </c>
      <c r="X30" s="817">
        <v>0</v>
      </c>
      <c r="Y30" s="807" t="s">
        <v>978</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1018</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963</v>
      </c>
      <c r="S31" s="761"/>
      <c r="T31" s="784"/>
      <c r="U31" s="761" t="s">
        <v>1976</v>
      </c>
      <c r="V31" s="761" t="s">
        <v>293</v>
      </c>
      <c r="W31" s="761" t="s">
        <v>1977</v>
      </c>
      <c r="X31" s="817">
        <v>0</v>
      </c>
      <c r="Y31" s="807" t="s">
        <v>966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1018</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963</v>
      </c>
      <c r="S32" s="761"/>
      <c r="T32" s="784"/>
      <c r="U32" s="761" t="s">
        <v>1976</v>
      </c>
      <c r="V32" s="761" t="s">
        <v>293</v>
      </c>
      <c r="W32" s="761" t="s">
        <v>1977</v>
      </c>
      <c r="X32" s="817">
        <v>0</v>
      </c>
      <c r="Y32" s="809" t="s">
        <v>966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1018</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963</v>
      </c>
      <c r="S33" s="761"/>
      <c r="T33" s="784"/>
      <c r="U33" s="761" t="s">
        <v>2058</v>
      </c>
      <c r="V33" s="761" t="s">
        <v>991</v>
      </c>
      <c r="W33" s="761" t="s">
        <v>2059</v>
      </c>
      <c r="X33" s="817">
        <v>2</v>
      </c>
      <c r="Y33" s="807" t="s">
        <v>966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1018</v>
      </c>
      <c r="B34" s="761">
        <v>28</v>
      </c>
      <c r="C34" s="777" t="s">
        <v>2060</v>
      </c>
      <c r="D34" s="761"/>
      <c r="E34" s="761"/>
      <c r="F34" s="773" t="s">
        <v>2061</v>
      </c>
      <c r="G34" s="778" t="s">
        <v>2062</v>
      </c>
      <c r="H34" s="779"/>
      <c r="I34" s="780"/>
      <c r="J34" s="781"/>
      <c r="K34" s="781"/>
      <c r="L34" s="781"/>
      <c r="M34" s="781"/>
      <c r="N34" s="781"/>
      <c r="O34" s="781"/>
      <c r="P34" s="782"/>
      <c r="Q34" s="783">
        <f t="shared" si="0"/>
        <v>0</v>
      </c>
      <c r="R34" s="777" t="s">
        <v>963</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972</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988</v>
      </c>
      <c r="S35" s="761" t="s">
        <v>964</v>
      </c>
      <c r="T35" s="784" t="s">
        <v>965</v>
      </c>
      <c r="U35" s="761" t="s">
        <v>1027</v>
      </c>
      <c r="V35" s="761" t="s">
        <v>1039</v>
      </c>
      <c r="W35" s="761" t="s">
        <v>2068</v>
      </c>
      <c r="X35" s="1263">
        <v>2</v>
      </c>
      <c r="Y35" s="810" t="s">
        <v>966</v>
      </c>
      <c r="Z35" s="778" t="s">
        <v>1960</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customHeight="1">
      <c r="A36" s="760" t="s">
        <v>972</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988</v>
      </c>
      <c r="S36" s="761" t="s">
        <v>964</v>
      </c>
      <c r="T36" s="784" t="s">
        <v>965</v>
      </c>
      <c r="U36" s="761" t="s">
        <v>1031</v>
      </c>
      <c r="V36" s="761" t="s">
        <v>1039</v>
      </c>
      <c r="W36" s="761" t="s">
        <v>431</v>
      </c>
      <c r="X36" s="1263">
        <v>2</v>
      </c>
      <c r="Y36" s="814" t="s">
        <v>966</v>
      </c>
      <c r="Z36" s="778" t="s">
        <v>1964</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customHeight="1">
      <c r="A37" s="760" t="s">
        <v>972</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984</v>
      </c>
      <c r="S37" s="761" t="s">
        <v>964</v>
      </c>
      <c r="T37" s="784" t="s">
        <v>965</v>
      </c>
      <c r="U37" s="761" t="s">
        <v>1955</v>
      </c>
      <c r="V37" s="761" t="s">
        <v>1039</v>
      </c>
      <c r="W37" s="761" t="s">
        <v>2074</v>
      </c>
      <c r="X37" s="817">
        <v>2</v>
      </c>
      <c r="Y37" s="809" t="s">
        <v>978</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customHeight="1">
      <c r="A38" s="760" t="s">
        <v>972</v>
      </c>
      <c r="B38" s="761">
        <v>32</v>
      </c>
      <c r="C38" s="777" t="s">
        <v>2075</v>
      </c>
      <c r="D38" s="761" t="s">
        <v>2066</v>
      </c>
      <c r="E38" s="761" t="s">
        <v>1927</v>
      </c>
      <c r="F38" s="773">
        <v>4</v>
      </c>
      <c r="G38" s="778" t="s">
        <v>154</v>
      </c>
      <c r="H38" s="779" t="s">
        <v>2076</v>
      </c>
      <c r="I38" s="780"/>
      <c r="J38" s="781">
        <v>1</v>
      </c>
      <c r="K38" s="781"/>
      <c r="L38" s="781"/>
      <c r="M38" s="781"/>
      <c r="N38" s="781"/>
      <c r="O38" s="781"/>
      <c r="P38" s="782"/>
      <c r="Q38" s="783">
        <f t="shared" si="0"/>
        <v>1</v>
      </c>
      <c r="R38" s="777" t="s">
        <v>988</v>
      </c>
      <c r="S38" s="761" t="s">
        <v>964</v>
      </c>
      <c r="T38" s="784" t="s">
        <v>965</v>
      </c>
      <c r="U38" s="761" t="s">
        <v>1923</v>
      </c>
      <c r="V38" s="761" t="s">
        <v>987</v>
      </c>
      <c r="W38" s="761" t="s">
        <v>2077</v>
      </c>
      <c r="X38" s="788">
        <v>0</v>
      </c>
      <c r="Y38" s="814" t="s">
        <v>978</v>
      </c>
      <c r="Z38" s="778" t="s">
        <v>154</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customHeight="1">
      <c r="A39" s="760" t="s">
        <v>972</v>
      </c>
      <c r="B39" s="761">
        <v>33</v>
      </c>
      <c r="C39" s="777" t="s">
        <v>2078</v>
      </c>
      <c r="D39" s="761" t="s">
        <v>2079</v>
      </c>
      <c r="E39" s="761" t="s">
        <v>1920</v>
      </c>
      <c r="F39" s="773">
        <v>5</v>
      </c>
      <c r="G39" s="778" t="s">
        <v>629</v>
      </c>
      <c r="H39" s="779" t="s">
        <v>2080</v>
      </c>
      <c r="I39" s="780"/>
      <c r="J39" s="781">
        <v>1</v>
      </c>
      <c r="K39" s="781"/>
      <c r="L39" s="781"/>
      <c r="M39" s="781"/>
      <c r="N39" s="781"/>
      <c r="O39" s="781"/>
      <c r="P39" s="782"/>
      <c r="Q39" s="783">
        <f t="shared" si="0"/>
        <v>1</v>
      </c>
      <c r="R39" s="777" t="s">
        <v>988</v>
      </c>
      <c r="S39" s="761" t="s">
        <v>964</v>
      </c>
      <c r="T39" s="784" t="s">
        <v>965</v>
      </c>
      <c r="U39" s="761" t="s">
        <v>629</v>
      </c>
      <c r="V39" s="761" t="s">
        <v>991</v>
      </c>
      <c r="W39" s="761" t="s">
        <v>2081</v>
      </c>
      <c r="X39" s="817">
        <v>1</v>
      </c>
      <c r="Y39" s="809" t="s">
        <v>978</v>
      </c>
      <c r="Z39" s="778" t="s">
        <v>629</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customHeight="1">
      <c r="A40" s="760" t="s">
        <v>972</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988</v>
      </c>
      <c r="S40" s="761" t="s">
        <v>964</v>
      </c>
      <c r="T40" s="1414" t="s">
        <v>977</v>
      </c>
      <c r="U40" s="761" t="s">
        <v>2083</v>
      </c>
      <c r="V40" s="761" t="s">
        <v>991</v>
      </c>
      <c r="W40" s="761" t="s">
        <v>2084</v>
      </c>
      <c r="X40" s="817">
        <v>1</v>
      </c>
      <c r="Y40" s="807" t="s">
        <v>978</v>
      </c>
      <c r="Z40" s="778" t="s">
        <v>1124</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customHeight="1">
      <c r="A41" s="760" t="s">
        <v>972</v>
      </c>
      <c r="B41" s="761">
        <v>35</v>
      </c>
      <c r="C41" s="777" t="s">
        <v>2085</v>
      </c>
      <c r="D41" s="761" t="s">
        <v>2066</v>
      </c>
      <c r="E41" s="761" t="s">
        <v>1920</v>
      </c>
      <c r="F41" s="773">
        <v>7</v>
      </c>
      <c r="G41" s="778" t="s">
        <v>687</v>
      </c>
      <c r="H41" s="779" t="s">
        <v>2086</v>
      </c>
      <c r="I41" s="780"/>
      <c r="J41" s="781"/>
      <c r="K41" s="781">
        <v>1</v>
      </c>
      <c r="L41" s="781"/>
      <c r="M41" s="781"/>
      <c r="N41" s="781"/>
      <c r="O41" s="781"/>
      <c r="P41" s="782"/>
      <c r="Q41" s="783">
        <f t="shared" si="0"/>
        <v>1</v>
      </c>
      <c r="R41" s="777" t="s">
        <v>988</v>
      </c>
      <c r="S41" s="761" t="s">
        <v>964</v>
      </c>
      <c r="T41" s="784" t="s">
        <v>965</v>
      </c>
      <c r="U41" s="761" t="s">
        <v>2087</v>
      </c>
      <c r="V41" s="761" t="s">
        <v>991</v>
      </c>
      <c r="W41" s="761" t="s">
        <v>2088</v>
      </c>
      <c r="X41" s="817">
        <v>2</v>
      </c>
      <c r="Y41" s="807" t="s">
        <v>978</v>
      </c>
      <c r="Z41" s="778" t="s">
        <v>687</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customHeight="1">
      <c r="A42" s="760" t="s">
        <v>972</v>
      </c>
      <c r="B42" s="761">
        <v>36</v>
      </c>
      <c r="C42" s="777" t="s">
        <v>2089</v>
      </c>
      <c r="D42" s="761" t="s">
        <v>2090</v>
      </c>
      <c r="E42" s="761" t="s">
        <v>1920</v>
      </c>
      <c r="F42" s="773">
        <v>8</v>
      </c>
      <c r="G42" s="778" t="s">
        <v>689</v>
      </c>
      <c r="H42" s="779" t="s">
        <v>2091</v>
      </c>
      <c r="I42" s="780"/>
      <c r="J42" s="781"/>
      <c r="K42" s="781">
        <v>1</v>
      </c>
      <c r="L42" s="781"/>
      <c r="M42" s="781"/>
      <c r="N42" s="781"/>
      <c r="O42" s="781"/>
      <c r="P42" s="782"/>
      <c r="Q42" s="783">
        <f t="shared" si="0"/>
        <v>1</v>
      </c>
      <c r="R42" s="777" t="s">
        <v>988</v>
      </c>
      <c r="S42" s="761" t="s">
        <v>964</v>
      </c>
      <c r="T42" s="784" t="s">
        <v>965</v>
      </c>
      <c r="U42" s="761" t="s">
        <v>689</v>
      </c>
      <c r="V42" s="761" t="s">
        <v>991</v>
      </c>
      <c r="W42" s="761" t="s">
        <v>2092</v>
      </c>
      <c r="X42" s="1263">
        <v>2</v>
      </c>
      <c r="Y42" s="807" t="s">
        <v>978</v>
      </c>
      <c r="Z42" s="778" t="s">
        <v>689</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customHeight="1">
      <c r="A43" s="760" t="s">
        <v>972</v>
      </c>
      <c r="B43" s="761">
        <v>37</v>
      </c>
      <c r="C43" s="777" t="s">
        <v>2093</v>
      </c>
      <c r="D43" s="761" t="s">
        <v>2094</v>
      </c>
      <c r="E43" s="761" t="s">
        <v>1936</v>
      </c>
      <c r="F43" s="773">
        <v>9</v>
      </c>
      <c r="G43" s="778" t="s">
        <v>499</v>
      </c>
      <c r="H43" s="779" t="s">
        <v>2095</v>
      </c>
      <c r="I43" s="780">
        <v>0.5</v>
      </c>
      <c r="J43" s="781">
        <v>0.5</v>
      </c>
      <c r="K43" s="781"/>
      <c r="L43" s="781"/>
      <c r="M43" s="781"/>
      <c r="N43" s="781"/>
      <c r="O43" s="781"/>
      <c r="P43" s="782"/>
      <c r="Q43" s="783">
        <f t="shared" si="0"/>
        <v>1</v>
      </c>
      <c r="R43" s="777" t="s">
        <v>963</v>
      </c>
      <c r="S43" s="761"/>
      <c r="T43" s="784"/>
      <c r="U43" s="761" t="s">
        <v>1939</v>
      </c>
      <c r="V43" s="761" t="s">
        <v>293</v>
      </c>
      <c r="W43" s="761" t="s">
        <v>2096</v>
      </c>
      <c r="X43" s="1297">
        <v>1</v>
      </c>
      <c r="Y43" s="807" t="s">
        <v>978</v>
      </c>
      <c r="Z43" s="778" t="s">
        <v>499</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customHeight="1">
      <c r="A44" s="760" t="s">
        <v>972</v>
      </c>
      <c r="B44" s="761">
        <v>38</v>
      </c>
      <c r="C44" s="777" t="s">
        <v>2097</v>
      </c>
      <c r="D44" s="761" t="s">
        <v>2094</v>
      </c>
      <c r="E44" s="761" t="s">
        <v>1936</v>
      </c>
      <c r="F44" s="773">
        <v>10</v>
      </c>
      <c r="G44" s="778" t="s">
        <v>778</v>
      </c>
      <c r="H44" s="779" t="s">
        <v>2098</v>
      </c>
      <c r="I44" s="780"/>
      <c r="J44" s="781"/>
      <c r="K44" s="781">
        <v>1</v>
      </c>
      <c r="L44" s="781"/>
      <c r="M44" s="781"/>
      <c r="N44" s="781"/>
      <c r="O44" s="781"/>
      <c r="P44" s="782"/>
      <c r="Q44" s="783">
        <f t="shared" si="0"/>
        <v>1</v>
      </c>
      <c r="R44" s="777" t="s">
        <v>963</v>
      </c>
      <c r="S44" s="761"/>
      <c r="T44" s="784"/>
      <c r="U44" s="761" t="s">
        <v>1939</v>
      </c>
      <c r="V44" s="761" t="s">
        <v>293</v>
      </c>
      <c r="W44" s="761" t="s">
        <v>2099</v>
      </c>
      <c r="X44" s="817">
        <v>2</v>
      </c>
      <c r="Y44" s="809" t="s">
        <v>978</v>
      </c>
      <c r="Z44" s="778" t="s">
        <v>778</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customHeight="1">
      <c r="A45" s="760" t="s">
        <v>972</v>
      </c>
      <c r="B45" s="761">
        <v>39</v>
      </c>
      <c r="C45" s="777" t="s">
        <v>2100</v>
      </c>
      <c r="D45" s="761" t="s">
        <v>2101</v>
      </c>
      <c r="E45" s="761" t="s">
        <v>1920</v>
      </c>
      <c r="F45" s="773">
        <v>11</v>
      </c>
      <c r="G45" s="778" t="s">
        <v>178</v>
      </c>
      <c r="H45" s="779" t="s">
        <v>2102</v>
      </c>
      <c r="I45" s="780"/>
      <c r="J45" s="781">
        <v>1</v>
      </c>
      <c r="K45" s="781"/>
      <c r="L45" s="781"/>
      <c r="M45" s="781"/>
      <c r="N45" s="781"/>
      <c r="O45" s="781"/>
      <c r="P45" s="782"/>
      <c r="Q45" s="783">
        <f t="shared" si="0"/>
        <v>1</v>
      </c>
      <c r="R45" s="777" t="s">
        <v>984</v>
      </c>
      <c r="S45" s="761" t="s">
        <v>964</v>
      </c>
      <c r="T45" s="784" t="s">
        <v>965</v>
      </c>
      <c r="U45" s="761" t="s">
        <v>2103</v>
      </c>
      <c r="V45" s="761" t="s">
        <v>991</v>
      </c>
      <c r="W45" s="761" t="s">
        <v>2104</v>
      </c>
      <c r="X45" s="817">
        <v>1</v>
      </c>
      <c r="Y45" s="809" t="s">
        <v>978</v>
      </c>
      <c r="Z45" s="778" t="s">
        <v>178</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customHeight="1">
      <c r="A46" s="760" t="s">
        <v>972</v>
      </c>
      <c r="B46" s="761">
        <v>40</v>
      </c>
      <c r="C46" s="777" t="s">
        <v>2105</v>
      </c>
      <c r="D46" s="761" t="s">
        <v>2101</v>
      </c>
      <c r="E46" s="761" t="s">
        <v>1936</v>
      </c>
      <c r="F46" s="773">
        <v>12</v>
      </c>
      <c r="G46" s="778" t="s">
        <v>184</v>
      </c>
      <c r="H46" s="779" t="s">
        <v>2106</v>
      </c>
      <c r="I46" s="780"/>
      <c r="J46" s="781">
        <v>1</v>
      </c>
      <c r="K46" s="781"/>
      <c r="L46" s="781"/>
      <c r="M46" s="781"/>
      <c r="N46" s="781"/>
      <c r="O46" s="781"/>
      <c r="P46" s="782"/>
      <c r="Q46" s="783">
        <f t="shared" si="0"/>
        <v>1</v>
      </c>
      <c r="R46" s="777" t="s">
        <v>984</v>
      </c>
      <c r="S46" s="761" t="s">
        <v>964</v>
      </c>
      <c r="T46" s="784" t="s">
        <v>965</v>
      </c>
      <c r="U46" s="761" t="s">
        <v>1878</v>
      </c>
      <c r="V46" s="761" t="s">
        <v>293</v>
      </c>
      <c r="W46" s="761" t="s">
        <v>2107</v>
      </c>
      <c r="X46" s="817">
        <v>2</v>
      </c>
      <c r="Y46" s="809" t="s">
        <v>978</v>
      </c>
      <c r="Z46" s="778" t="s">
        <v>184</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customHeight="1">
      <c r="A47" s="760" t="s">
        <v>972</v>
      </c>
      <c r="B47" s="761">
        <v>41</v>
      </c>
      <c r="C47" s="777" t="s">
        <v>2108</v>
      </c>
      <c r="D47" s="761" t="s">
        <v>2101</v>
      </c>
      <c r="E47" s="761" t="s">
        <v>1920</v>
      </c>
      <c r="F47" s="773">
        <v>13</v>
      </c>
      <c r="G47" s="778" t="s">
        <v>693</v>
      </c>
      <c r="H47" s="779" t="s">
        <v>2109</v>
      </c>
      <c r="I47" s="780"/>
      <c r="J47" s="781"/>
      <c r="K47" s="781">
        <v>1</v>
      </c>
      <c r="L47" s="781"/>
      <c r="M47" s="781"/>
      <c r="N47" s="781"/>
      <c r="O47" s="781"/>
      <c r="P47" s="782"/>
      <c r="Q47" s="783">
        <f t="shared" si="0"/>
        <v>1</v>
      </c>
      <c r="R47" s="777" t="s">
        <v>984</v>
      </c>
      <c r="S47" s="761" t="s">
        <v>964</v>
      </c>
      <c r="T47" s="784" t="s">
        <v>965</v>
      </c>
      <c r="U47" s="761" t="s">
        <v>2110</v>
      </c>
      <c r="V47" s="761" t="s">
        <v>991</v>
      </c>
      <c r="W47" s="761" t="s">
        <v>2111</v>
      </c>
      <c r="X47" s="1263">
        <v>2</v>
      </c>
      <c r="Y47" s="809" t="s">
        <v>978</v>
      </c>
      <c r="Z47" s="778" t="s">
        <v>693</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customHeight="1">
      <c r="A48" s="760" t="s">
        <v>972</v>
      </c>
      <c r="B48" s="761">
        <v>42</v>
      </c>
      <c r="C48" s="777" t="s">
        <v>2112</v>
      </c>
      <c r="D48" s="761" t="s">
        <v>2101</v>
      </c>
      <c r="E48" s="761" t="s">
        <v>1920</v>
      </c>
      <c r="F48" s="773">
        <v>14</v>
      </c>
      <c r="G48" s="778" t="s">
        <v>1016</v>
      </c>
      <c r="H48" s="779" t="s">
        <v>2113</v>
      </c>
      <c r="I48" s="780"/>
      <c r="J48" s="781">
        <v>0.39</v>
      </c>
      <c r="K48" s="781">
        <v>0.61</v>
      </c>
      <c r="L48" s="781"/>
      <c r="M48" s="781"/>
      <c r="N48" s="781"/>
      <c r="O48" s="781"/>
      <c r="P48" s="782"/>
      <c r="Q48" s="783">
        <f t="shared" si="0"/>
        <v>1</v>
      </c>
      <c r="R48" s="777" t="s">
        <v>984</v>
      </c>
      <c r="S48" s="761" t="s">
        <v>964</v>
      </c>
      <c r="T48" s="784" t="s">
        <v>965</v>
      </c>
      <c r="U48" s="761" t="s">
        <v>2114</v>
      </c>
      <c r="V48" s="761" t="s">
        <v>293</v>
      </c>
      <c r="W48" s="761" t="s">
        <v>2115</v>
      </c>
      <c r="X48" s="1263">
        <v>2</v>
      </c>
      <c r="Y48" s="809" t="s">
        <v>966</v>
      </c>
      <c r="Z48" s="778" t="s">
        <v>1016</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customHeight="1">
      <c r="A49" s="760" t="s">
        <v>972</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975</v>
      </c>
      <c r="S49" s="1925" t="s">
        <v>964</v>
      </c>
      <c r="T49" s="784" t="s">
        <v>965</v>
      </c>
      <c r="U49" s="761" t="s">
        <v>1939</v>
      </c>
      <c r="V49" s="761" t="s">
        <v>293</v>
      </c>
      <c r="W49" s="761" t="s">
        <v>2119</v>
      </c>
      <c r="X49" s="817">
        <v>1</v>
      </c>
      <c r="Y49" s="809" t="s">
        <v>978</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961</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972</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988</v>
      </c>
      <c r="S50" s="761" t="s">
        <v>964</v>
      </c>
      <c r="T50" s="784" t="s">
        <v>965</v>
      </c>
      <c r="U50" s="761" t="s">
        <v>2014</v>
      </c>
      <c r="V50" s="761" t="s">
        <v>991</v>
      </c>
      <c r="W50" s="761" t="s">
        <v>2025</v>
      </c>
      <c r="X50" s="817">
        <v>0</v>
      </c>
      <c r="Y50" s="809" t="s">
        <v>978</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961</v>
      </c>
      <c r="BM50" s="773" t="s">
        <v>961</v>
      </c>
      <c r="BN50" s="773" t="s">
        <v>961</v>
      </c>
      <c r="BO50" s="773" t="s">
        <v>961</v>
      </c>
      <c r="BP50" s="784" t="s">
        <v>961</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972</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988</v>
      </c>
      <c r="S51" s="761" t="s">
        <v>964</v>
      </c>
      <c r="T51" s="784" t="s">
        <v>965</v>
      </c>
      <c r="U51" s="761" t="s">
        <v>2087</v>
      </c>
      <c r="V51" s="761" t="s">
        <v>991</v>
      </c>
      <c r="W51" s="761" t="s">
        <v>2126</v>
      </c>
      <c r="X51" s="817">
        <v>0</v>
      </c>
      <c r="Y51" s="809" t="s">
        <v>978</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961</v>
      </c>
      <c r="BM51" s="773" t="s">
        <v>961</v>
      </c>
      <c r="BN51" s="773" t="s">
        <v>961</v>
      </c>
      <c r="BO51" s="773" t="s">
        <v>961</v>
      </c>
      <c r="BP51" s="784" t="s">
        <v>961</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972</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963</v>
      </c>
      <c r="S52" s="761"/>
      <c r="T52" s="784"/>
      <c r="U52" s="761" t="s">
        <v>2103</v>
      </c>
      <c r="V52" s="761" t="s">
        <v>991</v>
      </c>
      <c r="W52" s="761" t="s">
        <v>2131</v>
      </c>
      <c r="X52" s="1298">
        <v>0</v>
      </c>
      <c r="Y52" s="809" t="s">
        <v>978</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972</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988</v>
      </c>
      <c r="S53" s="761" t="s">
        <v>964</v>
      </c>
      <c r="T53" s="784" t="s">
        <v>977</v>
      </c>
      <c r="U53" s="761" t="s">
        <v>2135</v>
      </c>
      <c r="V53" s="761" t="s">
        <v>991</v>
      </c>
      <c r="W53" s="761" t="s">
        <v>2136</v>
      </c>
      <c r="X53" s="817">
        <v>0</v>
      </c>
      <c r="Y53" s="809" t="s">
        <v>966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961</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972</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988</v>
      </c>
      <c r="S54" s="761" t="s">
        <v>964</v>
      </c>
      <c r="T54" s="784" t="s">
        <v>965</v>
      </c>
      <c r="U54" s="761" t="s">
        <v>2008</v>
      </c>
      <c r="V54" s="761" t="s">
        <v>991</v>
      </c>
      <c r="W54" s="761" t="s">
        <v>2141</v>
      </c>
      <c r="X54" s="1263">
        <v>0</v>
      </c>
      <c r="Y54" s="807" t="s">
        <v>978</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961</v>
      </c>
      <c r="BM54" s="773" t="s">
        <v>961</v>
      </c>
      <c r="BN54" s="773" t="s">
        <v>961</v>
      </c>
      <c r="BO54" s="773" t="s">
        <v>961</v>
      </c>
      <c r="BP54" s="784" t="s">
        <v>961</v>
      </c>
      <c r="BQ54" s="796" t="s">
        <v>1971</v>
      </c>
      <c r="BR54" s="788" t="s">
        <v>1971</v>
      </c>
      <c r="BS54" s="788" t="s">
        <v>1971</v>
      </c>
      <c r="BT54" s="788" t="s">
        <v>1971</v>
      </c>
      <c r="BU54" s="793" t="s">
        <v>1971</v>
      </c>
      <c r="BV54" s="1394"/>
      <c r="BW54" s="1343"/>
      <c r="BX54" s="1343"/>
      <c r="BY54" s="1343"/>
      <c r="BZ54" s="1343"/>
      <c r="CA54" s="796" t="s">
        <v>1971</v>
      </c>
      <c r="CB54" s="788" t="s">
        <v>1971</v>
      </c>
      <c r="CC54" s="788" t="s">
        <v>1971</v>
      </c>
      <c r="CD54" s="788" t="s">
        <v>1971</v>
      </c>
      <c r="CE54" s="793" t="s">
        <v>1971</v>
      </c>
      <c r="CF54" s="788" t="s">
        <v>1971</v>
      </c>
      <c r="CG54" s="788" t="s">
        <v>1971</v>
      </c>
      <c r="CH54" s="788" t="s">
        <v>1971</v>
      </c>
      <c r="CI54" s="788" t="s">
        <v>1971</v>
      </c>
      <c r="CJ54" s="793" t="s">
        <v>1971</v>
      </c>
      <c r="CK54" s="1394"/>
      <c r="CL54" s="1343"/>
      <c r="CM54" s="1343"/>
      <c r="CN54" s="1343"/>
      <c r="CO54" s="1344"/>
      <c r="CP54" s="796" t="s">
        <v>1971</v>
      </c>
      <c r="CQ54" s="788" t="s">
        <v>1971</v>
      </c>
      <c r="CR54" s="788" t="s">
        <v>1971</v>
      </c>
      <c r="CS54" s="788" t="s">
        <v>1971</v>
      </c>
      <c r="CT54" s="793" t="s">
        <v>1971</v>
      </c>
      <c r="CU54" s="1499"/>
      <c r="CV54" s="1272" t="s">
        <v>1971</v>
      </c>
      <c r="CW54" s="1272" t="s">
        <v>1971</v>
      </c>
      <c r="CX54" s="1274" t="s">
        <v>1971</v>
      </c>
      <c r="CY54" s="1490"/>
      <c r="CZ54" s="1272" t="s">
        <v>1971</v>
      </c>
      <c r="DA54" s="1272" t="s">
        <v>1971</v>
      </c>
      <c r="DB54" s="1274" t="s">
        <v>1971</v>
      </c>
      <c r="DC54" s="773" t="s">
        <v>973</v>
      </c>
      <c r="DD54" s="801">
        <v>1</v>
      </c>
      <c r="DE54" s="802"/>
    </row>
    <row r="55" spans="1:109" ht="15.75" customHeight="1">
      <c r="A55" s="760" t="s">
        <v>972</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963</v>
      </c>
      <c r="S55" s="761"/>
      <c r="T55" s="784"/>
      <c r="U55" s="761" t="s">
        <v>2146</v>
      </c>
      <c r="V55" s="761" t="s">
        <v>2147</v>
      </c>
      <c r="W55" s="761" t="s">
        <v>2148</v>
      </c>
      <c r="X55" s="1298">
        <v>1</v>
      </c>
      <c r="Y55" s="807" t="s">
        <v>966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961</v>
      </c>
      <c r="BM55" s="773" t="s">
        <v>961</v>
      </c>
      <c r="BN55" s="773" t="s">
        <v>961</v>
      </c>
      <c r="BO55" s="773" t="s">
        <v>961</v>
      </c>
      <c r="BP55" s="784" t="s">
        <v>961</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972</v>
      </c>
      <c r="B56" s="761">
        <v>50</v>
      </c>
      <c r="C56" s="777" t="s">
        <v>2149</v>
      </c>
      <c r="D56" s="761" t="s">
        <v>2143</v>
      </c>
      <c r="E56" s="761" t="s">
        <v>1936</v>
      </c>
      <c r="F56" s="773">
        <v>22</v>
      </c>
      <c r="G56" s="778" t="s">
        <v>658</v>
      </c>
      <c r="H56" s="779" t="s">
        <v>2150</v>
      </c>
      <c r="I56" s="780"/>
      <c r="J56" s="781"/>
      <c r="K56" s="781"/>
      <c r="L56" s="781"/>
      <c r="M56" s="781">
        <v>1</v>
      </c>
      <c r="N56" s="781"/>
      <c r="O56" s="781"/>
      <c r="P56" s="782"/>
      <c r="Q56" s="783">
        <f t="shared" si="0"/>
        <v>1</v>
      </c>
      <c r="R56" s="777" t="s">
        <v>963</v>
      </c>
      <c r="S56" s="761"/>
      <c r="T56" s="784"/>
      <c r="U56" s="761" t="s">
        <v>2146</v>
      </c>
      <c r="V56" s="761" t="s">
        <v>293</v>
      </c>
      <c r="W56" s="761" t="s">
        <v>2151</v>
      </c>
      <c r="X56" s="817">
        <v>1</v>
      </c>
      <c r="Y56" s="814" t="s">
        <v>966</v>
      </c>
      <c r="Z56" s="778" t="s">
        <v>658</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customHeight="1">
      <c r="A57" s="760" t="s">
        <v>972</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988</v>
      </c>
      <c r="S57" s="761" t="s">
        <v>964</v>
      </c>
      <c r="T57" s="784" t="s">
        <v>965</v>
      </c>
      <c r="U57" s="761" t="s">
        <v>2146</v>
      </c>
      <c r="V57" s="761" t="s">
        <v>293</v>
      </c>
      <c r="W57" s="761" t="s">
        <v>2156</v>
      </c>
      <c r="X57" s="817">
        <v>2</v>
      </c>
      <c r="Y57" s="809" t="s">
        <v>978</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961</v>
      </c>
      <c r="BM57" s="773" t="s">
        <v>961</v>
      </c>
      <c r="BN57" s="773" t="s">
        <v>961</v>
      </c>
      <c r="BO57" s="773" t="s">
        <v>961</v>
      </c>
      <c r="BP57" s="784" t="s">
        <v>961</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972</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963</v>
      </c>
      <c r="S58" s="761"/>
      <c r="T58" s="784"/>
      <c r="U58" s="761" t="s">
        <v>2161</v>
      </c>
      <c r="V58" s="761" t="s">
        <v>293</v>
      </c>
      <c r="W58" s="761" t="s">
        <v>2162</v>
      </c>
      <c r="X58" s="817">
        <v>1</v>
      </c>
      <c r="Y58" s="809" t="s">
        <v>966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972</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963</v>
      </c>
      <c r="S59" s="761"/>
      <c r="T59" s="784"/>
      <c r="U59" s="761" t="s">
        <v>2161</v>
      </c>
      <c r="V59" s="761" t="s">
        <v>293</v>
      </c>
      <c r="W59" s="761" t="s">
        <v>2166</v>
      </c>
      <c r="X59" s="1297">
        <v>1</v>
      </c>
      <c r="Y59" s="809" t="s">
        <v>966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972</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963</v>
      </c>
      <c r="S60" s="761"/>
      <c r="T60" s="784"/>
      <c r="U60" s="761" t="s">
        <v>1976</v>
      </c>
      <c r="V60" s="761" t="s">
        <v>1039</v>
      </c>
      <c r="W60" s="761" t="s">
        <v>2170</v>
      </c>
      <c r="X60" s="1263">
        <v>1</v>
      </c>
      <c r="Y60" s="809" t="s">
        <v>966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972</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988</v>
      </c>
      <c r="S61" s="761" t="s">
        <v>964</v>
      </c>
      <c r="T61" s="784" t="s">
        <v>965</v>
      </c>
      <c r="U61" s="761" t="s">
        <v>2135</v>
      </c>
      <c r="V61" s="761" t="s">
        <v>991</v>
      </c>
      <c r="W61" s="761" t="s">
        <v>2174</v>
      </c>
      <c r="X61" s="817">
        <v>0</v>
      </c>
      <c r="Y61" s="786" t="s">
        <v>966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961</v>
      </c>
      <c r="BM61" s="773" t="s">
        <v>961</v>
      </c>
      <c r="BN61" s="773" t="s">
        <v>961</v>
      </c>
      <c r="BO61" s="773" t="s">
        <v>961</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972</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988</v>
      </c>
      <c r="S62" s="761" t="s">
        <v>964</v>
      </c>
      <c r="T62" s="784" t="s">
        <v>965</v>
      </c>
      <c r="U62" s="761" t="s">
        <v>2178</v>
      </c>
      <c r="V62" s="761" t="s">
        <v>991</v>
      </c>
      <c r="W62" s="761" t="s">
        <v>2179</v>
      </c>
      <c r="X62" s="1263">
        <v>2</v>
      </c>
      <c r="Y62" s="786" t="s">
        <v>978</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961</v>
      </c>
      <c r="BM62" s="773" t="s">
        <v>961</v>
      </c>
      <c r="BN62" s="773" t="s">
        <v>961</v>
      </c>
      <c r="BO62" s="773" t="s">
        <v>961</v>
      </c>
      <c r="BP62" s="784" t="s">
        <v>961</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972</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963</v>
      </c>
      <c r="S63" s="761"/>
      <c r="T63" s="784"/>
      <c r="U63" s="761" t="s">
        <v>1955</v>
      </c>
      <c r="V63" s="761" t="s">
        <v>1039</v>
      </c>
      <c r="W63" s="761" t="s">
        <v>2183</v>
      </c>
      <c r="X63" s="1298">
        <v>3</v>
      </c>
      <c r="Y63" s="807" t="s">
        <v>978</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972</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963</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972</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963</v>
      </c>
      <c r="S65" s="761"/>
      <c r="T65" s="784"/>
      <c r="U65" s="761" t="s">
        <v>2058</v>
      </c>
      <c r="V65" s="761" t="s">
        <v>991</v>
      </c>
      <c r="W65" s="761" t="s">
        <v>2191</v>
      </c>
      <c r="X65" s="817">
        <v>1</v>
      </c>
      <c r="Y65" s="807" t="s">
        <v>966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972</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984</v>
      </c>
      <c r="S66" s="761" t="s">
        <v>964</v>
      </c>
      <c r="T66" s="784" t="s">
        <v>977</v>
      </c>
      <c r="U66" s="761" t="s">
        <v>2194</v>
      </c>
      <c r="V66" s="761" t="s">
        <v>991</v>
      </c>
      <c r="W66" s="761" t="s">
        <v>2195</v>
      </c>
      <c r="X66" s="817">
        <v>0</v>
      </c>
      <c r="Y66" s="807" t="s">
        <v>966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961</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972</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984</v>
      </c>
      <c r="S67" s="761" t="s">
        <v>964</v>
      </c>
      <c r="T67" s="784" t="s">
        <v>977</v>
      </c>
      <c r="U67" s="761" t="s">
        <v>2194</v>
      </c>
      <c r="V67" s="761" t="s">
        <v>991</v>
      </c>
      <c r="W67" s="761" t="s">
        <v>2196</v>
      </c>
      <c r="X67" s="817">
        <v>1</v>
      </c>
      <c r="Y67" s="807" t="s">
        <v>966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961</v>
      </c>
      <c r="BM67" s="1881" t="s">
        <v>961</v>
      </c>
      <c r="BN67" s="1881" t="s">
        <v>961</v>
      </c>
      <c r="BO67" s="1881" t="s">
        <v>961</v>
      </c>
      <c r="BP67" s="784" t="s">
        <v>961</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499">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972</v>
      </c>
      <c r="B68" s="761">
        <v>62</v>
      </c>
      <c r="C68" s="777" t="s">
        <v>2197</v>
      </c>
      <c r="D68" s="761"/>
      <c r="E68" s="761"/>
      <c r="F68" s="773">
        <v>40</v>
      </c>
      <c r="G68" s="778" t="s">
        <v>2198</v>
      </c>
      <c r="H68" s="779"/>
      <c r="I68" s="780"/>
      <c r="J68" s="781"/>
      <c r="K68" s="781"/>
      <c r="L68" s="781"/>
      <c r="M68" s="781"/>
      <c r="N68" s="781"/>
      <c r="O68" s="781"/>
      <c r="P68" s="782"/>
      <c r="Q68" s="783">
        <f t="shared" si="0"/>
        <v>0</v>
      </c>
      <c r="R68" s="777" t="s">
        <v>963</v>
      </c>
      <c r="S68" s="761"/>
      <c r="T68" s="784"/>
      <c r="U68" s="761"/>
      <c r="V68" s="761" t="s">
        <v>293</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972</v>
      </c>
      <c r="B69" s="761">
        <v>63</v>
      </c>
      <c r="C69" s="777" t="s">
        <v>2199</v>
      </c>
      <c r="D69" s="761"/>
      <c r="E69" s="761"/>
      <c r="F69" s="773">
        <v>41</v>
      </c>
      <c r="G69" s="778" t="s">
        <v>2200</v>
      </c>
      <c r="H69" s="779"/>
      <c r="I69" s="780"/>
      <c r="J69" s="781">
        <v>1</v>
      </c>
      <c r="K69" s="781"/>
      <c r="L69" s="781"/>
      <c r="M69" s="781"/>
      <c r="N69" s="781"/>
      <c r="O69" s="781"/>
      <c r="P69" s="782"/>
      <c r="Q69" s="783">
        <f t="shared" si="0"/>
        <v>1</v>
      </c>
      <c r="R69" s="777" t="s">
        <v>984</v>
      </c>
      <c r="S69" s="761" t="s">
        <v>964</v>
      </c>
      <c r="T69" s="784" t="s">
        <v>977</v>
      </c>
      <c r="U69" s="761"/>
      <c r="V69" s="761" t="s">
        <v>2147</v>
      </c>
      <c r="W69" s="761"/>
      <c r="X69" s="817">
        <v>0</v>
      </c>
      <c r="Y69" s="807" t="s">
        <v>966</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961</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972</v>
      </c>
      <c r="B70" s="761">
        <v>64</v>
      </c>
      <c r="C70" s="777" t="s">
        <v>2201</v>
      </c>
      <c r="D70" s="761"/>
      <c r="E70" s="761"/>
      <c r="F70" s="773" t="s">
        <v>2061</v>
      </c>
      <c r="G70" s="778" t="s">
        <v>2062</v>
      </c>
      <c r="H70" s="779"/>
      <c r="I70" s="780"/>
      <c r="J70" s="781"/>
      <c r="K70" s="781"/>
      <c r="L70" s="781"/>
      <c r="M70" s="781"/>
      <c r="N70" s="781"/>
      <c r="O70" s="781"/>
      <c r="P70" s="782"/>
      <c r="Q70" s="783">
        <f t="shared" si="0"/>
        <v>0</v>
      </c>
      <c r="R70" s="777" t="s">
        <v>963</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972</v>
      </c>
      <c r="B71" s="761">
        <v>65</v>
      </c>
      <c r="C71" s="777" t="s">
        <v>2202</v>
      </c>
      <c r="D71" s="761"/>
      <c r="E71" s="761"/>
      <c r="F71" s="773">
        <v>42</v>
      </c>
      <c r="G71" s="778" t="s">
        <v>2203</v>
      </c>
      <c r="H71" s="779"/>
      <c r="I71" s="780"/>
      <c r="J71" s="781"/>
      <c r="K71" s="781">
        <v>1</v>
      </c>
      <c r="L71" s="781"/>
      <c r="M71" s="781"/>
      <c r="N71" s="781"/>
      <c r="O71" s="781"/>
      <c r="P71" s="782"/>
      <c r="Q71" s="783">
        <f t="shared" si="0"/>
        <v>1</v>
      </c>
      <c r="R71" s="777" t="s">
        <v>984</v>
      </c>
      <c r="S71" s="761" t="s">
        <v>964</v>
      </c>
      <c r="T71" s="784" t="s">
        <v>977</v>
      </c>
      <c r="U71" s="761"/>
      <c r="V71" s="761" t="s">
        <v>2204</v>
      </c>
      <c r="W71" s="761" t="s">
        <v>2205</v>
      </c>
      <c r="X71" s="1263">
        <v>0</v>
      </c>
      <c r="Y71" s="807" t="s">
        <v>966</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961</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972</v>
      </c>
      <c r="B72" s="761">
        <v>66</v>
      </c>
      <c r="C72" s="777" t="s">
        <v>2206</v>
      </c>
      <c r="D72" s="761"/>
      <c r="E72" s="761"/>
      <c r="F72" s="773">
        <v>43</v>
      </c>
      <c r="G72" s="778" t="s">
        <v>2207</v>
      </c>
      <c r="H72" s="779"/>
      <c r="I72" s="780"/>
      <c r="J72" s="781"/>
      <c r="K72" s="781"/>
      <c r="L72" s="781"/>
      <c r="M72" s="781"/>
      <c r="N72" s="781"/>
      <c r="O72" s="781"/>
      <c r="P72" s="782"/>
      <c r="Q72" s="783">
        <f t="shared" si="0"/>
        <v>0</v>
      </c>
      <c r="R72" s="777" t="s">
        <v>963</v>
      </c>
      <c r="S72" s="761"/>
      <c r="T72" s="784"/>
      <c r="U72" s="761"/>
      <c r="V72" s="761" t="s">
        <v>293</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972</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963</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972</v>
      </c>
      <c r="B74" s="761">
        <v>68</v>
      </c>
      <c r="C74" s="777" t="s">
        <v>2210</v>
      </c>
      <c r="D74" s="761"/>
      <c r="E74" s="761"/>
      <c r="F74" s="773">
        <v>45</v>
      </c>
      <c r="G74" s="778" t="s">
        <v>2211</v>
      </c>
      <c r="H74" s="779"/>
      <c r="I74" s="780"/>
      <c r="J74" s="781"/>
      <c r="K74" s="781"/>
      <c r="L74" s="781"/>
      <c r="M74" s="781"/>
      <c r="N74" s="781"/>
      <c r="O74" s="781"/>
      <c r="P74" s="782"/>
      <c r="Q74" s="783">
        <f t="shared" si="1"/>
        <v>0</v>
      </c>
      <c r="R74" s="777" t="s">
        <v>963</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972</v>
      </c>
      <c r="B75" s="761">
        <v>69</v>
      </c>
      <c r="C75" s="777" t="s">
        <v>2213</v>
      </c>
      <c r="D75" s="761"/>
      <c r="E75" s="761"/>
      <c r="F75" s="773">
        <v>46</v>
      </c>
      <c r="G75" s="778" t="s">
        <v>2214</v>
      </c>
      <c r="H75" s="779"/>
      <c r="I75" s="780"/>
      <c r="J75" s="781"/>
      <c r="K75" s="781"/>
      <c r="L75" s="781"/>
      <c r="M75" s="781"/>
      <c r="N75" s="781"/>
      <c r="O75" s="781"/>
      <c r="P75" s="782"/>
      <c r="Q75" s="783">
        <f t="shared" si="1"/>
        <v>0</v>
      </c>
      <c r="R75" s="777" t="s">
        <v>963</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972</v>
      </c>
      <c r="B76" s="761">
        <v>70</v>
      </c>
      <c r="C76" s="777" t="s">
        <v>2216</v>
      </c>
      <c r="D76" s="761"/>
      <c r="E76" s="761"/>
      <c r="F76" s="773">
        <v>47</v>
      </c>
      <c r="G76" s="778" t="s">
        <v>2217</v>
      </c>
      <c r="H76" s="779"/>
      <c r="I76" s="780"/>
      <c r="J76" s="781">
        <v>1</v>
      </c>
      <c r="K76" s="781"/>
      <c r="L76" s="781"/>
      <c r="M76" s="781"/>
      <c r="N76" s="781"/>
      <c r="O76" s="781"/>
      <c r="P76" s="782"/>
      <c r="Q76" s="783">
        <f t="shared" si="1"/>
        <v>1</v>
      </c>
      <c r="R76" s="777" t="s">
        <v>984</v>
      </c>
      <c r="S76" s="761" t="s">
        <v>964</v>
      </c>
      <c r="T76" s="784" t="s">
        <v>977</v>
      </c>
      <c r="U76" s="761"/>
      <c r="V76" s="761" t="s">
        <v>1030</v>
      </c>
      <c r="W76" s="761" t="s">
        <v>1042</v>
      </c>
      <c r="X76" s="817">
        <v>0</v>
      </c>
      <c r="Y76" s="807" t="s">
        <v>1010</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961</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972</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964</v>
      </c>
      <c r="T77" s="784" t="s">
        <v>977</v>
      </c>
      <c r="U77" s="761"/>
      <c r="V77" s="761" t="s">
        <v>1030</v>
      </c>
      <c r="W77" s="761" t="s">
        <v>2222</v>
      </c>
      <c r="X77" s="1263">
        <v>0</v>
      </c>
      <c r="Y77" s="807" t="s">
        <v>1010</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961</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1022</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984</v>
      </c>
      <c r="S78" s="761" t="s">
        <v>964</v>
      </c>
      <c r="T78" s="784" t="s">
        <v>965</v>
      </c>
      <c r="U78" s="761" t="s">
        <v>1955</v>
      </c>
      <c r="V78" s="761" t="s">
        <v>1039</v>
      </c>
      <c r="W78" s="761" t="s">
        <v>2227</v>
      </c>
      <c r="X78" s="817">
        <v>2</v>
      </c>
      <c r="Y78" s="809" t="s">
        <v>978</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customHeight="1">
      <c r="A79" s="760" t="s">
        <v>1022</v>
      </c>
      <c r="B79" s="761">
        <v>73</v>
      </c>
      <c r="C79" s="777" t="s">
        <v>2228</v>
      </c>
      <c r="D79" s="761" t="s">
        <v>2224</v>
      </c>
      <c r="E79" s="761" t="s">
        <v>1920</v>
      </c>
      <c r="F79" s="773" t="s">
        <v>2229</v>
      </c>
      <c r="G79" s="778" t="s">
        <v>154</v>
      </c>
      <c r="H79" s="779" t="s">
        <v>2230</v>
      </c>
      <c r="I79" s="780"/>
      <c r="J79" s="781">
        <v>1</v>
      </c>
      <c r="K79" s="781"/>
      <c r="L79" s="781"/>
      <c r="M79" s="781"/>
      <c r="N79" s="781"/>
      <c r="O79" s="781"/>
      <c r="P79" s="782"/>
      <c r="Q79" s="783">
        <f t="shared" si="1"/>
        <v>1</v>
      </c>
      <c r="R79" s="777" t="s">
        <v>988</v>
      </c>
      <c r="S79" s="761" t="s">
        <v>964</v>
      </c>
      <c r="T79" s="784" t="s">
        <v>965</v>
      </c>
      <c r="U79" s="761" t="s">
        <v>1923</v>
      </c>
      <c r="V79" s="761" t="s">
        <v>1009</v>
      </c>
      <c r="W79" s="761" t="s">
        <v>2077</v>
      </c>
      <c r="X79" s="1263">
        <v>0</v>
      </c>
      <c r="Y79" s="807" t="s">
        <v>978</v>
      </c>
      <c r="Z79" s="778" t="s">
        <v>154</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customHeight="1">
      <c r="A80" s="760" t="s">
        <v>1022</v>
      </c>
      <c r="B80" s="761">
        <v>74</v>
      </c>
      <c r="C80" s="777" t="s">
        <v>2231</v>
      </c>
      <c r="D80" s="761" t="s">
        <v>2224</v>
      </c>
      <c r="E80" s="761" t="s">
        <v>1920</v>
      </c>
      <c r="F80" s="773" t="s">
        <v>2232</v>
      </c>
      <c r="G80" s="778" t="s">
        <v>178</v>
      </c>
      <c r="H80" s="779" t="s">
        <v>2233</v>
      </c>
      <c r="I80" s="780"/>
      <c r="J80" s="781">
        <v>1</v>
      </c>
      <c r="K80" s="781"/>
      <c r="L80" s="781"/>
      <c r="M80" s="781"/>
      <c r="N80" s="781"/>
      <c r="O80" s="781"/>
      <c r="P80" s="782"/>
      <c r="Q80" s="783">
        <f t="shared" si="1"/>
        <v>1</v>
      </c>
      <c r="R80" s="777" t="s">
        <v>984</v>
      </c>
      <c r="S80" s="761" t="s">
        <v>964</v>
      </c>
      <c r="T80" s="784" t="s">
        <v>965</v>
      </c>
      <c r="U80" s="761" t="s">
        <v>2103</v>
      </c>
      <c r="V80" s="761" t="s">
        <v>991</v>
      </c>
      <c r="W80" s="761" t="s">
        <v>2234</v>
      </c>
      <c r="X80" s="1263">
        <v>0</v>
      </c>
      <c r="Y80" s="810" t="s">
        <v>978</v>
      </c>
      <c r="Z80" s="778" t="s">
        <v>178</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customHeight="1">
      <c r="A81" s="760" t="s">
        <v>1022</v>
      </c>
      <c r="B81" s="761">
        <v>75</v>
      </c>
      <c r="C81" s="777" t="s">
        <v>2235</v>
      </c>
      <c r="D81" s="761" t="s">
        <v>2224</v>
      </c>
      <c r="E81" s="761" t="s">
        <v>1936</v>
      </c>
      <c r="F81" s="773" t="s">
        <v>2236</v>
      </c>
      <c r="G81" s="778" t="s">
        <v>184</v>
      </c>
      <c r="H81" s="779" t="s">
        <v>2237</v>
      </c>
      <c r="I81" s="780"/>
      <c r="J81" s="781">
        <v>1</v>
      </c>
      <c r="K81" s="781"/>
      <c r="L81" s="781"/>
      <c r="M81" s="781"/>
      <c r="N81" s="781"/>
      <c r="O81" s="781"/>
      <c r="P81" s="782"/>
      <c r="Q81" s="783">
        <f t="shared" si="1"/>
        <v>1</v>
      </c>
      <c r="R81" s="777" t="s">
        <v>984</v>
      </c>
      <c r="S81" s="761" t="s">
        <v>964</v>
      </c>
      <c r="T81" s="784" t="s">
        <v>965</v>
      </c>
      <c r="U81" s="761" t="s">
        <v>1944</v>
      </c>
      <c r="V81" s="761" t="s">
        <v>293</v>
      </c>
      <c r="W81" s="761" t="s">
        <v>2107</v>
      </c>
      <c r="X81" s="817">
        <v>2</v>
      </c>
      <c r="Y81" s="814" t="s">
        <v>978</v>
      </c>
      <c r="Z81" s="778" t="s">
        <v>184</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customHeight="1">
      <c r="A82" s="760" t="s">
        <v>1022</v>
      </c>
      <c r="B82" s="761">
        <v>76</v>
      </c>
      <c r="C82" s="777" t="s">
        <v>2238</v>
      </c>
      <c r="D82" s="761" t="s">
        <v>2224</v>
      </c>
      <c r="E82" s="761" t="s">
        <v>1936</v>
      </c>
      <c r="F82" s="773" t="s">
        <v>2239</v>
      </c>
      <c r="G82" s="778" t="s">
        <v>499</v>
      </c>
      <c r="H82" s="779" t="s">
        <v>2240</v>
      </c>
      <c r="I82" s="780">
        <v>1</v>
      </c>
      <c r="J82" s="781"/>
      <c r="K82" s="781"/>
      <c r="L82" s="781"/>
      <c r="M82" s="781"/>
      <c r="N82" s="781"/>
      <c r="O82" s="781"/>
      <c r="P82" s="782"/>
      <c r="Q82" s="783">
        <f t="shared" si="1"/>
        <v>1</v>
      </c>
      <c r="R82" s="777" t="s">
        <v>963</v>
      </c>
      <c r="S82" s="761"/>
      <c r="T82" s="784"/>
      <c r="U82" s="761" t="s">
        <v>1939</v>
      </c>
      <c r="V82" s="761" t="s">
        <v>293</v>
      </c>
      <c r="W82" s="761" t="s">
        <v>2241</v>
      </c>
      <c r="X82" s="1297">
        <v>0</v>
      </c>
      <c r="Y82" s="809" t="s">
        <v>978</v>
      </c>
      <c r="Z82" s="778" t="s">
        <v>499</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customHeight="1">
      <c r="A83" s="760" t="s">
        <v>1022</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988</v>
      </c>
      <c r="S83" s="761" t="s">
        <v>964</v>
      </c>
      <c r="T83" s="784" t="s">
        <v>965</v>
      </c>
      <c r="U83" s="761" t="s">
        <v>2178</v>
      </c>
      <c r="V83" s="761" t="s">
        <v>991</v>
      </c>
      <c r="W83" s="761" t="s">
        <v>2246</v>
      </c>
      <c r="X83" s="817">
        <v>2</v>
      </c>
      <c r="Y83" s="814" t="s">
        <v>978</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961</v>
      </c>
      <c r="BM83" s="773" t="s">
        <v>961</v>
      </c>
      <c r="BN83" s="773" t="s">
        <v>961</v>
      </c>
      <c r="BO83" s="773" t="s">
        <v>961</v>
      </c>
      <c r="BP83" s="784" t="s">
        <v>961</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1022</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988</v>
      </c>
      <c r="S84" s="761" t="s">
        <v>964</v>
      </c>
      <c r="T84" s="784" t="s">
        <v>965</v>
      </c>
      <c r="U84" s="761" t="s">
        <v>2178</v>
      </c>
      <c r="V84" s="761" t="s">
        <v>991</v>
      </c>
      <c r="W84" s="761" t="s">
        <v>2246</v>
      </c>
      <c r="X84" s="817">
        <v>2</v>
      </c>
      <c r="Y84" s="809" t="s">
        <v>978</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961</v>
      </c>
      <c r="BM84" s="773" t="s">
        <v>961</v>
      </c>
      <c r="BN84" s="773" t="s">
        <v>961</v>
      </c>
      <c r="BO84" s="773" t="s">
        <v>961</v>
      </c>
      <c r="BP84" s="784" t="s">
        <v>961</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1022</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988</v>
      </c>
      <c r="S85" s="761" t="s">
        <v>964</v>
      </c>
      <c r="T85" s="784" t="s">
        <v>965</v>
      </c>
      <c r="U85" s="761" t="s">
        <v>2014</v>
      </c>
      <c r="V85" s="761" t="s">
        <v>991</v>
      </c>
      <c r="W85" s="761" t="s">
        <v>2025</v>
      </c>
      <c r="X85" s="817">
        <v>0</v>
      </c>
      <c r="Y85" s="807" t="s">
        <v>978</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961</v>
      </c>
      <c r="BM85" s="773" t="s">
        <v>961</v>
      </c>
      <c r="BN85" s="773" t="s">
        <v>961</v>
      </c>
      <c r="BO85" s="773" t="s">
        <v>961</v>
      </c>
      <c r="BP85" s="784" t="s">
        <v>961</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1022</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984</v>
      </c>
      <c r="S86" s="761" t="s">
        <v>964</v>
      </c>
      <c r="T86" s="784" t="s">
        <v>965</v>
      </c>
      <c r="U86" s="761" t="s">
        <v>2258</v>
      </c>
      <c r="V86" s="761" t="s">
        <v>991</v>
      </c>
      <c r="W86" s="761" t="s">
        <v>2259</v>
      </c>
      <c r="X86" s="817">
        <v>0</v>
      </c>
      <c r="Y86" s="807" t="s">
        <v>978</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961</v>
      </c>
      <c r="BM86" s="773" t="s">
        <v>961</v>
      </c>
      <c r="BN86" s="773" t="s">
        <v>961</v>
      </c>
      <c r="BO86" s="773" t="s">
        <v>961</v>
      </c>
      <c r="BP86" s="784" t="s">
        <v>961</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1022</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984</v>
      </c>
      <c r="S87" s="761" t="s">
        <v>964</v>
      </c>
      <c r="T87" s="784" t="s">
        <v>965</v>
      </c>
      <c r="U87" s="761" t="s">
        <v>2264</v>
      </c>
      <c r="V87" s="761" t="s">
        <v>991</v>
      </c>
      <c r="W87" s="761" t="s">
        <v>2265</v>
      </c>
      <c r="X87" s="817">
        <v>0</v>
      </c>
      <c r="Y87" s="807" t="s">
        <v>978</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961</v>
      </c>
      <c r="BM87" s="773" t="s">
        <v>961</v>
      </c>
      <c r="BN87" s="773" t="s">
        <v>961</v>
      </c>
      <c r="BO87" s="773" t="s">
        <v>961</v>
      </c>
      <c r="BP87" s="784" t="s">
        <v>961</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1022</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988</v>
      </c>
      <c r="S88" s="761" t="s">
        <v>964</v>
      </c>
      <c r="T88" s="784" t="s">
        <v>965</v>
      </c>
      <c r="U88" s="761" t="s">
        <v>1027</v>
      </c>
      <c r="V88" s="761" t="s">
        <v>1039</v>
      </c>
      <c r="W88" s="761" t="s">
        <v>2068</v>
      </c>
      <c r="X88" s="817">
        <v>2</v>
      </c>
      <c r="Y88" s="809" t="s">
        <v>966</v>
      </c>
      <c r="Z88" s="778" t="s">
        <v>1960</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customHeight="1">
      <c r="A89" s="760" t="s">
        <v>1022</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988</v>
      </c>
      <c r="S89" s="761" t="s">
        <v>964</v>
      </c>
      <c r="T89" s="784" t="s">
        <v>965</v>
      </c>
      <c r="U89" s="761" t="s">
        <v>1031</v>
      </c>
      <c r="V89" s="761" t="s">
        <v>1039</v>
      </c>
      <c r="W89" s="761" t="s">
        <v>431</v>
      </c>
      <c r="X89" s="817">
        <v>2</v>
      </c>
      <c r="Y89" s="809" t="s">
        <v>966</v>
      </c>
      <c r="Z89" s="778" t="s">
        <v>1964</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customHeight="1">
      <c r="A90" s="760" t="s">
        <v>1022</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963</v>
      </c>
      <c r="S90" s="761"/>
      <c r="T90" s="784"/>
      <c r="U90" s="761" t="s">
        <v>2146</v>
      </c>
      <c r="V90" s="761" t="s">
        <v>293</v>
      </c>
      <c r="W90" s="761" t="s">
        <v>2277</v>
      </c>
      <c r="X90" s="817">
        <v>0</v>
      </c>
      <c r="Y90" s="809" t="s">
        <v>978</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1022</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963</v>
      </c>
      <c r="S91" s="761"/>
      <c r="T91" s="784"/>
      <c r="U91" s="761" t="s">
        <v>2146</v>
      </c>
      <c r="V91" s="761" t="s">
        <v>293</v>
      </c>
      <c r="W91" s="761" t="s">
        <v>2282</v>
      </c>
      <c r="X91" s="1298">
        <v>0</v>
      </c>
      <c r="Y91" s="809" t="s">
        <v>966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1022</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963</v>
      </c>
      <c r="S92" s="761"/>
      <c r="T92" s="784"/>
      <c r="U92" s="761" t="s">
        <v>2146</v>
      </c>
      <c r="V92" s="761" t="s">
        <v>293</v>
      </c>
      <c r="W92" s="761" t="s">
        <v>2287</v>
      </c>
      <c r="X92" s="817">
        <v>0</v>
      </c>
      <c r="Y92" s="809" t="s">
        <v>966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1022</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988</v>
      </c>
      <c r="S93" s="761" t="s">
        <v>964</v>
      </c>
      <c r="T93" s="784" t="s">
        <v>965</v>
      </c>
      <c r="U93" s="761" t="s">
        <v>2146</v>
      </c>
      <c r="V93" s="761" t="s">
        <v>293</v>
      </c>
      <c r="W93" s="761" t="s">
        <v>2292</v>
      </c>
      <c r="X93" s="1263">
        <v>2</v>
      </c>
      <c r="Y93" s="809" t="s">
        <v>978</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961</v>
      </c>
      <c r="BM93" s="773" t="s">
        <v>961</v>
      </c>
      <c r="BN93" s="773" t="s">
        <v>961</v>
      </c>
      <c r="BO93" s="773" t="s">
        <v>961</v>
      </c>
      <c r="BP93" s="784" t="s">
        <v>961</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1022</v>
      </c>
      <c r="B94" s="761">
        <v>88</v>
      </c>
      <c r="C94" s="777" t="s">
        <v>2293</v>
      </c>
      <c r="D94" s="761" t="s">
        <v>2294</v>
      </c>
      <c r="E94" s="761" t="s">
        <v>1927</v>
      </c>
      <c r="F94" s="773" t="s">
        <v>2295</v>
      </c>
      <c r="G94" s="778" t="s">
        <v>629</v>
      </c>
      <c r="H94" s="779" t="s">
        <v>2296</v>
      </c>
      <c r="I94" s="780"/>
      <c r="J94" s="781">
        <v>1</v>
      </c>
      <c r="K94" s="781"/>
      <c r="L94" s="781"/>
      <c r="M94" s="781"/>
      <c r="N94" s="781"/>
      <c r="O94" s="781"/>
      <c r="P94" s="782"/>
      <c r="Q94" s="783">
        <f t="shared" si="1"/>
        <v>1</v>
      </c>
      <c r="R94" s="777" t="s">
        <v>988</v>
      </c>
      <c r="S94" s="761" t="s">
        <v>964</v>
      </c>
      <c r="T94" s="784" t="s">
        <v>965</v>
      </c>
      <c r="U94" s="761" t="s">
        <v>629</v>
      </c>
      <c r="V94" s="761" t="s">
        <v>991</v>
      </c>
      <c r="W94" s="761" t="s">
        <v>2297</v>
      </c>
      <c r="X94" s="817">
        <v>1</v>
      </c>
      <c r="Y94" s="809" t="s">
        <v>978</v>
      </c>
      <c r="Z94" s="778" t="s">
        <v>629</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customHeight="1">
      <c r="A95" s="760" t="s">
        <v>1022</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988</v>
      </c>
      <c r="S95" s="761" t="s">
        <v>964</v>
      </c>
      <c r="T95" s="1414" t="s">
        <v>977</v>
      </c>
      <c r="U95" s="761" t="s">
        <v>2083</v>
      </c>
      <c r="V95" s="761" t="s">
        <v>991</v>
      </c>
      <c r="W95" s="761" t="s">
        <v>2300</v>
      </c>
      <c r="X95" s="817">
        <v>1</v>
      </c>
      <c r="Y95" s="809" t="s">
        <v>978</v>
      </c>
      <c r="Z95" s="778" t="s">
        <v>1124</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customHeight="1">
      <c r="A96" s="760" t="s">
        <v>1022</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988</v>
      </c>
      <c r="S96" s="761" t="s">
        <v>964</v>
      </c>
      <c r="T96" s="784" t="s">
        <v>977</v>
      </c>
      <c r="U96" s="761" t="s">
        <v>1990</v>
      </c>
      <c r="V96" s="761" t="s">
        <v>293</v>
      </c>
      <c r="W96" s="761" t="s">
        <v>2305</v>
      </c>
      <c r="X96" s="1263">
        <v>2</v>
      </c>
      <c r="Y96" s="786" t="s">
        <v>966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961</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31"/>
      <c r="CL96" s="1916"/>
      <c r="CM96" s="1916"/>
      <c r="CN96" s="1916"/>
      <c r="CO96" s="1932">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1022</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988</v>
      </c>
      <c r="S97" s="761" t="s">
        <v>964</v>
      </c>
      <c r="T97" s="784" t="s">
        <v>965</v>
      </c>
      <c r="U97" s="761" t="s">
        <v>1996</v>
      </c>
      <c r="V97" s="761" t="s">
        <v>991</v>
      </c>
      <c r="W97" s="761" t="s">
        <v>2310</v>
      </c>
      <c r="X97" s="817">
        <v>0</v>
      </c>
      <c r="Y97" s="786" t="s">
        <v>966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961</v>
      </c>
      <c r="BM97" s="773" t="s">
        <v>961</v>
      </c>
      <c r="BN97" s="773" t="s">
        <v>961</v>
      </c>
      <c r="BO97" s="773" t="s">
        <v>961</v>
      </c>
      <c r="BP97" s="784" t="s">
        <v>961</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1022</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988</v>
      </c>
      <c r="S98" s="761" t="s">
        <v>964</v>
      </c>
      <c r="T98" s="784" t="s">
        <v>965</v>
      </c>
      <c r="U98" s="761" t="s">
        <v>2315</v>
      </c>
      <c r="V98" s="761" t="s">
        <v>1039</v>
      </c>
      <c r="W98" s="761" t="s">
        <v>2316</v>
      </c>
      <c r="X98" s="817">
        <v>0</v>
      </c>
      <c r="Y98" s="786" t="s">
        <v>966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961</v>
      </c>
      <c r="BM98" s="773" t="s">
        <v>961</v>
      </c>
      <c r="BN98" s="773" t="s">
        <v>961</v>
      </c>
      <c r="BO98" s="773" t="s">
        <v>961</v>
      </c>
      <c r="BP98" s="784" t="s">
        <v>961</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1022</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984</v>
      </c>
      <c r="S99" s="761" t="s">
        <v>964</v>
      </c>
      <c r="T99" s="784" t="s">
        <v>965</v>
      </c>
      <c r="U99" s="761" t="s">
        <v>2321</v>
      </c>
      <c r="V99" s="761" t="s">
        <v>293</v>
      </c>
      <c r="W99" s="761" t="s">
        <v>2322</v>
      </c>
      <c r="X99" s="1263">
        <v>0</v>
      </c>
      <c r="Y99" s="786" t="s">
        <v>966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961</v>
      </c>
      <c r="BM99" s="773" t="s">
        <v>961</v>
      </c>
      <c r="BN99" s="773" t="s">
        <v>961</v>
      </c>
      <c r="BO99" s="773" t="s">
        <v>961</v>
      </c>
      <c r="BP99" s="784" t="s">
        <v>961</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1022</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984</v>
      </c>
      <c r="S100" s="761" t="s">
        <v>964</v>
      </c>
      <c r="T100" s="784" t="s">
        <v>965</v>
      </c>
      <c r="U100" s="761" t="s">
        <v>2008</v>
      </c>
      <c r="V100" s="761" t="s">
        <v>293</v>
      </c>
      <c r="W100" s="761" t="s">
        <v>2327</v>
      </c>
      <c r="X100" s="817">
        <v>0</v>
      </c>
      <c r="Y100" s="807" t="s">
        <v>966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961</v>
      </c>
      <c r="BM100" s="773" t="s">
        <v>961</v>
      </c>
      <c r="BN100" s="773" t="s">
        <v>961</v>
      </c>
      <c r="BO100" s="773" t="s">
        <v>961</v>
      </c>
      <c r="BP100" s="784" t="s">
        <v>961</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1022</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988</v>
      </c>
      <c r="S101" s="761" t="s">
        <v>964</v>
      </c>
      <c r="T101" s="784" t="s">
        <v>965</v>
      </c>
      <c r="U101" s="761" t="s">
        <v>2332</v>
      </c>
      <c r="V101" s="761" t="s">
        <v>293</v>
      </c>
      <c r="W101" s="761" t="s">
        <v>2333</v>
      </c>
      <c r="X101" s="1263">
        <v>1</v>
      </c>
      <c r="Y101" s="807" t="s">
        <v>966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961</v>
      </c>
      <c r="BM101" s="773" t="s">
        <v>961</v>
      </c>
      <c r="BN101" s="773" t="s">
        <v>961</v>
      </c>
      <c r="BO101" s="773" t="s">
        <v>961</v>
      </c>
      <c r="BP101" s="784" t="s">
        <v>961</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1022</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988</v>
      </c>
      <c r="S102" s="761" t="s">
        <v>964</v>
      </c>
      <c r="T102" s="784" t="s">
        <v>965</v>
      </c>
      <c r="U102" s="761" t="s">
        <v>2008</v>
      </c>
      <c r="V102" s="761" t="s">
        <v>991</v>
      </c>
      <c r="W102" s="761" t="s">
        <v>2338</v>
      </c>
      <c r="X102" s="817">
        <v>1</v>
      </c>
      <c r="Y102" s="807" t="s">
        <v>978</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961</v>
      </c>
      <c r="BM102" s="773" t="s">
        <v>961</v>
      </c>
      <c r="BN102" s="773" t="s">
        <v>961</v>
      </c>
      <c r="BO102" s="773" t="s">
        <v>961</v>
      </c>
      <c r="BP102" s="784" t="s">
        <v>961</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973</v>
      </c>
      <c r="DD102" s="801">
        <v>1</v>
      </c>
      <c r="DE102" s="802" t="s">
        <v>2339</v>
      </c>
    </row>
    <row r="103" spans="1:109" ht="15.75" customHeight="1">
      <c r="A103" s="760" t="s">
        <v>1022</v>
      </c>
      <c r="B103" s="761">
        <v>97</v>
      </c>
      <c r="C103" s="777" t="s">
        <v>2340</v>
      </c>
      <c r="D103" s="761" t="s">
        <v>2267</v>
      </c>
      <c r="E103" s="761" t="s">
        <v>1936</v>
      </c>
      <c r="F103" s="773" t="s">
        <v>2341</v>
      </c>
      <c r="G103" s="778" t="s">
        <v>658</v>
      </c>
      <c r="H103" s="779" t="s">
        <v>2342</v>
      </c>
      <c r="I103" s="780"/>
      <c r="J103" s="781"/>
      <c r="K103" s="781"/>
      <c r="L103" s="781"/>
      <c r="M103" s="781">
        <v>1</v>
      </c>
      <c r="N103" s="781"/>
      <c r="O103" s="781"/>
      <c r="P103" s="782"/>
      <c r="Q103" s="783">
        <f t="shared" si="1"/>
        <v>1</v>
      </c>
      <c r="R103" s="777" t="s">
        <v>963</v>
      </c>
      <c r="S103" s="761"/>
      <c r="T103" s="784"/>
      <c r="U103" s="761" t="s">
        <v>2146</v>
      </c>
      <c r="V103" s="761" t="s">
        <v>293</v>
      </c>
      <c r="W103" s="761" t="s">
        <v>2292</v>
      </c>
      <c r="X103" s="1298">
        <v>1</v>
      </c>
      <c r="Y103" s="809" t="s">
        <v>966</v>
      </c>
      <c r="Z103" s="778" t="s">
        <v>658</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customHeight="1">
      <c r="A104" s="760" t="s">
        <v>1022</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984</v>
      </c>
      <c r="S104" s="761" t="s">
        <v>964</v>
      </c>
      <c r="T104" s="784" t="s">
        <v>977</v>
      </c>
      <c r="U104" s="761"/>
      <c r="V104" s="844" t="s">
        <v>991</v>
      </c>
      <c r="W104" s="761" t="s">
        <v>2346</v>
      </c>
      <c r="X104" s="817">
        <v>0</v>
      </c>
      <c r="Y104" s="1292" t="s">
        <v>978</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961</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1022</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963</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5" customHeight="1">
      <c r="A106" s="760" t="s">
        <v>1022</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963</v>
      </c>
      <c r="S106" s="761"/>
      <c r="T106" s="784"/>
      <c r="U106" s="761"/>
      <c r="V106" s="761" t="s">
        <v>991</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969</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984</v>
      </c>
      <c r="S107" s="761" t="s">
        <v>964</v>
      </c>
      <c r="T107" s="784" t="s">
        <v>965</v>
      </c>
      <c r="U107" s="761" t="s">
        <v>1955</v>
      </c>
      <c r="V107" s="761" t="s">
        <v>1039</v>
      </c>
      <c r="W107" s="761" t="s">
        <v>2361</v>
      </c>
      <c r="X107" s="1299">
        <v>2</v>
      </c>
      <c r="Y107" s="810" t="s">
        <v>978</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customHeight="1">
      <c r="A108" s="760" t="s">
        <v>969</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988</v>
      </c>
      <c r="S108" s="761" t="s">
        <v>964</v>
      </c>
      <c r="T108" s="784" t="s">
        <v>965</v>
      </c>
      <c r="U108" s="761" t="s">
        <v>2178</v>
      </c>
      <c r="V108" s="761" t="s">
        <v>991</v>
      </c>
      <c r="W108" s="761" t="s">
        <v>2366</v>
      </c>
      <c r="X108" s="1299">
        <v>0</v>
      </c>
      <c r="Y108" s="814" t="s">
        <v>978</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961</v>
      </c>
      <c r="BM108" s="773" t="s">
        <v>961</v>
      </c>
      <c r="BN108" s="773" t="s">
        <v>961</v>
      </c>
      <c r="BO108" s="773" t="s">
        <v>961</v>
      </c>
      <c r="BP108" s="784" t="s">
        <v>961</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969</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988</v>
      </c>
      <c r="S109" s="761" t="s">
        <v>964</v>
      </c>
      <c r="T109" s="784" t="s">
        <v>965</v>
      </c>
      <c r="U109" s="761" t="s">
        <v>2371</v>
      </c>
      <c r="V109" s="761" t="s">
        <v>991</v>
      </c>
      <c r="W109" s="761" t="s">
        <v>2372</v>
      </c>
      <c r="X109" s="1299">
        <v>0</v>
      </c>
      <c r="Y109" s="809" t="s">
        <v>966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961</v>
      </c>
      <c r="BM109" s="1878" t="s">
        <v>961</v>
      </c>
      <c r="BN109" s="1878" t="s">
        <v>961</v>
      </c>
      <c r="BO109" s="1878" t="s">
        <v>961</v>
      </c>
      <c r="BP109" s="784" t="s">
        <v>961</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969</v>
      </c>
      <c r="B110" s="761">
        <v>104</v>
      </c>
      <c r="C110" s="777" t="s">
        <v>2373</v>
      </c>
      <c r="D110" s="761" t="s">
        <v>2374</v>
      </c>
      <c r="E110" s="761" t="s">
        <v>1920</v>
      </c>
      <c r="F110" s="773" t="s">
        <v>2375</v>
      </c>
      <c r="G110" s="778" t="s">
        <v>154</v>
      </c>
      <c r="H110" s="779" t="s">
        <v>2376</v>
      </c>
      <c r="I110" s="780">
        <v>0.5</v>
      </c>
      <c r="J110" s="781">
        <v>0.5</v>
      </c>
      <c r="K110" s="781"/>
      <c r="L110" s="781"/>
      <c r="M110" s="781"/>
      <c r="N110" s="781"/>
      <c r="O110" s="781"/>
      <c r="P110" s="782"/>
      <c r="Q110" s="783">
        <f t="shared" si="1"/>
        <v>1</v>
      </c>
      <c r="R110" s="777" t="s">
        <v>984</v>
      </c>
      <c r="S110" s="761" t="s">
        <v>964</v>
      </c>
      <c r="T110" s="784" t="s">
        <v>965</v>
      </c>
      <c r="U110" s="761" t="s">
        <v>1923</v>
      </c>
      <c r="V110" s="761" t="s">
        <v>987</v>
      </c>
      <c r="W110" s="761" t="s">
        <v>2377</v>
      </c>
      <c r="X110" s="1300">
        <v>0</v>
      </c>
      <c r="Y110" s="814" t="s">
        <v>978</v>
      </c>
      <c r="Z110" s="778" t="s">
        <v>154</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customHeight="1">
      <c r="A111" s="760" t="s">
        <v>969</v>
      </c>
      <c r="B111" s="761">
        <v>105</v>
      </c>
      <c r="C111" s="777" t="s">
        <v>2378</v>
      </c>
      <c r="D111" s="761" t="s">
        <v>2374</v>
      </c>
      <c r="E111" s="761" t="s">
        <v>1920</v>
      </c>
      <c r="F111" s="773" t="s">
        <v>2379</v>
      </c>
      <c r="G111" s="778" t="s">
        <v>629</v>
      </c>
      <c r="H111" s="779" t="s">
        <v>2380</v>
      </c>
      <c r="I111" s="780"/>
      <c r="J111" s="781">
        <v>1</v>
      </c>
      <c r="K111" s="781"/>
      <c r="L111" s="781"/>
      <c r="M111" s="781"/>
      <c r="N111" s="781"/>
      <c r="O111" s="781"/>
      <c r="P111" s="782"/>
      <c r="Q111" s="783">
        <f t="shared" si="1"/>
        <v>1</v>
      </c>
      <c r="R111" s="777" t="s">
        <v>984</v>
      </c>
      <c r="S111" s="761" t="s">
        <v>964</v>
      </c>
      <c r="T111" s="784" t="s">
        <v>965</v>
      </c>
      <c r="U111" s="761" t="s">
        <v>629</v>
      </c>
      <c r="V111" s="761" t="s">
        <v>991</v>
      </c>
      <c r="W111" s="761" t="s">
        <v>2297</v>
      </c>
      <c r="X111" s="1299">
        <v>1</v>
      </c>
      <c r="Y111" s="809" t="s">
        <v>978</v>
      </c>
      <c r="Z111" s="778" t="s">
        <v>629</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customHeight="1">
      <c r="A112" s="760" t="s">
        <v>969</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984</v>
      </c>
      <c r="S112" s="761" t="s">
        <v>964</v>
      </c>
      <c r="T112" s="1414" t="s">
        <v>977</v>
      </c>
      <c r="U112" s="761" t="s">
        <v>2083</v>
      </c>
      <c r="V112" s="761" t="s">
        <v>991</v>
      </c>
      <c r="W112" s="761" t="s">
        <v>2383</v>
      </c>
      <c r="X112" s="1299">
        <v>1</v>
      </c>
      <c r="Y112" s="807" t="s">
        <v>978</v>
      </c>
      <c r="Z112" s="778" t="s">
        <v>1124</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customHeight="1">
      <c r="A113" s="760" t="s">
        <v>969</v>
      </c>
      <c r="B113" s="761">
        <v>107</v>
      </c>
      <c r="C113" s="777" t="s">
        <v>2384</v>
      </c>
      <c r="D113" s="761" t="s">
        <v>2374</v>
      </c>
      <c r="E113" s="761" t="s">
        <v>1936</v>
      </c>
      <c r="F113" s="773" t="s">
        <v>2385</v>
      </c>
      <c r="G113" s="778" t="s">
        <v>499</v>
      </c>
      <c r="H113" s="779" t="s">
        <v>2386</v>
      </c>
      <c r="I113" s="780">
        <v>1</v>
      </c>
      <c r="J113" s="781"/>
      <c r="K113" s="781"/>
      <c r="L113" s="781"/>
      <c r="M113" s="781"/>
      <c r="N113" s="781"/>
      <c r="O113" s="781"/>
      <c r="P113" s="782"/>
      <c r="Q113" s="783">
        <f t="shared" si="1"/>
        <v>1</v>
      </c>
      <c r="R113" s="777" t="s">
        <v>963</v>
      </c>
      <c r="S113" s="761"/>
      <c r="T113" s="784"/>
      <c r="U113" s="761" t="s">
        <v>1939</v>
      </c>
      <c r="V113" s="761" t="s">
        <v>293</v>
      </c>
      <c r="W113" s="761" t="s">
        <v>2387</v>
      </c>
      <c r="X113" s="1299">
        <v>1</v>
      </c>
      <c r="Y113" s="807" t="s">
        <v>978</v>
      </c>
      <c r="Z113" s="778" t="s">
        <v>499</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customHeight="1">
      <c r="A114" s="760" t="s">
        <v>969</v>
      </c>
      <c r="B114" s="761">
        <v>108</v>
      </c>
      <c r="C114" s="777" t="s">
        <v>2388</v>
      </c>
      <c r="D114" s="761" t="s">
        <v>2374</v>
      </c>
      <c r="E114" s="761" t="s">
        <v>1920</v>
      </c>
      <c r="F114" s="773" t="s">
        <v>2389</v>
      </c>
      <c r="G114" s="778" t="s">
        <v>178</v>
      </c>
      <c r="H114" s="779" t="s">
        <v>2390</v>
      </c>
      <c r="I114" s="780"/>
      <c r="J114" s="781">
        <v>1</v>
      </c>
      <c r="K114" s="781"/>
      <c r="L114" s="781"/>
      <c r="M114" s="781"/>
      <c r="N114" s="781"/>
      <c r="O114" s="781"/>
      <c r="P114" s="782"/>
      <c r="Q114" s="783">
        <f t="shared" si="1"/>
        <v>1</v>
      </c>
      <c r="R114" s="777" t="s">
        <v>984</v>
      </c>
      <c r="S114" s="761" t="s">
        <v>964</v>
      </c>
      <c r="T114" s="784" t="s">
        <v>965</v>
      </c>
      <c r="U114" s="761" t="s">
        <v>2103</v>
      </c>
      <c r="V114" s="761" t="s">
        <v>991</v>
      </c>
      <c r="W114" s="761" t="s">
        <v>2391</v>
      </c>
      <c r="X114" s="1299">
        <v>1</v>
      </c>
      <c r="Y114" s="807" t="s">
        <v>978</v>
      </c>
      <c r="Z114" s="778" t="s">
        <v>178</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customHeight="1">
      <c r="A115" s="760" t="s">
        <v>969</v>
      </c>
      <c r="B115" s="761">
        <v>109</v>
      </c>
      <c r="C115" s="777" t="s">
        <v>2392</v>
      </c>
      <c r="D115" s="761" t="s">
        <v>2374</v>
      </c>
      <c r="E115" s="761" t="s">
        <v>1936</v>
      </c>
      <c r="F115" s="773" t="s">
        <v>2393</v>
      </c>
      <c r="G115" s="778" t="s">
        <v>184</v>
      </c>
      <c r="H115" s="779" t="s">
        <v>2394</v>
      </c>
      <c r="I115" s="780">
        <v>0.5</v>
      </c>
      <c r="J115" s="781">
        <v>0.5</v>
      </c>
      <c r="K115" s="781"/>
      <c r="L115" s="781"/>
      <c r="M115" s="781"/>
      <c r="N115" s="781"/>
      <c r="O115" s="781"/>
      <c r="P115" s="782"/>
      <c r="Q115" s="783">
        <f t="shared" si="1"/>
        <v>1</v>
      </c>
      <c r="R115" s="777" t="s">
        <v>984</v>
      </c>
      <c r="S115" s="761" t="s">
        <v>964</v>
      </c>
      <c r="T115" s="784" t="s">
        <v>965</v>
      </c>
      <c r="U115" s="761" t="s">
        <v>1944</v>
      </c>
      <c r="V115" s="761" t="s">
        <v>293</v>
      </c>
      <c r="W115" s="761" t="s">
        <v>2395</v>
      </c>
      <c r="X115" s="1299">
        <v>2</v>
      </c>
      <c r="Y115" s="807" t="s">
        <v>978</v>
      </c>
      <c r="Z115" s="778" t="s">
        <v>184</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customHeight="1">
      <c r="A116" s="760" t="s">
        <v>969</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984</v>
      </c>
      <c r="S116" s="761" t="s">
        <v>964</v>
      </c>
      <c r="T116" s="784" t="s">
        <v>965</v>
      </c>
      <c r="U116" s="761" t="s">
        <v>2014</v>
      </c>
      <c r="V116" s="761" t="s">
        <v>2147</v>
      </c>
      <c r="W116" s="761" t="s">
        <v>2399</v>
      </c>
      <c r="X116" s="1299">
        <v>0</v>
      </c>
      <c r="Y116" s="809" t="s">
        <v>966</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961</v>
      </c>
      <c r="BM116" s="773" t="s">
        <v>961</v>
      </c>
      <c r="BN116" s="773" t="s">
        <v>961</v>
      </c>
      <c r="BO116" s="773" t="s">
        <v>961</v>
      </c>
      <c r="BP116" s="784" t="s">
        <v>961</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969</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988</v>
      </c>
      <c r="S117" s="761" t="s">
        <v>964</v>
      </c>
      <c r="T117" s="784" t="s">
        <v>977</v>
      </c>
      <c r="U117" s="761" t="s">
        <v>2135</v>
      </c>
      <c r="V117" s="761" t="s">
        <v>991</v>
      </c>
      <c r="W117" s="761" t="s">
        <v>2403</v>
      </c>
      <c r="X117" s="1299">
        <v>1</v>
      </c>
      <c r="Y117" s="809" t="s">
        <v>966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961</v>
      </c>
      <c r="BM117" s="773" t="s">
        <v>961</v>
      </c>
      <c r="BN117" s="773" t="s">
        <v>961</v>
      </c>
      <c r="BO117" s="773" t="s">
        <v>961</v>
      </c>
      <c r="BP117" s="784" t="s">
        <v>961</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969</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988</v>
      </c>
      <c r="S118" s="761" t="s">
        <v>964</v>
      </c>
      <c r="T118" s="784" t="s">
        <v>965</v>
      </c>
      <c r="U118" s="761" t="s">
        <v>2315</v>
      </c>
      <c r="V118" s="761" t="s">
        <v>991</v>
      </c>
      <c r="W118" s="761" t="s">
        <v>2408</v>
      </c>
      <c r="X118" s="1299">
        <v>2</v>
      </c>
      <c r="Y118" s="809" t="s">
        <v>966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961</v>
      </c>
      <c r="BM118" s="773" t="s">
        <v>961</v>
      </c>
      <c r="BN118" s="773" t="s">
        <v>961</v>
      </c>
      <c r="BO118" s="773" t="s">
        <v>961</v>
      </c>
      <c r="BP118" s="784" t="s">
        <v>961</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969</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984</v>
      </c>
      <c r="S119" s="761" t="s">
        <v>964</v>
      </c>
      <c r="T119" s="784" t="s">
        <v>965</v>
      </c>
      <c r="U119" s="761" t="s">
        <v>711</v>
      </c>
      <c r="V119" s="761" t="s">
        <v>293</v>
      </c>
      <c r="W119" s="761" t="s">
        <v>2413</v>
      </c>
      <c r="X119" s="1299">
        <v>2</v>
      </c>
      <c r="Y119" s="809" t="s">
        <v>966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961</v>
      </c>
      <c r="BM119" s="773" t="s">
        <v>961</v>
      </c>
      <c r="BN119" s="773" t="s">
        <v>961</v>
      </c>
      <c r="BO119" s="773" t="s">
        <v>961</v>
      </c>
      <c r="BP119" s="784" t="s">
        <v>961</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969</v>
      </c>
      <c r="B120" s="761">
        <v>114</v>
      </c>
      <c r="C120" s="777" t="s">
        <v>2414</v>
      </c>
      <c r="D120" s="761" t="s">
        <v>2400</v>
      </c>
      <c r="E120" s="761" t="s">
        <v>1936</v>
      </c>
      <c r="F120" s="773" t="s">
        <v>2415</v>
      </c>
      <c r="G120" s="778" t="s">
        <v>1016</v>
      </c>
      <c r="H120" s="779" t="s">
        <v>2416</v>
      </c>
      <c r="I120" s="780"/>
      <c r="J120" s="781">
        <v>0.5</v>
      </c>
      <c r="K120" s="781">
        <v>0.5</v>
      </c>
      <c r="L120" s="781"/>
      <c r="M120" s="781"/>
      <c r="N120" s="781"/>
      <c r="O120" s="781"/>
      <c r="P120" s="782"/>
      <c r="Q120" s="783">
        <f t="shared" si="1"/>
        <v>1</v>
      </c>
      <c r="R120" s="777" t="s">
        <v>984</v>
      </c>
      <c r="S120" s="761" t="s">
        <v>964</v>
      </c>
      <c r="T120" s="784" t="s">
        <v>965</v>
      </c>
      <c r="U120" s="761" t="s">
        <v>2114</v>
      </c>
      <c r="V120" s="761" t="s">
        <v>293</v>
      </c>
      <c r="W120" s="761" t="s">
        <v>2417</v>
      </c>
      <c r="X120" s="1299">
        <v>2</v>
      </c>
      <c r="Y120" s="809" t="s">
        <v>966</v>
      </c>
      <c r="Z120" s="778" t="s">
        <v>1016</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customHeight="1">
      <c r="A121" s="760" t="s">
        <v>969</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963</v>
      </c>
      <c r="S121" s="761"/>
      <c r="T121" s="784"/>
      <c r="U121" s="761" t="s">
        <v>2423</v>
      </c>
      <c r="V121" s="761" t="s">
        <v>991</v>
      </c>
      <c r="W121" s="761" t="s">
        <v>2424</v>
      </c>
      <c r="X121" s="1299">
        <v>0</v>
      </c>
      <c r="Y121" s="809" t="s">
        <v>966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969</v>
      </c>
      <c r="B122" s="761">
        <v>116</v>
      </c>
      <c r="C122" s="777" t="s">
        <v>2425</v>
      </c>
      <c r="D122" s="761" t="s">
        <v>2426</v>
      </c>
      <c r="E122" s="761" t="s">
        <v>1920</v>
      </c>
      <c r="F122" s="773" t="s">
        <v>2427</v>
      </c>
      <c r="G122" s="778" t="s">
        <v>687</v>
      </c>
      <c r="H122" s="779" t="s">
        <v>2428</v>
      </c>
      <c r="I122" s="780"/>
      <c r="J122" s="781"/>
      <c r="K122" s="781">
        <v>1</v>
      </c>
      <c r="L122" s="781"/>
      <c r="M122" s="781"/>
      <c r="N122" s="781"/>
      <c r="O122" s="781"/>
      <c r="P122" s="782"/>
      <c r="Q122" s="783">
        <f t="shared" si="1"/>
        <v>1</v>
      </c>
      <c r="R122" s="777" t="s">
        <v>988</v>
      </c>
      <c r="S122" s="761" t="s">
        <v>964</v>
      </c>
      <c r="T122" s="784" t="s">
        <v>965</v>
      </c>
      <c r="U122" s="761" t="s">
        <v>2087</v>
      </c>
      <c r="V122" s="761" t="s">
        <v>991</v>
      </c>
      <c r="W122" s="761" t="s">
        <v>2429</v>
      </c>
      <c r="X122" s="1299">
        <v>2</v>
      </c>
      <c r="Y122" s="809" t="s">
        <v>978</v>
      </c>
      <c r="Z122" s="778" t="s">
        <v>687</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customHeight="1">
      <c r="A123" s="760" t="s">
        <v>969</v>
      </c>
      <c r="B123" s="761">
        <v>117</v>
      </c>
      <c r="C123" s="777" t="s">
        <v>2430</v>
      </c>
      <c r="D123" s="761" t="s">
        <v>2426</v>
      </c>
      <c r="E123" s="761" t="s">
        <v>1920</v>
      </c>
      <c r="F123" s="773" t="s">
        <v>2431</v>
      </c>
      <c r="G123" s="778" t="s">
        <v>689</v>
      </c>
      <c r="H123" s="779" t="s">
        <v>2432</v>
      </c>
      <c r="I123" s="780"/>
      <c r="J123" s="781"/>
      <c r="K123" s="781">
        <v>1</v>
      </c>
      <c r="L123" s="781"/>
      <c r="M123" s="781"/>
      <c r="N123" s="781"/>
      <c r="O123" s="781"/>
      <c r="P123" s="782"/>
      <c r="Q123" s="783">
        <f t="shared" si="1"/>
        <v>1</v>
      </c>
      <c r="R123" s="777" t="s">
        <v>984</v>
      </c>
      <c r="S123" s="761" t="s">
        <v>964</v>
      </c>
      <c r="T123" s="784" t="s">
        <v>965</v>
      </c>
      <c r="U123" s="761" t="s">
        <v>689</v>
      </c>
      <c r="V123" s="761" t="s">
        <v>991</v>
      </c>
      <c r="W123" s="761" t="s">
        <v>2433</v>
      </c>
      <c r="X123" s="1299">
        <v>2</v>
      </c>
      <c r="Y123" s="809" t="s">
        <v>978</v>
      </c>
      <c r="Z123" s="778" t="s">
        <v>689</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customHeight="1">
      <c r="A124" s="760" t="s">
        <v>969</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988</v>
      </c>
      <c r="S124" s="761" t="s">
        <v>964</v>
      </c>
      <c r="T124" s="784" t="s">
        <v>965</v>
      </c>
      <c r="U124" s="761" t="s">
        <v>2110</v>
      </c>
      <c r="V124" s="761" t="s">
        <v>991</v>
      </c>
      <c r="W124" s="761" t="s">
        <v>2438</v>
      </c>
      <c r="X124" s="1299">
        <v>0</v>
      </c>
      <c r="Y124" s="809" t="s">
        <v>978</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961</v>
      </c>
      <c r="BM124" s="773" t="s">
        <v>961</v>
      </c>
      <c r="BN124" s="773" t="s">
        <v>961</v>
      </c>
      <c r="BO124" s="773" t="s">
        <v>961</v>
      </c>
      <c r="BP124" s="784" t="s">
        <v>961</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969</v>
      </c>
      <c r="B125" s="761">
        <v>119</v>
      </c>
      <c r="C125" s="777" t="s">
        <v>2440</v>
      </c>
      <c r="D125" s="761" t="s">
        <v>2426</v>
      </c>
      <c r="E125" s="761" t="s">
        <v>1936</v>
      </c>
      <c r="F125" s="773" t="s">
        <v>2441</v>
      </c>
      <c r="G125" s="778" t="s">
        <v>778</v>
      </c>
      <c r="H125" s="779" t="s">
        <v>2442</v>
      </c>
      <c r="I125" s="780"/>
      <c r="J125" s="781"/>
      <c r="K125" s="781">
        <v>1</v>
      </c>
      <c r="L125" s="781"/>
      <c r="M125" s="781"/>
      <c r="N125" s="781"/>
      <c r="O125" s="781"/>
      <c r="P125" s="782"/>
      <c r="Q125" s="783">
        <f t="shared" si="1"/>
        <v>1</v>
      </c>
      <c r="R125" s="777" t="s">
        <v>963</v>
      </c>
      <c r="S125" s="761"/>
      <c r="T125" s="784"/>
      <c r="U125" s="761" t="s">
        <v>1939</v>
      </c>
      <c r="V125" s="761" t="s">
        <v>293</v>
      </c>
      <c r="W125" s="761" t="s">
        <v>2443</v>
      </c>
      <c r="X125" s="1300">
        <v>2</v>
      </c>
      <c r="Y125" s="809" t="s">
        <v>966</v>
      </c>
      <c r="Z125" s="778" t="s">
        <v>778</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customHeight="1">
      <c r="A126" s="760" t="s">
        <v>969</v>
      </c>
      <c r="B126" s="761">
        <v>120</v>
      </c>
      <c r="C126" s="777" t="s">
        <v>2444</v>
      </c>
      <c r="D126" s="761" t="s">
        <v>2426</v>
      </c>
      <c r="E126" s="761" t="s">
        <v>1936</v>
      </c>
      <c r="F126" s="773" t="s">
        <v>2445</v>
      </c>
      <c r="G126" s="778" t="s">
        <v>693</v>
      </c>
      <c r="H126" s="779" t="s">
        <v>2446</v>
      </c>
      <c r="I126" s="780"/>
      <c r="J126" s="781"/>
      <c r="K126" s="781">
        <v>1</v>
      </c>
      <c r="L126" s="781"/>
      <c r="M126" s="781"/>
      <c r="N126" s="781"/>
      <c r="O126" s="781"/>
      <c r="P126" s="782"/>
      <c r="Q126" s="783">
        <f t="shared" si="1"/>
        <v>1</v>
      </c>
      <c r="R126" s="777" t="s">
        <v>984</v>
      </c>
      <c r="S126" s="761" t="s">
        <v>964</v>
      </c>
      <c r="T126" s="784" t="s">
        <v>965</v>
      </c>
      <c r="U126" s="761" t="s">
        <v>2110</v>
      </c>
      <c r="V126" s="761" t="s">
        <v>991</v>
      </c>
      <c r="W126" s="761" t="s">
        <v>2447</v>
      </c>
      <c r="X126" s="1299">
        <v>2</v>
      </c>
      <c r="Y126" s="786" t="s">
        <v>978</v>
      </c>
      <c r="Z126" s="778" t="s">
        <v>693</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customHeight="1">
      <c r="A127" s="760" t="s">
        <v>969</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988</v>
      </c>
      <c r="S127" s="761" t="s">
        <v>964</v>
      </c>
      <c r="T127" s="784" t="s">
        <v>965</v>
      </c>
      <c r="U127" s="761" t="s">
        <v>2146</v>
      </c>
      <c r="V127" s="761" t="s">
        <v>2147</v>
      </c>
      <c r="W127" s="761" t="s">
        <v>2453</v>
      </c>
      <c r="X127" s="1300">
        <v>2</v>
      </c>
      <c r="Y127" s="786" t="s">
        <v>978</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961</v>
      </c>
      <c r="BM127" s="773" t="s">
        <v>961</v>
      </c>
      <c r="BN127" s="773" t="s">
        <v>961</v>
      </c>
      <c r="BO127" s="773" t="s">
        <v>961</v>
      </c>
      <c r="BP127" s="784" t="s">
        <v>961</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973</v>
      </c>
      <c r="DD127" s="801">
        <v>1</v>
      </c>
      <c r="DE127" s="802"/>
    </row>
    <row r="128" spans="1:109" ht="15.75" customHeight="1">
      <c r="A128" s="760" t="s">
        <v>969</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988</v>
      </c>
      <c r="S128" s="761" t="s">
        <v>964</v>
      </c>
      <c r="T128" s="784" t="s">
        <v>965</v>
      </c>
      <c r="U128" s="761" t="s">
        <v>1027</v>
      </c>
      <c r="V128" s="761" t="s">
        <v>1039</v>
      </c>
      <c r="W128" s="761" t="s">
        <v>2458</v>
      </c>
      <c r="X128" s="1299">
        <v>2</v>
      </c>
      <c r="Y128" s="786" t="s">
        <v>966</v>
      </c>
      <c r="Z128" s="778" t="s">
        <v>1960</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customHeight="1">
      <c r="A129" s="760" t="s">
        <v>969</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988</v>
      </c>
      <c r="S129" s="761" t="s">
        <v>964</v>
      </c>
      <c r="T129" s="784" t="s">
        <v>965</v>
      </c>
      <c r="U129" s="761" t="s">
        <v>1031</v>
      </c>
      <c r="V129" s="761" t="s">
        <v>1039</v>
      </c>
      <c r="W129" s="761" t="s">
        <v>2462</v>
      </c>
      <c r="X129" s="1299">
        <v>2</v>
      </c>
      <c r="Y129" s="786" t="s">
        <v>966</v>
      </c>
      <c r="Z129" s="778" t="s">
        <v>1964</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customHeight="1">
      <c r="A130" s="760" t="s">
        <v>969</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988</v>
      </c>
      <c r="S130" s="761" t="s">
        <v>964</v>
      </c>
      <c r="T130" s="784" t="s">
        <v>965</v>
      </c>
      <c r="U130" s="761" t="s">
        <v>1976</v>
      </c>
      <c r="V130" s="761" t="s">
        <v>1039</v>
      </c>
      <c r="W130" s="761" t="s">
        <v>2467</v>
      </c>
      <c r="X130" s="1299">
        <v>1</v>
      </c>
      <c r="Y130" s="807" t="s">
        <v>966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961</v>
      </c>
      <c r="BM130" s="773" t="s">
        <v>961</v>
      </c>
      <c r="BN130" s="773" t="s">
        <v>961</v>
      </c>
      <c r="BO130" s="773" t="s">
        <v>961</v>
      </c>
      <c r="BP130" s="784" t="s">
        <v>961</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969</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963</v>
      </c>
      <c r="S131" s="761"/>
      <c r="T131" s="784"/>
      <c r="U131" s="761" t="s">
        <v>1976</v>
      </c>
      <c r="V131" s="761" t="s">
        <v>293</v>
      </c>
      <c r="W131" s="761" t="s">
        <v>2472</v>
      </c>
      <c r="X131" s="1299">
        <v>1</v>
      </c>
      <c r="Y131" s="807" t="s">
        <v>966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969</v>
      </c>
      <c r="B132" s="761">
        <v>126</v>
      </c>
      <c r="C132" s="777" t="s">
        <v>2473</v>
      </c>
      <c r="D132" s="761" t="s">
        <v>2474</v>
      </c>
      <c r="E132" s="761" t="s">
        <v>1936</v>
      </c>
      <c r="F132" s="773" t="s">
        <v>2475</v>
      </c>
      <c r="G132" s="778" t="s">
        <v>658</v>
      </c>
      <c r="H132" s="779" t="s">
        <v>2476</v>
      </c>
      <c r="I132" s="780"/>
      <c r="J132" s="781"/>
      <c r="K132" s="781"/>
      <c r="L132" s="781"/>
      <c r="M132" s="781">
        <v>1</v>
      </c>
      <c r="N132" s="781"/>
      <c r="O132" s="781"/>
      <c r="P132" s="782"/>
      <c r="Q132" s="783">
        <f t="shared" si="1"/>
        <v>1</v>
      </c>
      <c r="R132" s="777" t="s">
        <v>963</v>
      </c>
      <c r="S132" s="761"/>
      <c r="T132" s="784"/>
      <c r="U132" s="761" t="s">
        <v>2058</v>
      </c>
      <c r="V132" s="761" t="s">
        <v>293</v>
      </c>
      <c r="W132" s="761" t="s">
        <v>2477</v>
      </c>
      <c r="X132" s="1299">
        <v>1</v>
      </c>
      <c r="Y132" s="807" t="s">
        <v>966</v>
      </c>
      <c r="Z132" s="778" t="s">
        <v>658</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customHeight="1">
      <c r="A133" s="760" t="s">
        <v>969</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963</v>
      </c>
      <c r="S133" s="761"/>
      <c r="T133" s="784"/>
      <c r="U133" s="761" t="s">
        <v>2058</v>
      </c>
      <c r="V133" s="761" t="s">
        <v>293</v>
      </c>
      <c r="W133" s="761" t="s">
        <v>2482</v>
      </c>
      <c r="X133" s="1299">
        <v>0</v>
      </c>
      <c r="Y133" s="809" t="s">
        <v>966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969</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963</v>
      </c>
      <c r="S134" s="761"/>
      <c r="T134" s="784"/>
      <c r="U134" s="761" t="s">
        <v>2058</v>
      </c>
      <c r="V134" s="761" t="s">
        <v>293</v>
      </c>
      <c r="W134" s="761" t="s">
        <v>2487</v>
      </c>
      <c r="X134" s="1299">
        <v>1</v>
      </c>
      <c r="Y134" s="807" t="s">
        <v>966</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969</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963</v>
      </c>
      <c r="S135" s="761"/>
      <c r="T135" s="784"/>
      <c r="U135" s="761"/>
      <c r="V135" s="761" t="s">
        <v>293</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969</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963</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969</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984</v>
      </c>
      <c r="S137" s="761" t="s">
        <v>964</v>
      </c>
      <c r="T137" s="784" t="s">
        <v>965</v>
      </c>
      <c r="U137" s="761"/>
      <c r="V137" s="761" t="s">
        <v>293</v>
      </c>
      <c r="W137" s="761" t="s">
        <v>2495</v>
      </c>
      <c r="X137" s="1299">
        <v>1</v>
      </c>
      <c r="Y137" s="807" t="s">
        <v>966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961</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990</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988</v>
      </c>
      <c r="S138" s="761" t="s">
        <v>964</v>
      </c>
      <c r="T138" s="784" t="s">
        <v>965</v>
      </c>
      <c r="U138" s="761" t="s">
        <v>1027</v>
      </c>
      <c r="V138" s="761" t="s">
        <v>1039</v>
      </c>
      <c r="W138" s="761" t="s">
        <v>2068</v>
      </c>
      <c r="X138" s="1263">
        <v>2</v>
      </c>
      <c r="Y138" s="814" t="s">
        <v>966</v>
      </c>
      <c r="Z138" s="778" t="s">
        <v>1960</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990</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988</v>
      </c>
      <c r="S139" s="761" t="s">
        <v>964</v>
      </c>
      <c r="T139" s="784" t="s">
        <v>965</v>
      </c>
      <c r="U139" s="761" t="s">
        <v>1031</v>
      </c>
      <c r="V139" s="761" t="s">
        <v>1039</v>
      </c>
      <c r="W139" s="761" t="s">
        <v>431</v>
      </c>
      <c r="X139" s="1263">
        <v>2</v>
      </c>
      <c r="Y139" s="809" t="s">
        <v>966</v>
      </c>
      <c r="Z139" s="778" t="s">
        <v>1964</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990</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984</v>
      </c>
      <c r="S140" s="761" t="s">
        <v>964</v>
      </c>
      <c r="T140" s="784" t="s">
        <v>965</v>
      </c>
      <c r="U140" s="761" t="s">
        <v>1955</v>
      </c>
      <c r="V140" s="761" t="s">
        <v>991</v>
      </c>
      <c r="W140" s="761" t="s">
        <v>2506</v>
      </c>
      <c r="X140" s="817">
        <v>2</v>
      </c>
      <c r="Y140" s="814" t="s">
        <v>978</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990</v>
      </c>
      <c r="B141" s="761">
        <v>135</v>
      </c>
      <c r="C141" s="777" t="s">
        <v>2507</v>
      </c>
      <c r="D141" s="761" t="s">
        <v>2508</v>
      </c>
      <c r="E141" s="761" t="s">
        <v>1920</v>
      </c>
      <c r="F141" s="773" t="s">
        <v>2509</v>
      </c>
      <c r="G141" s="778" t="s">
        <v>154</v>
      </c>
      <c r="H141" s="779" t="s">
        <v>1924</v>
      </c>
      <c r="I141" s="780"/>
      <c r="J141" s="781">
        <v>1</v>
      </c>
      <c r="K141" s="781"/>
      <c r="L141" s="781"/>
      <c r="M141" s="781"/>
      <c r="N141" s="781"/>
      <c r="O141" s="781"/>
      <c r="P141" s="782"/>
      <c r="Q141" s="783">
        <f t="shared" si="2"/>
        <v>1</v>
      </c>
      <c r="R141" s="777" t="s">
        <v>988</v>
      </c>
      <c r="S141" s="761" t="s">
        <v>964</v>
      </c>
      <c r="T141" s="784" t="s">
        <v>965</v>
      </c>
      <c r="U141" s="761" t="s">
        <v>1923</v>
      </c>
      <c r="V141" s="761" t="s">
        <v>987</v>
      </c>
      <c r="W141" s="761" t="s">
        <v>2510</v>
      </c>
      <c r="X141" s="788">
        <v>0</v>
      </c>
      <c r="Y141" s="809" t="s">
        <v>978</v>
      </c>
      <c r="Z141" s="778" t="s">
        <v>154</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990</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988</v>
      </c>
      <c r="S142" s="761" t="s">
        <v>964</v>
      </c>
      <c r="T142" s="784" t="s">
        <v>965</v>
      </c>
      <c r="U142" s="761" t="s">
        <v>629</v>
      </c>
      <c r="V142" s="761" t="s">
        <v>991</v>
      </c>
      <c r="W142" s="761" t="s">
        <v>2515</v>
      </c>
      <c r="X142" s="817">
        <v>1</v>
      </c>
      <c r="Y142" s="807" t="s">
        <v>978</v>
      </c>
      <c r="Z142" s="778" t="s">
        <v>629</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990</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988</v>
      </c>
      <c r="S143" s="761" t="s">
        <v>964</v>
      </c>
      <c r="T143" s="784" t="s">
        <v>965</v>
      </c>
      <c r="U143" s="761" t="s">
        <v>629</v>
      </c>
      <c r="V143" s="761" t="s">
        <v>991</v>
      </c>
      <c r="W143" s="761" t="s">
        <v>2515</v>
      </c>
      <c r="X143" s="817">
        <v>1</v>
      </c>
      <c r="Y143" s="807" t="s">
        <v>978</v>
      </c>
      <c r="Z143" s="778" t="s">
        <v>629</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990</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988</v>
      </c>
      <c r="S144" s="761" t="s">
        <v>964</v>
      </c>
      <c r="T144" s="1414" t="s">
        <v>977</v>
      </c>
      <c r="U144" s="761" t="s">
        <v>2083</v>
      </c>
      <c r="V144" s="761" t="s">
        <v>991</v>
      </c>
      <c r="W144" s="761" t="s">
        <v>2521</v>
      </c>
      <c r="X144" s="817">
        <v>1</v>
      </c>
      <c r="Y144" s="807" t="s">
        <v>978</v>
      </c>
      <c r="Z144" s="778" t="s">
        <v>1124</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990</v>
      </c>
      <c r="B145" s="761">
        <v>139</v>
      </c>
      <c r="C145" s="777" t="s">
        <v>2522</v>
      </c>
      <c r="D145" s="761" t="s">
        <v>2523</v>
      </c>
      <c r="E145" s="761" t="s">
        <v>1920</v>
      </c>
      <c r="F145" s="773" t="s">
        <v>2524</v>
      </c>
      <c r="G145" s="778" t="s">
        <v>687</v>
      </c>
      <c r="H145" s="779" t="s">
        <v>2525</v>
      </c>
      <c r="I145" s="780"/>
      <c r="J145" s="781"/>
      <c r="K145" s="781">
        <v>1</v>
      </c>
      <c r="L145" s="781"/>
      <c r="M145" s="781"/>
      <c r="N145" s="781"/>
      <c r="O145" s="781"/>
      <c r="P145" s="782"/>
      <c r="Q145" s="783">
        <f t="shared" si="2"/>
        <v>1</v>
      </c>
      <c r="R145" s="777" t="s">
        <v>988</v>
      </c>
      <c r="S145" s="761" t="s">
        <v>964</v>
      </c>
      <c r="T145" s="784" t="s">
        <v>965</v>
      </c>
      <c r="U145" s="761" t="s">
        <v>2087</v>
      </c>
      <c r="V145" s="761" t="s">
        <v>991</v>
      </c>
      <c r="W145" s="761" t="s">
        <v>2526</v>
      </c>
      <c r="X145" s="817">
        <v>2</v>
      </c>
      <c r="Y145" s="807" t="s">
        <v>978</v>
      </c>
      <c r="Z145" s="778" t="s">
        <v>687</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990</v>
      </c>
      <c r="B146" s="761">
        <v>140</v>
      </c>
      <c r="C146" s="777" t="s">
        <v>2527</v>
      </c>
      <c r="D146" s="761" t="s">
        <v>2528</v>
      </c>
      <c r="E146" s="761" t="s">
        <v>1920</v>
      </c>
      <c r="F146" s="773" t="s">
        <v>2529</v>
      </c>
      <c r="G146" s="778" t="s">
        <v>689</v>
      </c>
      <c r="H146" s="779" t="s">
        <v>2530</v>
      </c>
      <c r="I146" s="780"/>
      <c r="J146" s="781"/>
      <c r="K146" s="781">
        <v>1</v>
      </c>
      <c r="L146" s="781"/>
      <c r="M146" s="781"/>
      <c r="N146" s="781"/>
      <c r="O146" s="781"/>
      <c r="P146" s="782"/>
      <c r="Q146" s="783">
        <f t="shared" si="2"/>
        <v>1</v>
      </c>
      <c r="R146" s="777" t="s">
        <v>988</v>
      </c>
      <c r="S146" s="761" t="s">
        <v>964</v>
      </c>
      <c r="T146" s="784" t="s">
        <v>965</v>
      </c>
      <c r="U146" s="761" t="s">
        <v>689</v>
      </c>
      <c r="V146" s="761" t="s">
        <v>991</v>
      </c>
      <c r="W146" s="761" t="s">
        <v>2531</v>
      </c>
      <c r="X146" s="817">
        <v>2</v>
      </c>
      <c r="Y146" s="809" t="s">
        <v>978</v>
      </c>
      <c r="Z146" s="778" t="s">
        <v>689</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990</v>
      </c>
      <c r="B147" s="761">
        <v>141</v>
      </c>
      <c r="C147" s="777" t="s">
        <v>2532</v>
      </c>
      <c r="D147" s="761" t="s">
        <v>2533</v>
      </c>
      <c r="E147" s="761" t="s">
        <v>1936</v>
      </c>
      <c r="F147" s="773" t="s">
        <v>2534</v>
      </c>
      <c r="G147" s="778" t="s">
        <v>499</v>
      </c>
      <c r="H147" s="779" t="s">
        <v>2535</v>
      </c>
      <c r="I147" s="780">
        <v>1</v>
      </c>
      <c r="J147" s="781"/>
      <c r="K147" s="781"/>
      <c r="L147" s="781"/>
      <c r="M147" s="781"/>
      <c r="N147" s="781"/>
      <c r="O147" s="781"/>
      <c r="P147" s="782"/>
      <c r="Q147" s="783">
        <f t="shared" si="2"/>
        <v>1</v>
      </c>
      <c r="R147" s="777" t="s">
        <v>963</v>
      </c>
      <c r="S147" s="761" t="s">
        <v>1971</v>
      </c>
      <c r="T147" s="784" t="s">
        <v>1971</v>
      </c>
      <c r="U147" s="761" t="s">
        <v>2536</v>
      </c>
      <c r="V147" s="761" t="s">
        <v>293</v>
      </c>
      <c r="W147" s="761" t="s">
        <v>2537</v>
      </c>
      <c r="X147" s="1297">
        <v>1</v>
      </c>
      <c r="Y147" s="809" t="s">
        <v>978</v>
      </c>
      <c r="Z147" s="778" t="s">
        <v>499</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990</v>
      </c>
      <c r="B148" s="761">
        <v>142</v>
      </c>
      <c r="C148" s="777" t="s">
        <v>2538</v>
      </c>
      <c r="D148" s="761" t="s">
        <v>2533</v>
      </c>
      <c r="E148" s="761" t="s">
        <v>1936</v>
      </c>
      <c r="F148" s="773" t="s">
        <v>2539</v>
      </c>
      <c r="G148" s="778" t="s">
        <v>778</v>
      </c>
      <c r="H148" s="779" t="s">
        <v>2540</v>
      </c>
      <c r="I148" s="780"/>
      <c r="J148" s="781"/>
      <c r="K148" s="781">
        <v>1</v>
      </c>
      <c r="L148" s="781"/>
      <c r="M148" s="781"/>
      <c r="N148" s="781"/>
      <c r="O148" s="781"/>
      <c r="P148" s="782"/>
      <c r="Q148" s="783">
        <f t="shared" si="2"/>
        <v>1</v>
      </c>
      <c r="R148" s="777" t="s">
        <v>963</v>
      </c>
      <c r="S148" s="761" t="s">
        <v>1971</v>
      </c>
      <c r="T148" s="784" t="s">
        <v>1971</v>
      </c>
      <c r="U148" s="761" t="s">
        <v>2087</v>
      </c>
      <c r="V148" s="761" t="s">
        <v>293</v>
      </c>
      <c r="W148" s="761" t="s">
        <v>2541</v>
      </c>
      <c r="X148" s="1298">
        <v>2</v>
      </c>
      <c r="Y148" s="809" t="s">
        <v>978</v>
      </c>
      <c r="Z148" s="778" t="s">
        <v>778</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990</v>
      </c>
      <c r="B149" s="761">
        <v>143</v>
      </c>
      <c r="C149" s="777" t="s">
        <v>2542</v>
      </c>
      <c r="D149" s="761" t="s">
        <v>2508</v>
      </c>
      <c r="E149" s="761" t="s">
        <v>1920</v>
      </c>
      <c r="F149" s="773" t="s">
        <v>2543</v>
      </c>
      <c r="G149" s="778" t="s">
        <v>178</v>
      </c>
      <c r="H149" s="779" t="s">
        <v>2544</v>
      </c>
      <c r="I149" s="780"/>
      <c r="J149" s="781">
        <v>1</v>
      </c>
      <c r="K149" s="781"/>
      <c r="L149" s="781"/>
      <c r="M149" s="781"/>
      <c r="N149" s="781"/>
      <c r="O149" s="781"/>
      <c r="P149" s="782"/>
      <c r="Q149" s="783">
        <f t="shared" si="2"/>
        <v>1</v>
      </c>
      <c r="R149" s="777" t="s">
        <v>988</v>
      </c>
      <c r="S149" s="761" t="s">
        <v>964</v>
      </c>
      <c r="T149" s="784" t="s">
        <v>965</v>
      </c>
      <c r="U149" s="761" t="s">
        <v>1949</v>
      </c>
      <c r="V149" s="761" t="s">
        <v>991</v>
      </c>
      <c r="W149" s="761" t="s">
        <v>2545</v>
      </c>
      <c r="X149" s="1263">
        <v>1</v>
      </c>
      <c r="Y149" s="809" t="s">
        <v>978</v>
      </c>
      <c r="Z149" s="778" t="s">
        <v>178</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990</v>
      </c>
      <c r="B150" s="761">
        <v>144</v>
      </c>
      <c r="C150" s="777" t="s">
        <v>2546</v>
      </c>
      <c r="D150" s="761" t="s">
        <v>2508</v>
      </c>
      <c r="E150" s="761" t="s">
        <v>1936</v>
      </c>
      <c r="F150" s="773" t="s">
        <v>2547</v>
      </c>
      <c r="G150" s="778" t="s">
        <v>184</v>
      </c>
      <c r="H150" s="779" t="s">
        <v>2548</v>
      </c>
      <c r="I150" s="780"/>
      <c r="J150" s="781">
        <v>1</v>
      </c>
      <c r="K150" s="781"/>
      <c r="L150" s="781"/>
      <c r="M150" s="781"/>
      <c r="N150" s="781"/>
      <c r="O150" s="781"/>
      <c r="P150" s="782"/>
      <c r="Q150" s="783">
        <f t="shared" si="2"/>
        <v>1</v>
      </c>
      <c r="R150" s="777" t="s">
        <v>984</v>
      </c>
      <c r="S150" s="761" t="s">
        <v>964</v>
      </c>
      <c r="T150" s="784" t="s">
        <v>965</v>
      </c>
      <c r="U150" s="761" t="s">
        <v>1944</v>
      </c>
      <c r="V150" s="761" t="s">
        <v>293</v>
      </c>
      <c r="W150" s="761" t="s">
        <v>2549</v>
      </c>
      <c r="X150" s="817">
        <v>2</v>
      </c>
      <c r="Y150" s="809" t="s">
        <v>978</v>
      </c>
      <c r="Z150" s="778" t="s">
        <v>184</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990</v>
      </c>
      <c r="B151" s="761">
        <v>145</v>
      </c>
      <c r="C151" s="777" t="s">
        <v>2550</v>
      </c>
      <c r="D151" s="761" t="s">
        <v>2523</v>
      </c>
      <c r="E151" s="761" t="s">
        <v>1920</v>
      </c>
      <c r="F151" s="773" t="s">
        <v>2551</v>
      </c>
      <c r="G151" s="778" t="s">
        <v>693</v>
      </c>
      <c r="H151" s="779" t="s">
        <v>2552</v>
      </c>
      <c r="I151" s="780"/>
      <c r="J151" s="781"/>
      <c r="K151" s="781">
        <v>1</v>
      </c>
      <c r="L151" s="781"/>
      <c r="M151" s="781"/>
      <c r="N151" s="781"/>
      <c r="O151" s="781"/>
      <c r="P151" s="782"/>
      <c r="Q151" s="783">
        <f t="shared" si="2"/>
        <v>1</v>
      </c>
      <c r="R151" s="777" t="s">
        <v>984</v>
      </c>
      <c r="S151" s="761" t="s">
        <v>964</v>
      </c>
      <c r="T151" s="784" t="s">
        <v>965</v>
      </c>
      <c r="U151" s="761" t="s">
        <v>1949</v>
      </c>
      <c r="V151" s="761" t="s">
        <v>991</v>
      </c>
      <c r="W151" s="761" t="s">
        <v>2553</v>
      </c>
      <c r="X151" s="817">
        <v>2</v>
      </c>
      <c r="Y151" s="809" t="s">
        <v>978</v>
      </c>
      <c r="Z151" s="778" t="s">
        <v>693</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990</v>
      </c>
      <c r="B152" s="761">
        <v>146</v>
      </c>
      <c r="C152" s="777" t="s">
        <v>2554</v>
      </c>
      <c r="D152" s="761" t="s">
        <v>2528</v>
      </c>
      <c r="E152" s="761" t="s">
        <v>1920</v>
      </c>
      <c r="F152" s="773" t="s">
        <v>2555</v>
      </c>
      <c r="G152" s="778" t="s">
        <v>1016</v>
      </c>
      <c r="H152" s="779" t="s">
        <v>2556</v>
      </c>
      <c r="I152" s="780"/>
      <c r="J152" s="781">
        <v>0.16</v>
      </c>
      <c r="K152" s="781">
        <v>0.84</v>
      </c>
      <c r="L152" s="781"/>
      <c r="M152" s="781"/>
      <c r="N152" s="781"/>
      <c r="O152" s="781"/>
      <c r="P152" s="782"/>
      <c r="Q152" s="783">
        <f t="shared" si="2"/>
        <v>1</v>
      </c>
      <c r="R152" s="777" t="s">
        <v>984</v>
      </c>
      <c r="S152" s="761" t="s">
        <v>964</v>
      </c>
      <c r="T152" s="784" t="s">
        <v>965</v>
      </c>
      <c r="U152" s="761" t="s">
        <v>2557</v>
      </c>
      <c r="V152" s="761" t="s">
        <v>293</v>
      </c>
      <c r="W152" s="761" t="s">
        <v>2558</v>
      </c>
      <c r="X152" s="1263">
        <v>2</v>
      </c>
      <c r="Y152" s="809" t="s">
        <v>966</v>
      </c>
      <c r="Z152" s="778" t="s">
        <v>1016</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990</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963</v>
      </c>
      <c r="S153" s="761" t="s">
        <v>1971</v>
      </c>
      <c r="T153" s="784" t="s">
        <v>1971</v>
      </c>
      <c r="U153" s="761" t="s">
        <v>2146</v>
      </c>
      <c r="V153" s="761" t="s">
        <v>991</v>
      </c>
      <c r="W153" s="761" t="s">
        <v>2564</v>
      </c>
      <c r="X153" s="1298">
        <v>1</v>
      </c>
      <c r="Y153" s="809" t="s">
        <v>966</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990</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963</v>
      </c>
      <c r="S154" s="761" t="s">
        <v>1971</v>
      </c>
      <c r="T154" s="784" t="s">
        <v>1971</v>
      </c>
      <c r="U154" s="761" t="s">
        <v>2423</v>
      </c>
      <c r="V154" s="761" t="s">
        <v>293</v>
      </c>
      <c r="W154" s="761" t="s">
        <v>2569</v>
      </c>
      <c r="X154" s="1298">
        <v>1</v>
      </c>
      <c r="Y154" s="809" t="s">
        <v>966</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990</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963</v>
      </c>
      <c r="S155" s="761" t="s">
        <v>1971</v>
      </c>
      <c r="T155" s="784" t="s">
        <v>1971</v>
      </c>
      <c r="U155" s="761" t="s">
        <v>1976</v>
      </c>
      <c r="V155" s="761" t="s">
        <v>991</v>
      </c>
      <c r="W155" s="761" t="s">
        <v>2575</v>
      </c>
      <c r="X155" s="1298">
        <v>2</v>
      </c>
      <c r="Y155" s="809" t="s">
        <v>978</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990</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988</v>
      </c>
      <c r="S156" s="761" t="s">
        <v>964</v>
      </c>
      <c r="T156" s="784" t="s">
        <v>965</v>
      </c>
      <c r="U156" s="761" t="s">
        <v>2264</v>
      </c>
      <c r="V156" s="761" t="s">
        <v>991</v>
      </c>
      <c r="W156" s="761" t="s">
        <v>2580</v>
      </c>
      <c r="X156" s="817">
        <v>1</v>
      </c>
      <c r="Y156" s="807" t="s">
        <v>978</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961</v>
      </c>
      <c r="BM156" s="773" t="s">
        <v>961</v>
      </c>
      <c r="BN156" s="773" t="s">
        <v>961</v>
      </c>
      <c r="BO156" s="773" t="s">
        <v>961</v>
      </c>
      <c r="BP156" s="784" t="s">
        <v>961</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990</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963</v>
      </c>
      <c r="S157" s="761" t="s">
        <v>1971</v>
      </c>
      <c r="T157" s="784" t="s">
        <v>1971</v>
      </c>
      <c r="U157" s="761" t="s">
        <v>2146</v>
      </c>
      <c r="V157" s="761" t="s">
        <v>991</v>
      </c>
      <c r="W157" s="761" t="s">
        <v>2586</v>
      </c>
      <c r="X157" s="817">
        <v>1</v>
      </c>
      <c r="Y157" s="807" t="s">
        <v>966</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990</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963</v>
      </c>
      <c r="S158" s="761" t="s">
        <v>1971</v>
      </c>
      <c r="T158" s="784" t="s">
        <v>1971</v>
      </c>
      <c r="U158" s="761" t="s">
        <v>2146</v>
      </c>
      <c r="V158" s="761" t="s">
        <v>293</v>
      </c>
      <c r="W158" s="761" t="s">
        <v>2591</v>
      </c>
      <c r="X158" s="817">
        <v>2</v>
      </c>
      <c r="Y158" s="814" t="s">
        <v>978</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990</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963</v>
      </c>
      <c r="S159" s="761" t="s">
        <v>1971</v>
      </c>
      <c r="T159" s="784" t="s">
        <v>1971</v>
      </c>
      <c r="U159" s="761" t="s">
        <v>2146</v>
      </c>
      <c r="V159" s="761" t="s">
        <v>293</v>
      </c>
      <c r="W159" s="761" t="s">
        <v>2597</v>
      </c>
      <c r="X159" s="817">
        <v>1</v>
      </c>
      <c r="Y159" s="809" t="s">
        <v>966</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990</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988</v>
      </c>
      <c r="S160" s="761" t="s">
        <v>964</v>
      </c>
      <c r="T160" s="784" t="s">
        <v>965</v>
      </c>
      <c r="U160" s="761" t="s">
        <v>2146</v>
      </c>
      <c r="V160" s="761" t="s">
        <v>293</v>
      </c>
      <c r="W160" s="761" t="s">
        <v>2602</v>
      </c>
      <c r="X160" s="817">
        <v>2</v>
      </c>
      <c r="Y160" s="809" t="s">
        <v>978</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961</v>
      </c>
      <c r="BM160" s="773" t="s">
        <v>961</v>
      </c>
      <c r="BN160" s="773" t="s">
        <v>961</v>
      </c>
      <c r="BO160" s="773" t="s">
        <v>961</v>
      </c>
      <c r="BP160" s="784" t="s">
        <v>961</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990</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988</v>
      </c>
      <c r="S161" s="761" t="s">
        <v>964</v>
      </c>
      <c r="T161" s="784" t="s">
        <v>965</v>
      </c>
      <c r="U161" s="761" t="s">
        <v>1923</v>
      </c>
      <c r="V161" s="761" t="s">
        <v>991</v>
      </c>
      <c r="W161" s="761" t="s">
        <v>2607</v>
      </c>
      <c r="X161" s="817">
        <v>0</v>
      </c>
      <c r="Y161" s="809" t="s">
        <v>978</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961</v>
      </c>
      <c r="BM161" s="773" t="s">
        <v>961</v>
      </c>
      <c r="BN161" s="773" t="s">
        <v>961</v>
      </c>
      <c r="BO161" s="773" t="s">
        <v>961</v>
      </c>
      <c r="BP161" s="784" t="s">
        <v>961</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990</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988</v>
      </c>
      <c r="S162" s="761" t="s">
        <v>964</v>
      </c>
      <c r="T162" s="784" t="s">
        <v>965</v>
      </c>
      <c r="U162" s="761" t="s">
        <v>2178</v>
      </c>
      <c r="V162" s="761" t="s">
        <v>991</v>
      </c>
      <c r="W162" s="761" t="s">
        <v>2612</v>
      </c>
      <c r="X162" s="817">
        <v>2</v>
      </c>
      <c r="Y162" s="809" t="s">
        <v>978</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961</v>
      </c>
      <c r="BM162" s="773" t="s">
        <v>961</v>
      </c>
      <c r="BN162" s="773" t="s">
        <v>961</v>
      </c>
      <c r="BO162" s="773" t="s">
        <v>961</v>
      </c>
      <c r="BP162" s="784" t="s">
        <v>961</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990</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988</v>
      </c>
      <c r="S163" s="761" t="s">
        <v>964</v>
      </c>
      <c r="T163" s="784" t="s">
        <v>965</v>
      </c>
      <c r="U163" s="761" t="s">
        <v>2178</v>
      </c>
      <c r="V163" s="761" t="s">
        <v>991</v>
      </c>
      <c r="W163" s="761" t="s">
        <v>2617</v>
      </c>
      <c r="X163" s="817">
        <v>2</v>
      </c>
      <c r="Y163" s="809" t="s">
        <v>978</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961</v>
      </c>
      <c r="BM163" s="773" t="s">
        <v>961</v>
      </c>
      <c r="BN163" s="773" t="s">
        <v>961</v>
      </c>
      <c r="BO163" s="773" t="s">
        <v>961</v>
      </c>
      <c r="BP163" s="784" t="s">
        <v>961</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990</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984</v>
      </c>
      <c r="S164" s="761" t="s">
        <v>964</v>
      </c>
      <c r="T164" s="784" t="s">
        <v>965</v>
      </c>
      <c r="U164" s="761" t="s">
        <v>1939</v>
      </c>
      <c r="V164" s="761" t="s">
        <v>991</v>
      </c>
      <c r="W164" s="761" t="s">
        <v>2622</v>
      </c>
      <c r="X164" s="817">
        <v>3</v>
      </c>
      <c r="Y164" s="809" t="s">
        <v>978</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961</v>
      </c>
      <c r="BM164" s="842" t="s">
        <v>961</v>
      </c>
      <c r="BN164" s="842" t="s">
        <v>961</v>
      </c>
      <c r="BO164" s="842" t="s">
        <v>961</v>
      </c>
      <c r="BP164" s="843" t="s">
        <v>961</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990</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988</v>
      </c>
      <c r="S165" s="761" t="s">
        <v>964</v>
      </c>
      <c r="T165" s="784" t="s">
        <v>965</v>
      </c>
      <c r="U165" s="761" t="s">
        <v>1923</v>
      </c>
      <c r="V165" s="761" t="s">
        <v>2147</v>
      </c>
      <c r="W165" s="761" t="s">
        <v>2627</v>
      </c>
      <c r="X165" s="817">
        <v>1</v>
      </c>
      <c r="Y165" s="809" t="s">
        <v>978</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961</v>
      </c>
      <c r="BN165" s="773" t="s">
        <v>961</v>
      </c>
      <c r="BO165" s="773" t="s">
        <v>961</v>
      </c>
      <c r="BP165" s="784" t="s">
        <v>961</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990</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988</v>
      </c>
      <c r="S166" s="761" t="s">
        <v>964</v>
      </c>
      <c r="T166" s="784" t="s">
        <v>965</v>
      </c>
      <c r="U166" s="761" t="s">
        <v>1949</v>
      </c>
      <c r="V166" s="761" t="s">
        <v>991</v>
      </c>
      <c r="W166" s="761" t="s">
        <v>2631</v>
      </c>
      <c r="X166" s="1263">
        <v>0</v>
      </c>
      <c r="Y166" s="809" t="s">
        <v>978</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961</v>
      </c>
      <c r="BM166" s="773" t="s">
        <v>961</v>
      </c>
      <c r="BN166" s="773" t="s">
        <v>961</v>
      </c>
      <c r="BO166" s="773" t="s">
        <v>961</v>
      </c>
      <c r="BP166" s="784" t="s">
        <v>961</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990</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988</v>
      </c>
      <c r="S167" s="761" t="s">
        <v>964</v>
      </c>
      <c r="T167" s="784" t="s">
        <v>965</v>
      </c>
      <c r="U167" s="761" t="s">
        <v>2087</v>
      </c>
      <c r="V167" s="761" t="s">
        <v>991</v>
      </c>
      <c r="W167" s="761" t="s">
        <v>2635</v>
      </c>
      <c r="X167" s="1263">
        <v>0</v>
      </c>
      <c r="Y167" s="809" t="s">
        <v>978</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961</v>
      </c>
      <c r="BM167" s="773" t="s">
        <v>961</v>
      </c>
      <c r="BN167" s="773" t="s">
        <v>961</v>
      </c>
      <c r="BO167" s="773" t="s">
        <v>961</v>
      </c>
      <c r="BP167" s="784" t="s">
        <v>961</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990</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988</v>
      </c>
      <c r="S168" s="761" t="s">
        <v>964</v>
      </c>
      <c r="T168" s="784" t="s">
        <v>965</v>
      </c>
      <c r="U168" s="761" t="s">
        <v>2087</v>
      </c>
      <c r="V168" s="761" t="s">
        <v>991</v>
      </c>
      <c r="W168" s="761" t="s">
        <v>2640</v>
      </c>
      <c r="X168" s="1263">
        <v>0</v>
      </c>
      <c r="Y168" s="809" t="s">
        <v>978</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961</v>
      </c>
      <c r="BM168" s="773" t="s">
        <v>961</v>
      </c>
      <c r="BN168" s="773" t="s">
        <v>961</v>
      </c>
      <c r="BO168" s="773" t="s">
        <v>961</v>
      </c>
      <c r="BP168" s="784" t="s">
        <v>961</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990</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988</v>
      </c>
      <c r="S169" s="761" t="s">
        <v>964</v>
      </c>
      <c r="T169" s="784" t="s">
        <v>965</v>
      </c>
      <c r="U169" s="761" t="s">
        <v>2008</v>
      </c>
      <c r="V169" s="761" t="s">
        <v>991</v>
      </c>
      <c r="W169" s="761" t="s">
        <v>2338</v>
      </c>
      <c r="X169" s="1263">
        <v>0</v>
      </c>
      <c r="Y169" s="807" t="s">
        <v>978</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961</v>
      </c>
      <c r="BM169" s="773" t="s">
        <v>961</v>
      </c>
      <c r="BN169" s="773" t="s">
        <v>961</v>
      </c>
      <c r="BO169" s="773" t="s">
        <v>961</v>
      </c>
      <c r="BP169" s="784" t="s">
        <v>961</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990</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988</v>
      </c>
      <c r="S170" s="761" t="s">
        <v>964</v>
      </c>
      <c r="T170" s="784" t="s">
        <v>965</v>
      </c>
      <c r="U170" s="761" t="s">
        <v>2135</v>
      </c>
      <c r="V170" s="761" t="s">
        <v>293</v>
      </c>
      <c r="W170" s="761" t="s">
        <v>2649</v>
      </c>
      <c r="X170" s="1263">
        <v>2</v>
      </c>
      <c r="Y170" s="786" t="s">
        <v>966</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961</v>
      </c>
      <c r="BM170" s="773" t="s">
        <v>961</v>
      </c>
      <c r="BN170" s="773" t="s">
        <v>961</v>
      </c>
      <c r="BO170" s="773" t="s">
        <v>961</v>
      </c>
      <c r="BP170" s="784" t="s">
        <v>961</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990</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988</v>
      </c>
      <c r="S171" s="761" t="s">
        <v>964</v>
      </c>
      <c r="T171" s="784" t="s">
        <v>965</v>
      </c>
      <c r="U171" s="761" t="s">
        <v>2135</v>
      </c>
      <c r="V171" s="761" t="s">
        <v>991</v>
      </c>
      <c r="W171" s="761" t="s">
        <v>2655</v>
      </c>
      <c r="X171" s="817">
        <v>1</v>
      </c>
      <c r="Y171" s="786" t="s">
        <v>966</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961</v>
      </c>
      <c r="BM171" s="773" t="s">
        <v>961</v>
      </c>
      <c r="BN171" s="773" t="s">
        <v>961</v>
      </c>
      <c r="BO171" s="773" t="s">
        <v>961</v>
      </c>
      <c r="BP171" s="784" t="s">
        <v>961</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973</v>
      </c>
      <c r="DD171" s="801">
        <v>1</v>
      </c>
      <c r="DE171" s="802"/>
    </row>
    <row r="172" spans="1:109" ht="15.75" customHeight="1">
      <c r="A172" s="760" t="s">
        <v>990</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988</v>
      </c>
      <c r="S172" s="761" t="s">
        <v>964</v>
      </c>
      <c r="T172" s="784" t="s">
        <v>965</v>
      </c>
      <c r="U172" s="761" t="s">
        <v>2161</v>
      </c>
      <c r="V172" s="761" t="s">
        <v>2660</v>
      </c>
      <c r="W172" s="761" t="s">
        <v>2661</v>
      </c>
      <c r="X172" s="1263">
        <v>0</v>
      </c>
      <c r="Y172" s="786" t="s">
        <v>966</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961</v>
      </c>
      <c r="BM172" s="773" t="s">
        <v>961</v>
      </c>
      <c r="BN172" s="773" t="s">
        <v>961</v>
      </c>
      <c r="BO172" s="773" t="s">
        <v>961</v>
      </c>
      <c r="BP172" s="784" t="s">
        <v>961</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973</v>
      </c>
      <c r="DD172" s="801">
        <v>1</v>
      </c>
      <c r="DE172" s="802"/>
    </row>
    <row r="173" spans="1:109" ht="15.75" customHeight="1">
      <c r="A173" s="760" t="s">
        <v>990</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963</v>
      </c>
      <c r="S173" s="761" t="s">
        <v>1971</v>
      </c>
      <c r="T173" s="784" t="s">
        <v>1971</v>
      </c>
      <c r="U173" s="761" t="s">
        <v>711</v>
      </c>
      <c r="V173" s="761" t="s">
        <v>293</v>
      </c>
      <c r="W173" s="761" t="s">
        <v>2666</v>
      </c>
      <c r="X173" s="1298">
        <v>1</v>
      </c>
      <c r="Y173" s="786" t="s">
        <v>966</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990</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963</v>
      </c>
      <c r="S174" s="761" t="s">
        <v>1971</v>
      </c>
      <c r="T174" s="784" t="s">
        <v>1971</v>
      </c>
      <c r="U174" s="761" t="s">
        <v>2146</v>
      </c>
      <c r="V174" s="761" t="s">
        <v>991</v>
      </c>
      <c r="W174" s="761" t="s">
        <v>2564</v>
      </c>
      <c r="X174" s="817">
        <v>1</v>
      </c>
      <c r="Y174" s="807" t="s">
        <v>966</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990</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963</v>
      </c>
      <c r="S175" s="761" t="s">
        <v>1971</v>
      </c>
      <c r="T175" s="784" t="s">
        <v>1971</v>
      </c>
      <c r="U175" s="761" t="s">
        <v>2423</v>
      </c>
      <c r="V175" s="761" t="s">
        <v>293</v>
      </c>
      <c r="W175" s="761" t="s">
        <v>2675</v>
      </c>
      <c r="X175" s="817">
        <v>1</v>
      </c>
      <c r="Y175" s="807" t="s">
        <v>966</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990</v>
      </c>
      <c r="B176" s="761">
        <v>170</v>
      </c>
      <c r="C176" s="777" t="s">
        <v>2676</v>
      </c>
      <c r="D176" s="761" t="s">
        <v>2560</v>
      </c>
      <c r="E176" s="761" t="s">
        <v>1936</v>
      </c>
      <c r="F176" s="773" t="s">
        <v>2677</v>
      </c>
      <c r="G176" s="778" t="s">
        <v>658</v>
      </c>
      <c r="H176" s="779" t="s">
        <v>2678</v>
      </c>
      <c r="I176" s="780"/>
      <c r="J176" s="781"/>
      <c r="K176" s="781"/>
      <c r="L176" s="781"/>
      <c r="M176" s="781">
        <v>1</v>
      </c>
      <c r="N176" s="781"/>
      <c r="O176" s="781"/>
      <c r="P176" s="782"/>
      <c r="Q176" s="783">
        <f t="shared" si="2"/>
        <v>1</v>
      </c>
      <c r="R176" s="777" t="s">
        <v>963</v>
      </c>
      <c r="S176" s="761" t="s">
        <v>1971</v>
      </c>
      <c r="T176" s="784" t="s">
        <v>1971</v>
      </c>
      <c r="U176" s="761" t="s">
        <v>2058</v>
      </c>
      <c r="V176" s="761" t="s">
        <v>293</v>
      </c>
      <c r="W176" s="761" t="s">
        <v>2679</v>
      </c>
      <c r="X176" s="817">
        <v>1</v>
      </c>
      <c r="Y176" s="807" t="s">
        <v>966</v>
      </c>
      <c r="Z176" s="778" t="s">
        <v>658</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990</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963</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990</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984</v>
      </c>
      <c r="S178" s="761" t="s">
        <v>964</v>
      </c>
      <c r="T178" s="784" t="s">
        <v>977</v>
      </c>
      <c r="U178" s="761" t="s">
        <v>1939</v>
      </c>
      <c r="V178" s="761" t="s">
        <v>293</v>
      </c>
      <c r="W178" s="761" t="s">
        <v>2689</v>
      </c>
      <c r="X178" s="817">
        <v>1</v>
      </c>
      <c r="Y178" s="810" t="s">
        <v>966</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961</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973</v>
      </c>
      <c r="DD178" s="801">
        <v>1</v>
      </c>
      <c r="DE178" s="802"/>
    </row>
    <row r="179" spans="1:109" ht="15.75" customHeight="1">
      <c r="A179" s="760" t="s">
        <v>990</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984</v>
      </c>
      <c r="S179" s="761" t="s">
        <v>964</v>
      </c>
      <c r="T179" s="784" t="s">
        <v>977</v>
      </c>
      <c r="U179" s="761" t="s">
        <v>1955</v>
      </c>
      <c r="V179" s="761" t="s">
        <v>293</v>
      </c>
      <c r="W179" s="761" t="s">
        <v>2689</v>
      </c>
      <c r="X179" s="817">
        <v>1</v>
      </c>
      <c r="Y179" s="810" t="s">
        <v>966</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961</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973</v>
      </c>
      <c r="DD179" s="801">
        <v>1</v>
      </c>
      <c r="DE179" s="802"/>
    </row>
    <row r="180" spans="1:109" ht="15.75" customHeight="1">
      <c r="A180" s="760" t="s">
        <v>990</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984</v>
      </c>
      <c r="S180" s="761" t="s">
        <v>964</v>
      </c>
      <c r="T180" s="784" t="s">
        <v>977</v>
      </c>
      <c r="U180" s="761" t="s">
        <v>2698</v>
      </c>
      <c r="V180" s="761" t="s">
        <v>293</v>
      </c>
      <c r="W180" s="761" t="s">
        <v>2689</v>
      </c>
      <c r="X180" s="817">
        <v>1</v>
      </c>
      <c r="Y180" s="810" t="s">
        <v>966</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961</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973</v>
      </c>
      <c r="DD180" s="801">
        <v>1</v>
      </c>
      <c r="DE180" s="802"/>
    </row>
    <row r="181" spans="1:109" ht="15.75" customHeight="1">
      <c r="A181" s="760" t="s">
        <v>990</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984</v>
      </c>
      <c r="S181" s="761" t="s">
        <v>964</v>
      </c>
      <c r="T181" s="784" t="s">
        <v>977</v>
      </c>
      <c r="U181" s="761" t="s">
        <v>1939</v>
      </c>
      <c r="V181" s="1493" t="s">
        <v>991</v>
      </c>
      <c r="W181" s="761" t="s">
        <v>2701</v>
      </c>
      <c r="X181" s="817">
        <v>0</v>
      </c>
      <c r="Y181" s="1879" t="s">
        <v>966</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961</v>
      </c>
      <c r="BM181" s="1881" t="s">
        <v>961</v>
      </c>
      <c r="BN181" s="1881" t="s">
        <v>961</v>
      </c>
      <c r="BO181" s="1881" t="s">
        <v>961</v>
      </c>
      <c r="BP181" s="784" t="s">
        <v>961</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973</v>
      </c>
      <c r="DD181" s="801">
        <v>1</v>
      </c>
      <c r="DE181" s="802"/>
    </row>
    <row r="182" spans="1:109" ht="15.75" customHeight="1">
      <c r="A182" s="760" t="s">
        <v>990</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984</v>
      </c>
      <c r="S182" s="761" t="s">
        <v>964</v>
      </c>
      <c r="T182" s="784" t="s">
        <v>965</v>
      </c>
      <c r="U182" s="761" t="s">
        <v>1939</v>
      </c>
      <c r="V182" s="761" t="s">
        <v>293</v>
      </c>
      <c r="W182" s="761" t="s">
        <v>2689</v>
      </c>
      <c r="X182" s="817">
        <v>1</v>
      </c>
      <c r="Y182" s="810" t="s">
        <v>966</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961</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490"/>
      <c r="CW182" s="1272" t="s">
        <v>1971</v>
      </c>
      <c r="CX182" s="1274" t="s">
        <v>1971</v>
      </c>
      <c r="CY182" s="1272" t="s">
        <v>1971</v>
      </c>
      <c r="CZ182" s="1272" t="s">
        <v>1971</v>
      </c>
      <c r="DA182" s="1272" t="s">
        <v>1971</v>
      </c>
      <c r="DB182" s="1274" t="s">
        <v>1971</v>
      </c>
      <c r="DC182" s="773" t="s">
        <v>973</v>
      </c>
      <c r="DD182" s="801">
        <v>1</v>
      </c>
      <c r="DE182" s="802"/>
    </row>
    <row r="183" spans="1:109" ht="15.75" customHeight="1">
      <c r="A183" s="760" t="s">
        <v>990</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963</v>
      </c>
      <c r="S183" s="761" t="s">
        <v>1971</v>
      </c>
      <c r="T183" s="784" t="s">
        <v>1971</v>
      </c>
      <c r="U183" s="761" t="s">
        <v>2058</v>
      </c>
      <c r="V183" s="761" t="s">
        <v>991</v>
      </c>
      <c r="W183" s="761" t="s">
        <v>2709</v>
      </c>
      <c r="X183" s="1298">
        <v>1</v>
      </c>
      <c r="Y183" s="807" t="s">
        <v>966</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990</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963</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990</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984</v>
      </c>
      <c r="S185" s="761" t="s">
        <v>964</v>
      </c>
      <c r="T185" s="784" t="s">
        <v>965</v>
      </c>
      <c r="U185" s="761"/>
      <c r="V185" s="1237" t="s">
        <v>991</v>
      </c>
      <c r="W185" s="761" t="s">
        <v>2713</v>
      </c>
      <c r="X185" s="817">
        <v>0</v>
      </c>
      <c r="Y185" s="807" t="s">
        <v>966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961</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990</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963</v>
      </c>
      <c r="S186" s="761"/>
      <c r="T186" s="784"/>
      <c r="U186" s="761"/>
      <c r="V186" s="761" t="s">
        <v>293</v>
      </c>
      <c r="W186" s="761" t="s">
        <v>2717</v>
      </c>
      <c r="X186" s="1298">
        <v>0</v>
      </c>
      <c r="Y186" s="807" t="s">
        <v>966</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990</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990</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984</v>
      </c>
      <c r="S188" s="761" t="s">
        <v>964</v>
      </c>
      <c r="T188" s="784" t="s">
        <v>977</v>
      </c>
      <c r="U188" s="761"/>
      <c r="V188" s="761" t="s">
        <v>2721</v>
      </c>
      <c r="W188" s="761" t="s">
        <v>2722</v>
      </c>
      <c r="X188" s="817">
        <v>0</v>
      </c>
      <c r="Y188" s="807" t="s">
        <v>978</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961</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1026</v>
      </c>
      <c r="B189" s="761">
        <v>183</v>
      </c>
      <c r="C189" s="777" t="s">
        <v>2723</v>
      </c>
      <c r="D189" s="761" t="s">
        <v>2724</v>
      </c>
      <c r="E189" s="761" t="s">
        <v>1927</v>
      </c>
      <c r="F189" s="773" t="s">
        <v>2725</v>
      </c>
      <c r="G189" s="778" t="s">
        <v>629</v>
      </c>
      <c r="H189" s="779" t="s">
        <v>2726</v>
      </c>
      <c r="I189" s="780"/>
      <c r="J189" s="781">
        <v>1</v>
      </c>
      <c r="K189" s="781"/>
      <c r="L189" s="781"/>
      <c r="M189" s="781"/>
      <c r="N189" s="781"/>
      <c r="O189" s="781"/>
      <c r="P189" s="782"/>
      <c r="Q189" s="783">
        <f t="shared" si="2"/>
        <v>1</v>
      </c>
      <c r="R189" s="777" t="s">
        <v>988</v>
      </c>
      <c r="S189" s="761" t="s">
        <v>964</v>
      </c>
      <c r="T189" s="784" t="s">
        <v>965</v>
      </c>
      <c r="U189" s="761" t="s">
        <v>629</v>
      </c>
      <c r="V189" s="761" t="s">
        <v>991</v>
      </c>
      <c r="W189" s="761" t="s">
        <v>630</v>
      </c>
      <c r="X189" s="817">
        <v>1</v>
      </c>
      <c r="Y189" s="807" t="s">
        <v>978</v>
      </c>
      <c r="Z189" s="778" t="s">
        <v>629</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customHeight="1">
      <c r="A190" s="760" t="s">
        <v>1026</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988</v>
      </c>
      <c r="S190" s="761" t="s">
        <v>964</v>
      </c>
      <c r="T190" s="1414" t="s">
        <v>977</v>
      </c>
      <c r="U190" s="761" t="s">
        <v>2083</v>
      </c>
      <c r="V190" s="761" t="s">
        <v>991</v>
      </c>
      <c r="W190" s="761" t="s">
        <v>2730</v>
      </c>
      <c r="X190" s="1263">
        <v>1</v>
      </c>
      <c r="Y190" s="807" t="s">
        <v>978</v>
      </c>
      <c r="Z190" s="778" t="s">
        <v>1124</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customHeight="1">
      <c r="A191" s="760" t="s">
        <v>1026</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984</v>
      </c>
      <c r="S191" s="761" t="s">
        <v>964</v>
      </c>
      <c r="T191" s="784" t="s">
        <v>965</v>
      </c>
      <c r="U191" s="761" t="s">
        <v>1955</v>
      </c>
      <c r="V191" s="761" t="s">
        <v>991</v>
      </c>
      <c r="W191" s="761" t="s">
        <v>2735</v>
      </c>
      <c r="X191" s="817">
        <v>2</v>
      </c>
      <c r="Y191" s="809" t="s">
        <v>978</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customHeight="1">
      <c r="A192" s="760" t="s">
        <v>1026</v>
      </c>
      <c r="B192" s="761">
        <v>186</v>
      </c>
      <c r="C192" s="777" t="s">
        <v>2736</v>
      </c>
      <c r="D192" s="761" t="s">
        <v>2732</v>
      </c>
      <c r="E192" s="761" t="s">
        <v>1927</v>
      </c>
      <c r="F192" s="773" t="s">
        <v>2737</v>
      </c>
      <c r="G192" s="778" t="s">
        <v>154</v>
      </c>
      <c r="H192" s="779" t="s">
        <v>2738</v>
      </c>
      <c r="I192" s="780"/>
      <c r="J192" s="781">
        <v>1</v>
      </c>
      <c r="K192" s="781"/>
      <c r="L192" s="781"/>
      <c r="M192" s="781"/>
      <c r="N192" s="781"/>
      <c r="O192" s="781"/>
      <c r="P192" s="782"/>
      <c r="Q192" s="783">
        <f t="shared" si="2"/>
        <v>1</v>
      </c>
      <c r="R192" s="777" t="s">
        <v>988</v>
      </c>
      <c r="S192" s="761" t="s">
        <v>964</v>
      </c>
      <c r="T192" s="784" t="s">
        <v>965</v>
      </c>
      <c r="U192" s="761" t="s">
        <v>1923</v>
      </c>
      <c r="V192" s="761" t="s">
        <v>987</v>
      </c>
      <c r="W192" s="761" t="s">
        <v>2739</v>
      </c>
      <c r="X192" s="1263">
        <v>0</v>
      </c>
      <c r="Y192" s="809" t="s">
        <v>978</v>
      </c>
      <c r="Z192" s="778" t="s">
        <v>154</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customHeight="1">
      <c r="A193" s="760" t="s">
        <v>1026</v>
      </c>
      <c r="B193" s="761">
        <v>187</v>
      </c>
      <c r="C193" s="777" t="s">
        <v>2740</v>
      </c>
      <c r="D193" s="761" t="s">
        <v>2732</v>
      </c>
      <c r="E193" s="761" t="s">
        <v>1920</v>
      </c>
      <c r="F193" s="773" t="s">
        <v>2741</v>
      </c>
      <c r="G193" s="778" t="s">
        <v>178</v>
      </c>
      <c r="H193" s="779" t="s">
        <v>2742</v>
      </c>
      <c r="I193" s="780"/>
      <c r="J193" s="781">
        <v>1</v>
      </c>
      <c r="K193" s="781"/>
      <c r="L193" s="781"/>
      <c r="M193" s="781"/>
      <c r="N193" s="781"/>
      <c r="O193" s="781"/>
      <c r="P193" s="782"/>
      <c r="Q193" s="783">
        <f t="shared" si="2"/>
        <v>1</v>
      </c>
      <c r="R193" s="777" t="s">
        <v>984</v>
      </c>
      <c r="S193" s="761" t="s">
        <v>964</v>
      </c>
      <c r="T193" s="784" t="s">
        <v>965</v>
      </c>
      <c r="U193" s="761" t="s">
        <v>2103</v>
      </c>
      <c r="V193" s="761" t="s">
        <v>991</v>
      </c>
      <c r="W193" s="761" t="s">
        <v>2743</v>
      </c>
      <c r="X193" s="817">
        <v>1</v>
      </c>
      <c r="Y193" s="809" t="s">
        <v>978</v>
      </c>
      <c r="Z193" s="778" t="s">
        <v>178</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customHeight="1">
      <c r="A194" s="760" t="s">
        <v>1026</v>
      </c>
      <c r="B194" s="761">
        <v>188</v>
      </c>
      <c r="C194" s="777" t="s">
        <v>2744</v>
      </c>
      <c r="D194" s="761" t="s">
        <v>2732</v>
      </c>
      <c r="E194" s="761" t="s">
        <v>1936</v>
      </c>
      <c r="F194" s="773" t="s">
        <v>2745</v>
      </c>
      <c r="G194" s="778" t="s">
        <v>184</v>
      </c>
      <c r="H194" s="779" t="s">
        <v>2746</v>
      </c>
      <c r="I194" s="780"/>
      <c r="J194" s="781">
        <v>1</v>
      </c>
      <c r="K194" s="781"/>
      <c r="L194" s="781"/>
      <c r="M194" s="781"/>
      <c r="N194" s="781"/>
      <c r="O194" s="781"/>
      <c r="P194" s="782"/>
      <c r="Q194" s="783">
        <f t="shared" si="2"/>
        <v>1</v>
      </c>
      <c r="R194" s="777" t="s">
        <v>984</v>
      </c>
      <c r="S194" s="761" t="s">
        <v>964</v>
      </c>
      <c r="T194" s="784" t="s">
        <v>965</v>
      </c>
      <c r="U194" s="761" t="s">
        <v>2114</v>
      </c>
      <c r="V194" s="761" t="s">
        <v>293</v>
      </c>
      <c r="W194" s="761" t="s">
        <v>2747</v>
      </c>
      <c r="X194" s="1263">
        <v>2</v>
      </c>
      <c r="Y194" s="809" t="s">
        <v>978</v>
      </c>
      <c r="Z194" s="778" t="s">
        <v>184</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customHeight="1">
      <c r="A195" s="760" t="s">
        <v>1026</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984</v>
      </c>
      <c r="S195" s="761" t="s">
        <v>964</v>
      </c>
      <c r="T195" s="784" t="s">
        <v>965</v>
      </c>
      <c r="U195" s="761" t="s">
        <v>2178</v>
      </c>
      <c r="V195" s="761" t="s">
        <v>991</v>
      </c>
      <c r="W195" s="761" t="s">
        <v>2751</v>
      </c>
      <c r="X195" s="1263">
        <v>2</v>
      </c>
      <c r="Y195" s="786" t="s">
        <v>978</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961</v>
      </c>
      <c r="BM195" s="773" t="s">
        <v>961</v>
      </c>
      <c r="BN195" s="773" t="s">
        <v>961</v>
      </c>
      <c r="BO195" s="773" t="s">
        <v>961</v>
      </c>
      <c r="BP195" s="784" t="s">
        <v>961</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1026</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984</v>
      </c>
      <c r="S196" s="761" t="s">
        <v>964</v>
      </c>
      <c r="T196" s="784" t="s">
        <v>965</v>
      </c>
      <c r="U196" s="761" t="s">
        <v>2014</v>
      </c>
      <c r="V196" s="761" t="s">
        <v>991</v>
      </c>
      <c r="W196" s="761" t="s">
        <v>2755</v>
      </c>
      <c r="X196" s="817">
        <v>0</v>
      </c>
      <c r="Y196" s="786" t="s">
        <v>978</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961</v>
      </c>
      <c r="BM196" s="773" t="s">
        <v>961</v>
      </c>
      <c r="BN196" s="773" t="s">
        <v>961</v>
      </c>
      <c r="BO196" s="773" t="s">
        <v>961</v>
      </c>
      <c r="BP196" s="784" t="s">
        <v>961</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1026</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988</v>
      </c>
      <c r="S197" s="761" t="s">
        <v>964</v>
      </c>
      <c r="T197" s="784" t="s">
        <v>965</v>
      </c>
      <c r="U197" s="761" t="s">
        <v>1996</v>
      </c>
      <c r="V197" s="761" t="s">
        <v>991</v>
      </c>
      <c r="W197" s="761" t="s">
        <v>2761</v>
      </c>
      <c r="X197" s="817">
        <v>0</v>
      </c>
      <c r="Y197" s="786" t="s">
        <v>966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961</v>
      </c>
      <c r="BM197" s="773" t="s">
        <v>961</v>
      </c>
      <c r="BN197" s="773" t="s">
        <v>961</v>
      </c>
      <c r="BO197" s="773" t="s">
        <v>961</v>
      </c>
      <c r="BP197" s="784" t="s">
        <v>961</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1026</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988</v>
      </c>
      <c r="S198" s="761" t="s">
        <v>964</v>
      </c>
      <c r="T198" s="784" t="s">
        <v>965</v>
      </c>
      <c r="U198" s="761" t="s">
        <v>2008</v>
      </c>
      <c r="V198" s="761" t="s">
        <v>991</v>
      </c>
      <c r="W198" s="761" t="s">
        <v>2009</v>
      </c>
      <c r="X198" s="817">
        <v>1</v>
      </c>
      <c r="Y198" s="786" t="s">
        <v>978</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961</v>
      </c>
      <c r="BM198" s="773" t="s">
        <v>961</v>
      </c>
      <c r="BN198" s="773" t="s">
        <v>961</v>
      </c>
      <c r="BO198" s="773" t="s">
        <v>961</v>
      </c>
      <c r="BP198" s="784" t="s">
        <v>961</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1026</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964</v>
      </c>
      <c r="T199" s="784" t="s">
        <v>977</v>
      </c>
      <c r="U199" s="761" t="s">
        <v>2315</v>
      </c>
      <c r="V199" s="761" t="s">
        <v>141</v>
      </c>
      <c r="W199" s="761" t="s">
        <v>2770</v>
      </c>
      <c r="X199" s="917">
        <v>3</v>
      </c>
      <c r="Y199" s="807" t="s">
        <v>966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961</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1026</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984</v>
      </c>
      <c r="S200" s="761" t="s">
        <v>964</v>
      </c>
      <c r="T200" s="784" t="s">
        <v>965</v>
      </c>
      <c r="U200" s="761" t="s">
        <v>2315</v>
      </c>
      <c r="V200" s="761" t="s">
        <v>293</v>
      </c>
      <c r="W200" s="761" t="s">
        <v>2775</v>
      </c>
      <c r="X200" s="817">
        <v>1</v>
      </c>
      <c r="Y200" s="807" t="s">
        <v>966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961</v>
      </c>
      <c r="BM200" s="773" t="s">
        <v>961</v>
      </c>
      <c r="BN200" s="773" t="s">
        <v>961</v>
      </c>
      <c r="BO200" s="773" t="s">
        <v>961</v>
      </c>
      <c r="BP200" s="784" t="s">
        <v>961</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1026</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988</v>
      </c>
      <c r="S201" s="761" t="s">
        <v>964</v>
      </c>
      <c r="T201" s="784" t="s">
        <v>965</v>
      </c>
      <c r="U201" s="761" t="s">
        <v>2781</v>
      </c>
      <c r="V201" s="761" t="s">
        <v>293</v>
      </c>
      <c r="W201" s="761" t="s">
        <v>2453</v>
      </c>
      <c r="X201" s="1263">
        <v>2</v>
      </c>
      <c r="Y201" s="807" t="s">
        <v>978</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961</v>
      </c>
      <c r="BM201" s="773" t="s">
        <v>961</v>
      </c>
      <c r="BN201" s="773" t="s">
        <v>961</v>
      </c>
      <c r="BO201" s="773" t="s">
        <v>961</v>
      </c>
      <c r="BP201" s="784" t="s">
        <v>961</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1026</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984</v>
      </c>
      <c r="S202" s="761" t="s">
        <v>964</v>
      </c>
      <c r="T202" s="784" t="s">
        <v>965</v>
      </c>
      <c r="U202" s="761" t="s">
        <v>2058</v>
      </c>
      <c r="V202" s="761" t="s">
        <v>991</v>
      </c>
      <c r="W202" s="761" t="s">
        <v>2786</v>
      </c>
      <c r="X202" s="817">
        <v>0</v>
      </c>
      <c r="Y202" s="809" t="s">
        <v>966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961</v>
      </c>
      <c r="BM202" s="773" t="s">
        <v>961</v>
      </c>
      <c r="BN202" s="773" t="s">
        <v>961</v>
      </c>
      <c r="BO202" s="773" t="s">
        <v>961</v>
      </c>
      <c r="BP202" s="784" t="s">
        <v>961</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1026</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988</v>
      </c>
      <c r="S203" s="761" t="s">
        <v>964</v>
      </c>
      <c r="T203" s="784" t="s">
        <v>965</v>
      </c>
      <c r="U203" s="761" t="s">
        <v>1027</v>
      </c>
      <c r="V203" s="761" t="s">
        <v>1039</v>
      </c>
      <c r="W203" s="761" t="s">
        <v>2790</v>
      </c>
      <c r="X203" s="1263">
        <v>2</v>
      </c>
      <c r="Y203" s="807" t="s">
        <v>966</v>
      </c>
      <c r="Z203" s="778" t="s">
        <v>1960</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customHeight="1">
      <c r="A204" s="760" t="s">
        <v>1026</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988</v>
      </c>
      <c r="S204" s="761" t="s">
        <v>964</v>
      </c>
      <c r="T204" s="784" t="s">
        <v>965</v>
      </c>
      <c r="U204" s="761" t="s">
        <v>1031</v>
      </c>
      <c r="V204" s="761" t="s">
        <v>1039</v>
      </c>
      <c r="W204" s="761" t="s">
        <v>2794</v>
      </c>
      <c r="X204" s="1263">
        <v>2</v>
      </c>
      <c r="Y204" s="810" t="s">
        <v>966</v>
      </c>
      <c r="Z204" s="778" t="s">
        <v>1964</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customHeight="1">
      <c r="A205" s="760" t="s">
        <v>1026</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963</v>
      </c>
      <c r="S205" s="761"/>
      <c r="T205" s="784"/>
      <c r="U205" s="761" t="s">
        <v>1939</v>
      </c>
      <c r="V205" s="761" t="s">
        <v>293</v>
      </c>
      <c r="W205" s="761" t="s">
        <v>2799</v>
      </c>
      <c r="X205" s="817">
        <v>0</v>
      </c>
      <c r="Y205" s="814" t="s">
        <v>978</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1026</v>
      </c>
      <c r="B206" s="761">
        <v>200</v>
      </c>
      <c r="C206" s="777" t="s">
        <v>2800</v>
      </c>
      <c r="D206" s="761" t="s">
        <v>2727</v>
      </c>
      <c r="E206" s="761" t="s">
        <v>1936</v>
      </c>
      <c r="F206" s="773" t="s">
        <v>2801</v>
      </c>
      <c r="G206" s="778" t="s">
        <v>499</v>
      </c>
      <c r="H206" s="779" t="s">
        <v>2802</v>
      </c>
      <c r="I206" s="780">
        <v>1</v>
      </c>
      <c r="J206" s="781"/>
      <c r="K206" s="781"/>
      <c r="L206" s="781"/>
      <c r="M206" s="781"/>
      <c r="N206" s="781"/>
      <c r="O206" s="781"/>
      <c r="P206" s="782"/>
      <c r="Q206" s="783">
        <f t="shared" si="3"/>
        <v>1</v>
      </c>
      <c r="R206" s="777" t="s">
        <v>963</v>
      </c>
      <c r="S206" s="761"/>
      <c r="T206" s="784"/>
      <c r="U206" s="761" t="s">
        <v>1939</v>
      </c>
      <c r="V206" s="761" t="s">
        <v>293</v>
      </c>
      <c r="W206" s="761" t="s">
        <v>2803</v>
      </c>
      <c r="X206" s="817">
        <v>1</v>
      </c>
      <c r="Y206" s="809" t="s">
        <v>978</v>
      </c>
      <c r="Z206" s="778" t="s">
        <v>499</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customHeight="1">
      <c r="A207" s="760" t="s">
        <v>1026</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963</v>
      </c>
      <c r="S207" s="761"/>
      <c r="T207" s="784"/>
      <c r="U207" s="761" t="s">
        <v>1939</v>
      </c>
      <c r="V207" s="761" t="s">
        <v>991</v>
      </c>
      <c r="W207" s="761" t="s">
        <v>2808</v>
      </c>
      <c r="X207" s="817">
        <v>0</v>
      </c>
      <c r="Y207" s="814" t="s">
        <v>978</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1026</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963</v>
      </c>
      <c r="S208" s="761"/>
      <c r="T208" s="784"/>
      <c r="U208" s="761" t="s">
        <v>2161</v>
      </c>
      <c r="V208" s="761" t="s">
        <v>293</v>
      </c>
      <c r="W208" s="761" t="s">
        <v>2813</v>
      </c>
      <c r="X208" s="1263">
        <v>1</v>
      </c>
      <c r="Y208" s="809" t="s">
        <v>978</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1026</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963</v>
      </c>
      <c r="S209" s="761"/>
      <c r="T209" s="784"/>
      <c r="U209" s="761" t="s">
        <v>2058</v>
      </c>
      <c r="V209" s="761" t="s">
        <v>293</v>
      </c>
      <c r="W209" s="761" t="s">
        <v>2819</v>
      </c>
      <c r="X209" s="817">
        <v>0</v>
      </c>
      <c r="Y209" s="807" t="s">
        <v>966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1026</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963</v>
      </c>
      <c r="S210" s="761"/>
      <c r="T210" s="784"/>
      <c r="U210" s="761" t="s">
        <v>2825</v>
      </c>
      <c r="V210" s="761" t="s">
        <v>1041</v>
      </c>
      <c r="W210" s="761" t="s">
        <v>2826</v>
      </c>
      <c r="X210" s="1266">
        <v>0</v>
      </c>
      <c r="Y210" s="807" t="s">
        <v>966</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1026</v>
      </c>
      <c r="B211" s="761">
        <v>205</v>
      </c>
      <c r="C211" s="777" t="s">
        <v>2828</v>
      </c>
      <c r="D211" s="761" t="s">
        <v>2777</v>
      </c>
      <c r="E211" s="761" t="s">
        <v>1936</v>
      </c>
      <c r="F211" s="773" t="s">
        <v>2829</v>
      </c>
      <c r="G211" s="778" t="s">
        <v>658</v>
      </c>
      <c r="H211" s="779" t="s">
        <v>2830</v>
      </c>
      <c r="I211" s="780"/>
      <c r="J211" s="781"/>
      <c r="K211" s="781"/>
      <c r="L211" s="781"/>
      <c r="M211" s="781">
        <v>1</v>
      </c>
      <c r="N211" s="781"/>
      <c r="O211" s="781"/>
      <c r="P211" s="782"/>
      <c r="Q211" s="783">
        <f t="shared" si="3"/>
        <v>1</v>
      </c>
      <c r="R211" s="777" t="s">
        <v>963</v>
      </c>
      <c r="S211" s="761"/>
      <c r="T211" s="784"/>
      <c r="U211" s="761" t="s">
        <v>2058</v>
      </c>
      <c r="V211" s="761" t="s">
        <v>1039</v>
      </c>
      <c r="W211" s="761" t="s">
        <v>1039</v>
      </c>
      <c r="X211" s="817">
        <v>1</v>
      </c>
      <c r="Y211" s="807" t="s">
        <v>966</v>
      </c>
      <c r="Z211" s="778" t="s">
        <v>658</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customHeight="1">
      <c r="A212" s="760" t="s">
        <v>1026</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963</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1026</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984</v>
      </c>
      <c r="S213" s="761" t="s">
        <v>964</v>
      </c>
      <c r="T213" s="784" t="s">
        <v>965</v>
      </c>
      <c r="U213" s="761"/>
      <c r="V213" s="1237" t="s">
        <v>991</v>
      </c>
      <c r="W213" s="761" t="s">
        <v>2834</v>
      </c>
      <c r="X213" s="817">
        <v>0</v>
      </c>
      <c r="Y213" s="807" t="s">
        <v>966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961</v>
      </c>
      <c r="BM213" s="773" t="s">
        <v>961</v>
      </c>
      <c r="BN213" s="773" t="s">
        <v>961</v>
      </c>
      <c r="BO213" s="773" t="s">
        <v>961</v>
      </c>
      <c r="BP213" s="784" t="s">
        <v>961</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1026</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984</v>
      </c>
      <c r="S214" s="761" t="s">
        <v>964</v>
      </c>
      <c r="T214" s="784" t="s">
        <v>977</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154</v>
      </c>
      <c r="H215" s="779" t="s">
        <v>2841</v>
      </c>
      <c r="I215" s="780"/>
      <c r="J215" s="781">
        <v>1</v>
      </c>
      <c r="K215" s="781"/>
      <c r="L215" s="781"/>
      <c r="M215" s="781"/>
      <c r="N215" s="781"/>
      <c r="O215" s="781"/>
      <c r="P215" s="782"/>
      <c r="Q215" s="783">
        <f t="shared" si="3"/>
        <v>1</v>
      </c>
      <c r="R215" s="777" t="s">
        <v>988</v>
      </c>
      <c r="S215" s="761" t="s">
        <v>964</v>
      </c>
      <c r="T215" s="784" t="s">
        <v>965</v>
      </c>
      <c r="U215" s="761" t="s">
        <v>1923</v>
      </c>
      <c r="V215" s="761" t="s">
        <v>987</v>
      </c>
      <c r="W215" s="761" t="s">
        <v>2842</v>
      </c>
      <c r="X215" s="817">
        <v>0</v>
      </c>
      <c r="Y215" s="809" t="s">
        <v>978</v>
      </c>
      <c r="Z215" s="778" t="s">
        <v>154</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customHeight="1">
      <c r="A216" s="760" t="s">
        <v>1029</v>
      </c>
      <c r="B216" s="761">
        <v>210</v>
      </c>
      <c r="C216" s="777" t="s">
        <v>2843</v>
      </c>
      <c r="D216" s="761" t="s">
        <v>2839</v>
      </c>
      <c r="E216" s="761" t="s">
        <v>1927</v>
      </c>
      <c r="F216" s="773" t="s">
        <v>2844</v>
      </c>
      <c r="G216" s="778" t="s">
        <v>178</v>
      </c>
      <c r="H216" s="779" t="s">
        <v>2841</v>
      </c>
      <c r="I216" s="780"/>
      <c r="J216" s="781">
        <v>1</v>
      </c>
      <c r="K216" s="781"/>
      <c r="L216" s="781"/>
      <c r="M216" s="781"/>
      <c r="N216" s="781"/>
      <c r="O216" s="781"/>
      <c r="P216" s="782"/>
      <c r="Q216" s="783">
        <f t="shared" si="3"/>
        <v>1</v>
      </c>
      <c r="R216" s="777" t="s">
        <v>984</v>
      </c>
      <c r="S216" s="761" t="s">
        <v>964</v>
      </c>
      <c r="T216" s="784" t="s">
        <v>965</v>
      </c>
      <c r="U216" s="761" t="s">
        <v>2103</v>
      </c>
      <c r="V216" s="761" t="s">
        <v>991</v>
      </c>
      <c r="W216" s="761" t="s">
        <v>2234</v>
      </c>
      <c r="X216" s="817">
        <v>1</v>
      </c>
      <c r="Y216" s="809" t="s">
        <v>978</v>
      </c>
      <c r="Z216" s="778" t="s">
        <v>178</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984</v>
      </c>
      <c r="S217" s="761" t="s">
        <v>964</v>
      </c>
      <c r="T217" s="784" t="s">
        <v>965</v>
      </c>
      <c r="U217" s="761" t="s">
        <v>2178</v>
      </c>
      <c r="V217" s="761" t="s">
        <v>991</v>
      </c>
      <c r="W217" s="761" t="s">
        <v>2246</v>
      </c>
      <c r="X217" s="817">
        <v>2</v>
      </c>
      <c r="Y217" s="809" t="s">
        <v>978</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961</v>
      </c>
      <c r="BM217" s="773" t="s">
        <v>961</v>
      </c>
      <c r="BN217" s="773" t="s">
        <v>961</v>
      </c>
      <c r="BO217" s="773" t="s">
        <v>961</v>
      </c>
      <c r="BP217" s="784" t="s">
        <v>961</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984</v>
      </c>
      <c r="S218" s="761" t="s">
        <v>964</v>
      </c>
      <c r="T218" s="784" t="s">
        <v>965</v>
      </c>
      <c r="U218" s="761" t="s">
        <v>1955</v>
      </c>
      <c r="V218" s="761" t="s">
        <v>1039</v>
      </c>
      <c r="W218" s="761" t="s">
        <v>2851</v>
      </c>
      <c r="X218" s="817">
        <v>2</v>
      </c>
      <c r="Y218" s="809" t="s">
        <v>978</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984</v>
      </c>
      <c r="S219" s="761" t="s">
        <v>964</v>
      </c>
      <c r="T219" s="784" t="s">
        <v>965</v>
      </c>
      <c r="U219" s="761" t="s">
        <v>2146</v>
      </c>
      <c r="V219" s="761" t="s">
        <v>991</v>
      </c>
      <c r="W219" s="761" t="s">
        <v>2857</v>
      </c>
      <c r="X219" s="817">
        <v>0</v>
      </c>
      <c r="Y219" s="809" t="s">
        <v>966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961</v>
      </c>
      <c r="BM219" s="773" t="s">
        <v>961</v>
      </c>
      <c r="BN219" s="773" t="s">
        <v>961</v>
      </c>
      <c r="BO219" s="773" t="s">
        <v>961</v>
      </c>
      <c r="BP219" s="784" t="s">
        <v>961</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963</v>
      </c>
      <c r="S220" s="761"/>
      <c r="T220" s="784"/>
      <c r="U220" s="761" t="s">
        <v>2146</v>
      </c>
      <c r="V220" s="761" t="s">
        <v>293</v>
      </c>
      <c r="W220" s="761" t="s">
        <v>2482</v>
      </c>
      <c r="X220" s="817">
        <v>1</v>
      </c>
      <c r="Y220" s="809" t="s">
        <v>966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963</v>
      </c>
      <c r="S221" s="761"/>
      <c r="T221" s="784"/>
      <c r="U221" s="761" t="s">
        <v>2146</v>
      </c>
      <c r="V221" s="761" t="s">
        <v>293</v>
      </c>
      <c r="W221" s="761" t="s">
        <v>2482</v>
      </c>
      <c r="X221" s="817">
        <v>1</v>
      </c>
      <c r="Y221" s="786" t="s">
        <v>966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988</v>
      </c>
      <c r="S222" s="761" t="s">
        <v>964</v>
      </c>
      <c r="T222" s="784" t="s">
        <v>965</v>
      </c>
      <c r="U222" s="761" t="s">
        <v>2146</v>
      </c>
      <c r="V222" s="761" t="s">
        <v>293</v>
      </c>
      <c r="W222" s="761" t="s">
        <v>2869</v>
      </c>
      <c r="X222" s="817">
        <v>2</v>
      </c>
      <c r="Y222" s="786" t="s">
        <v>978</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961</v>
      </c>
      <c r="BM222" s="773" t="s">
        <v>961</v>
      </c>
      <c r="BN222" s="773" t="s">
        <v>961</v>
      </c>
      <c r="BO222" s="773" t="s">
        <v>961</v>
      </c>
      <c r="BP222" s="784" t="s">
        <v>961</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658</v>
      </c>
      <c r="H223" s="779" t="s">
        <v>2841</v>
      </c>
      <c r="I223" s="780"/>
      <c r="J223" s="781"/>
      <c r="K223" s="781"/>
      <c r="L223" s="781"/>
      <c r="M223" s="781">
        <v>1</v>
      </c>
      <c r="N223" s="781"/>
      <c r="O223" s="781"/>
      <c r="P223" s="782"/>
      <c r="Q223" s="783">
        <f t="shared" si="3"/>
        <v>1</v>
      </c>
      <c r="R223" s="777" t="s">
        <v>963</v>
      </c>
      <c r="S223" s="761"/>
      <c r="T223" s="784"/>
      <c r="U223" s="761" t="s">
        <v>2146</v>
      </c>
      <c r="V223" s="761" t="s">
        <v>293</v>
      </c>
      <c r="W223" s="761" t="s">
        <v>2872</v>
      </c>
      <c r="X223" s="817">
        <v>1</v>
      </c>
      <c r="Y223" s="786" t="s">
        <v>966</v>
      </c>
      <c r="Z223" s="778" t="s">
        <v>658</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customHeight="1">
      <c r="A224" s="760" t="s">
        <v>1029</v>
      </c>
      <c r="B224" s="761">
        <v>218</v>
      </c>
      <c r="C224" s="777" t="s">
        <v>2873</v>
      </c>
      <c r="D224" s="761" t="s">
        <v>2874</v>
      </c>
      <c r="E224" s="761" t="s">
        <v>1936</v>
      </c>
      <c r="F224" s="773" t="s">
        <v>2875</v>
      </c>
      <c r="G224" s="778" t="s">
        <v>499</v>
      </c>
      <c r="H224" s="779" t="s">
        <v>2841</v>
      </c>
      <c r="I224" s="780">
        <v>1</v>
      </c>
      <c r="J224" s="781"/>
      <c r="K224" s="781"/>
      <c r="L224" s="781"/>
      <c r="M224" s="781"/>
      <c r="N224" s="781"/>
      <c r="O224" s="781"/>
      <c r="P224" s="782"/>
      <c r="Q224" s="783">
        <f t="shared" si="3"/>
        <v>1</v>
      </c>
      <c r="R224" s="777" t="s">
        <v>963</v>
      </c>
      <c r="S224" s="761"/>
      <c r="T224" s="784"/>
      <c r="U224" s="761" t="s">
        <v>1939</v>
      </c>
      <c r="V224" s="761" t="s">
        <v>293</v>
      </c>
      <c r="W224" s="761" t="s">
        <v>2876</v>
      </c>
      <c r="X224" s="817">
        <v>1</v>
      </c>
      <c r="Y224" s="786" t="s">
        <v>978</v>
      </c>
      <c r="Z224" s="778" t="s">
        <v>499</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customHeight="1">
      <c r="A225" s="760" t="s">
        <v>1029</v>
      </c>
      <c r="B225" s="761">
        <v>219</v>
      </c>
      <c r="C225" s="777" t="s">
        <v>2877</v>
      </c>
      <c r="D225" s="761" t="s">
        <v>2874</v>
      </c>
      <c r="E225" s="761" t="s">
        <v>1936</v>
      </c>
      <c r="F225" s="773" t="s">
        <v>2878</v>
      </c>
      <c r="G225" s="778" t="s">
        <v>184</v>
      </c>
      <c r="H225" s="779" t="s">
        <v>2841</v>
      </c>
      <c r="I225" s="780"/>
      <c r="J225" s="781">
        <v>1</v>
      </c>
      <c r="K225" s="781"/>
      <c r="L225" s="781"/>
      <c r="M225" s="781"/>
      <c r="N225" s="781"/>
      <c r="O225" s="781"/>
      <c r="P225" s="782"/>
      <c r="Q225" s="783">
        <f t="shared" si="3"/>
        <v>1</v>
      </c>
      <c r="R225" s="777" t="s">
        <v>984</v>
      </c>
      <c r="S225" s="761" t="s">
        <v>964</v>
      </c>
      <c r="T225" s="784" t="s">
        <v>965</v>
      </c>
      <c r="U225" s="761" t="s">
        <v>1944</v>
      </c>
      <c r="V225" s="761" t="s">
        <v>293</v>
      </c>
      <c r="W225" s="761" t="s">
        <v>2879</v>
      </c>
      <c r="X225" s="817">
        <v>2</v>
      </c>
      <c r="Y225" s="807" t="s">
        <v>978</v>
      </c>
      <c r="Z225" s="778" t="s">
        <v>184</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customHeight="1">
      <c r="A226" s="760" t="s">
        <v>1029</v>
      </c>
      <c r="B226" s="761">
        <v>220</v>
      </c>
      <c r="C226" s="777" t="s">
        <v>2880</v>
      </c>
      <c r="D226" s="761" t="s">
        <v>2874</v>
      </c>
      <c r="E226" s="761" t="s">
        <v>1927</v>
      </c>
      <c r="F226" s="773" t="s">
        <v>2881</v>
      </c>
      <c r="G226" s="778" t="s">
        <v>629</v>
      </c>
      <c r="H226" s="779" t="s">
        <v>2841</v>
      </c>
      <c r="I226" s="780"/>
      <c r="J226" s="781">
        <v>1</v>
      </c>
      <c r="K226" s="781"/>
      <c r="L226" s="781"/>
      <c r="M226" s="781"/>
      <c r="N226" s="781"/>
      <c r="O226" s="781"/>
      <c r="P226" s="782"/>
      <c r="Q226" s="783">
        <f t="shared" si="3"/>
        <v>1</v>
      </c>
      <c r="R226" s="777" t="s">
        <v>988</v>
      </c>
      <c r="S226" s="761" t="s">
        <v>964</v>
      </c>
      <c r="T226" s="784" t="s">
        <v>965</v>
      </c>
      <c r="U226" s="761" t="s">
        <v>629</v>
      </c>
      <c r="V226" s="761" t="s">
        <v>991</v>
      </c>
      <c r="W226" s="761" t="s">
        <v>2882</v>
      </c>
      <c r="X226" s="817">
        <v>1</v>
      </c>
      <c r="Y226" s="807" t="s">
        <v>978</v>
      </c>
      <c r="Z226" s="778" t="s">
        <v>629</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984</v>
      </c>
      <c r="S227" s="761" t="s">
        <v>964</v>
      </c>
      <c r="T227" s="784" t="s">
        <v>965</v>
      </c>
      <c r="U227" s="761" t="s">
        <v>1976</v>
      </c>
      <c r="V227" s="761" t="s">
        <v>293</v>
      </c>
      <c r="W227" s="761" t="s">
        <v>2888</v>
      </c>
      <c r="X227" s="817">
        <v>1</v>
      </c>
      <c r="Y227" s="809" t="s">
        <v>966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961</v>
      </c>
      <c r="BM227" s="773" t="s">
        <v>961</v>
      </c>
      <c r="BN227" s="773" t="s">
        <v>961</v>
      </c>
      <c r="BO227" s="773" t="s">
        <v>961</v>
      </c>
      <c r="BP227" s="784" t="s">
        <v>961</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988</v>
      </c>
      <c r="S228" s="761" t="s">
        <v>964</v>
      </c>
      <c r="T228" s="784" t="s">
        <v>965</v>
      </c>
      <c r="U228" s="761" t="s">
        <v>1027</v>
      </c>
      <c r="V228" s="761" t="s">
        <v>1039</v>
      </c>
      <c r="W228" s="761" t="s">
        <v>2891</v>
      </c>
      <c r="X228" s="1263">
        <v>2</v>
      </c>
      <c r="Y228" s="807" t="s">
        <v>966</v>
      </c>
      <c r="Z228" s="778" t="s">
        <v>1960</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988</v>
      </c>
      <c r="S229" s="761" t="s">
        <v>964</v>
      </c>
      <c r="T229" s="784" t="s">
        <v>965</v>
      </c>
      <c r="U229" s="761" t="s">
        <v>1031</v>
      </c>
      <c r="V229" s="761" t="s">
        <v>1039</v>
      </c>
      <c r="W229" s="761" t="s">
        <v>2794</v>
      </c>
      <c r="X229" s="1263">
        <v>2</v>
      </c>
      <c r="Y229" s="810" t="s">
        <v>966</v>
      </c>
      <c r="Z229" s="778" t="s">
        <v>1964</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984</v>
      </c>
      <c r="S230" s="761" t="s">
        <v>964</v>
      </c>
      <c r="T230" s="1414" t="s">
        <v>977</v>
      </c>
      <c r="U230" s="761" t="s">
        <v>2083</v>
      </c>
      <c r="V230" s="761" t="s">
        <v>991</v>
      </c>
      <c r="W230" s="761" t="s">
        <v>2896</v>
      </c>
      <c r="X230" s="817">
        <v>1</v>
      </c>
      <c r="Y230" s="814" t="s">
        <v>978</v>
      </c>
      <c r="Z230" s="778" t="s">
        <v>1124</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984</v>
      </c>
      <c r="S231" s="761" t="s">
        <v>964</v>
      </c>
      <c r="T231" s="784" t="s">
        <v>965</v>
      </c>
      <c r="U231" s="761" t="s">
        <v>2161</v>
      </c>
      <c r="V231" s="761" t="s">
        <v>991</v>
      </c>
      <c r="W231" s="761" t="s">
        <v>2901</v>
      </c>
      <c r="X231" s="817">
        <v>0</v>
      </c>
      <c r="Y231" s="809" t="s">
        <v>978</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961</v>
      </c>
      <c r="BM231" s="773" t="s">
        <v>961</v>
      </c>
      <c r="BN231" s="773" t="s">
        <v>961</v>
      </c>
      <c r="BO231" s="773" t="s">
        <v>961</v>
      </c>
      <c r="BP231" s="784" t="s">
        <v>961</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689</v>
      </c>
      <c r="H232" s="779" t="s">
        <v>2904</v>
      </c>
      <c r="I232" s="780"/>
      <c r="J232" s="781">
        <v>1</v>
      </c>
      <c r="K232" s="781"/>
      <c r="L232" s="781"/>
      <c r="M232" s="781"/>
      <c r="N232" s="781"/>
      <c r="O232" s="781"/>
      <c r="P232" s="782"/>
      <c r="Q232" s="783">
        <f t="shared" si="3"/>
        <v>1</v>
      </c>
      <c r="R232" s="777" t="s">
        <v>963</v>
      </c>
      <c r="S232" s="761"/>
      <c r="T232" s="784"/>
      <c r="U232" s="761" t="s">
        <v>689</v>
      </c>
      <c r="V232" s="761" t="s">
        <v>991</v>
      </c>
      <c r="W232" s="761" t="s">
        <v>2905</v>
      </c>
      <c r="X232" s="817">
        <v>0</v>
      </c>
      <c r="Y232" s="814" t="s">
        <v>978</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963</v>
      </c>
      <c r="S233" s="761"/>
      <c r="T233" s="784"/>
      <c r="U233" s="761" t="s">
        <v>2008</v>
      </c>
      <c r="V233" s="761" t="s">
        <v>991</v>
      </c>
      <c r="W233" s="761" t="s">
        <v>2338</v>
      </c>
      <c r="X233" s="817">
        <v>0</v>
      </c>
      <c r="Y233" s="814" t="s">
        <v>978</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963</v>
      </c>
      <c r="S234" s="761"/>
      <c r="T234" s="784"/>
      <c r="U234" s="761" t="s">
        <v>2315</v>
      </c>
      <c r="V234" s="761" t="s">
        <v>991</v>
      </c>
      <c r="W234" s="761" t="s">
        <v>2701</v>
      </c>
      <c r="X234" s="817">
        <v>0</v>
      </c>
      <c r="Y234" s="807" t="s">
        <v>966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984</v>
      </c>
      <c r="S235" s="761" t="s">
        <v>964</v>
      </c>
      <c r="T235" s="784" t="s">
        <v>965</v>
      </c>
      <c r="U235" s="761" t="s">
        <v>2135</v>
      </c>
      <c r="V235" s="761" t="s">
        <v>991</v>
      </c>
      <c r="W235" s="761" t="s">
        <v>2919</v>
      </c>
      <c r="X235" s="817">
        <v>0</v>
      </c>
      <c r="Y235" s="807" t="s">
        <v>966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961</v>
      </c>
      <c r="BM235" s="773" t="s">
        <v>961</v>
      </c>
      <c r="BN235" s="773" t="s">
        <v>961</v>
      </c>
      <c r="BO235" s="773" t="s">
        <v>961</v>
      </c>
      <c r="BP235" s="784" t="s">
        <v>961</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984</v>
      </c>
      <c r="S236" s="761" t="s">
        <v>964</v>
      </c>
      <c r="T236" s="784" t="s">
        <v>965</v>
      </c>
      <c r="U236" s="761"/>
      <c r="V236" s="761" t="s">
        <v>991</v>
      </c>
      <c r="W236" s="761" t="s">
        <v>2924</v>
      </c>
      <c r="X236" s="1263">
        <v>1</v>
      </c>
      <c r="Y236" s="814" t="s">
        <v>978</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961</v>
      </c>
      <c r="BM236" s="773" t="s">
        <v>961</v>
      </c>
      <c r="BN236" s="773" t="s">
        <v>961</v>
      </c>
      <c r="BO236" s="773" t="s">
        <v>961</v>
      </c>
      <c r="BP236" s="784" t="s">
        <v>961</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963</v>
      </c>
      <c r="S237" s="761"/>
      <c r="T237" s="784"/>
      <c r="U237" s="761" t="s">
        <v>2146</v>
      </c>
      <c r="V237" s="761" t="s">
        <v>293</v>
      </c>
      <c r="W237" s="761" t="s">
        <v>2482</v>
      </c>
      <c r="X237" s="817">
        <v>0</v>
      </c>
      <c r="Y237" s="814" t="s">
        <v>978</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963</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984</v>
      </c>
      <c r="S239" s="761" t="s">
        <v>964</v>
      </c>
      <c r="T239" s="784" t="s">
        <v>965</v>
      </c>
      <c r="U239" s="761"/>
      <c r="V239" s="761" t="s">
        <v>293</v>
      </c>
      <c r="W239" s="761" t="s">
        <v>2933</v>
      </c>
      <c r="X239" s="1263">
        <v>0</v>
      </c>
      <c r="Y239" s="807" t="s">
        <v>966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961</v>
      </c>
      <c r="BM239" s="1881" t="s">
        <v>961</v>
      </c>
      <c r="BN239" s="1881" t="s">
        <v>961</v>
      </c>
      <c r="BO239" s="1881" t="s">
        <v>961</v>
      </c>
      <c r="BP239" s="784" t="s">
        <v>961</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988</v>
      </c>
      <c r="S240" s="761" t="s">
        <v>964</v>
      </c>
      <c r="T240" s="784" t="s">
        <v>965</v>
      </c>
      <c r="U240" s="761" t="s">
        <v>1027</v>
      </c>
      <c r="V240" s="761" t="s">
        <v>1039</v>
      </c>
      <c r="W240" s="761" t="s">
        <v>2937</v>
      </c>
      <c r="X240" s="1300">
        <v>2</v>
      </c>
      <c r="Y240" s="807" t="s">
        <v>966</v>
      </c>
      <c r="Z240" s="778" t="s">
        <v>1960</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988</v>
      </c>
      <c r="S241" s="761" t="s">
        <v>964</v>
      </c>
      <c r="T241" s="784" t="s">
        <v>965</v>
      </c>
      <c r="U241" s="761" t="s">
        <v>1031</v>
      </c>
      <c r="V241" s="761" t="s">
        <v>1039</v>
      </c>
      <c r="W241" s="761" t="s">
        <v>2937</v>
      </c>
      <c r="X241" s="1300">
        <v>2</v>
      </c>
      <c r="Y241" s="807" t="s">
        <v>966</v>
      </c>
      <c r="Z241" s="778" t="s">
        <v>1964</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984</v>
      </c>
      <c r="S242" s="761" t="s">
        <v>964</v>
      </c>
      <c r="T242" s="784" t="s">
        <v>965</v>
      </c>
      <c r="U242" s="761" t="s">
        <v>1955</v>
      </c>
      <c r="V242" s="761" t="s">
        <v>1039</v>
      </c>
      <c r="W242" s="761" t="s">
        <v>2945</v>
      </c>
      <c r="X242" s="1299">
        <v>2</v>
      </c>
      <c r="Y242" s="809" t="s">
        <v>978</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customHeight="1">
      <c r="A243" s="760" t="s">
        <v>1033</v>
      </c>
      <c r="B243" s="761">
        <v>237</v>
      </c>
      <c r="C243" s="777" t="s">
        <v>2946</v>
      </c>
      <c r="D243" s="761" t="s">
        <v>2947</v>
      </c>
      <c r="E243" s="761" t="s">
        <v>1927</v>
      </c>
      <c r="F243" s="773" t="s">
        <v>2854</v>
      </c>
      <c r="G243" s="778" t="s">
        <v>154</v>
      </c>
      <c r="H243" s="779" t="s">
        <v>2948</v>
      </c>
      <c r="I243" s="780">
        <v>0.05</v>
      </c>
      <c r="J243" s="781">
        <v>0.95</v>
      </c>
      <c r="K243" s="781"/>
      <c r="L243" s="781"/>
      <c r="M243" s="781"/>
      <c r="N243" s="781"/>
      <c r="O243" s="781"/>
      <c r="P243" s="782"/>
      <c r="Q243" s="783">
        <f t="shared" si="3"/>
        <v>1</v>
      </c>
      <c r="R243" s="777" t="s">
        <v>988</v>
      </c>
      <c r="S243" s="761" t="s">
        <v>964</v>
      </c>
      <c r="T243" s="784" t="s">
        <v>965</v>
      </c>
      <c r="U243" s="761" t="s">
        <v>1923</v>
      </c>
      <c r="V243" s="761" t="s">
        <v>987</v>
      </c>
      <c r="W243" s="761" t="s">
        <v>2949</v>
      </c>
      <c r="X243" s="1300">
        <v>0</v>
      </c>
      <c r="Y243" s="809" t="s">
        <v>978</v>
      </c>
      <c r="Z243" s="778" t="s">
        <v>154</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customHeight="1">
      <c r="A244" s="760" t="s">
        <v>1033</v>
      </c>
      <c r="B244" s="761">
        <v>238</v>
      </c>
      <c r="C244" s="777" t="s">
        <v>2950</v>
      </c>
      <c r="D244" s="761" t="s">
        <v>2951</v>
      </c>
      <c r="E244" s="761" t="s">
        <v>1920</v>
      </c>
      <c r="F244" s="773" t="s">
        <v>2885</v>
      </c>
      <c r="G244" s="778" t="s">
        <v>629</v>
      </c>
      <c r="H244" s="779" t="s">
        <v>2952</v>
      </c>
      <c r="I244" s="780"/>
      <c r="J244" s="781">
        <v>1</v>
      </c>
      <c r="K244" s="781"/>
      <c r="L244" s="781"/>
      <c r="M244" s="781"/>
      <c r="N244" s="781"/>
      <c r="O244" s="781"/>
      <c r="P244" s="782"/>
      <c r="Q244" s="783">
        <f t="shared" si="3"/>
        <v>1</v>
      </c>
      <c r="R244" s="777" t="s">
        <v>988</v>
      </c>
      <c r="S244" s="761" t="s">
        <v>964</v>
      </c>
      <c r="T244" s="784" t="s">
        <v>965</v>
      </c>
      <c r="U244" s="761" t="s">
        <v>629</v>
      </c>
      <c r="V244" s="761" t="s">
        <v>293</v>
      </c>
      <c r="W244" s="761" t="s">
        <v>2953</v>
      </c>
      <c r="X244" s="1299">
        <v>1</v>
      </c>
      <c r="Y244" s="809" t="s">
        <v>966</v>
      </c>
      <c r="Z244" s="778" t="s">
        <v>629</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988</v>
      </c>
      <c r="S245" s="761" t="s">
        <v>964</v>
      </c>
      <c r="T245" s="1414" t="s">
        <v>977</v>
      </c>
      <c r="U245" s="761" t="s">
        <v>2083</v>
      </c>
      <c r="V245" s="761" t="s">
        <v>991</v>
      </c>
      <c r="W245" s="761" t="s">
        <v>2956</v>
      </c>
      <c r="X245" s="1299">
        <v>1</v>
      </c>
      <c r="Y245" s="809" t="s">
        <v>978</v>
      </c>
      <c r="Z245" s="778" t="s">
        <v>1124</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customHeight="1">
      <c r="A246" s="760" t="s">
        <v>1033</v>
      </c>
      <c r="B246" s="761">
        <v>240</v>
      </c>
      <c r="C246" s="777" t="s">
        <v>2957</v>
      </c>
      <c r="D246" s="761" t="s">
        <v>2958</v>
      </c>
      <c r="E246" s="761" t="s">
        <v>1936</v>
      </c>
      <c r="F246" s="773" t="s">
        <v>2959</v>
      </c>
      <c r="G246" s="778" t="s">
        <v>499</v>
      </c>
      <c r="H246" s="779" t="s">
        <v>2535</v>
      </c>
      <c r="I246" s="780">
        <v>0.75</v>
      </c>
      <c r="J246" s="781">
        <v>0.25</v>
      </c>
      <c r="K246" s="781"/>
      <c r="L246" s="781"/>
      <c r="M246" s="781"/>
      <c r="N246" s="781"/>
      <c r="O246" s="781"/>
      <c r="P246" s="782"/>
      <c r="Q246" s="783">
        <f t="shared" si="3"/>
        <v>1</v>
      </c>
      <c r="R246" s="777" t="s">
        <v>963</v>
      </c>
      <c r="S246" s="761"/>
      <c r="T246" s="784"/>
      <c r="U246" s="761" t="s">
        <v>2960</v>
      </c>
      <c r="V246" s="761" t="s">
        <v>293</v>
      </c>
      <c r="W246" s="761" t="s">
        <v>2961</v>
      </c>
      <c r="X246" s="1299">
        <v>1</v>
      </c>
      <c r="Y246" s="809" t="s">
        <v>978</v>
      </c>
      <c r="Z246" s="778" t="s">
        <v>499</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customHeight="1">
      <c r="A247" s="760" t="s">
        <v>1033</v>
      </c>
      <c r="B247" s="761">
        <v>241</v>
      </c>
      <c r="C247" s="777" t="s">
        <v>2962</v>
      </c>
      <c r="D247" s="761" t="s">
        <v>2947</v>
      </c>
      <c r="E247" s="761" t="s">
        <v>1920</v>
      </c>
      <c r="F247" s="773" t="s">
        <v>2859</v>
      </c>
      <c r="G247" s="778" t="s">
        <v>178</v>
      </c>
      <c r="H247" s="779" t="s">
        <v>2963</v>
      </c>
      <c r="I247" s="780"/>
      <c r="J247" s="781">
        <v>1</v>
      </c>
      <c r="K247" s="781"/>
      <c r="L247" s="781"/>
      <c r="M247" s="781"/>
      <c r="N247" s="781"/>
      <c r="O247" s="781"/>
      <c r="P247" s="782"/>
      <c r="Q247" s="783">
        <f t="shared" si="3"/>
        <v>1</v>
      </c>
      <c r="R247" s="777" t="s">
        <v>984</v>
      </c>
      <c r="S247" s="761" t="s">
        <v>964</v>
      </c>
      <c r="T247" s="784" t="s">
        <v>965</v>
      </c>
      <c r="U247" s="761" t="s">
        <v>2103</v>
      </c>
      <c r="V247" s="761" t="s">
        <v>991</v>
      </c>
      <c r="W247" s="761" t="s">
        <v>2964</v>
      </c>
      <c r="X247" s="1299">
        <v>1</v>
      </c>
      <c r="Y247" s="809" t="s">
        <v>978</v>
      </c>
      <c r="Z247" s="778" t="s">
        <v>178</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customHeight="1">
      <c r="A248" s="760" t="s">
        <v>1033</v>
      </c>
      <c r="B248" s="761">
        <v>242</v>
      </c>
      <c r="C248" s="777" t="s">
        <v>2965</v>
      </c>
      <c r="D248" s="761" t="s">
        <v>2947</v>
      </c>
      <c r="E248" s="761" t="s">
        <v>1936</v>
      </c>
      <c r="F248" s="773" t="s">
        <v>2863</v>
      </c>
      <c r="G248" s="778" t="s">
        <v>184</v>
      </c>
      <c r="H248" s="779" t="s">
        <v>2966</v>
      </c>
      <c r="I248" s="780">
        <v>0.05</v>
      </c>
      <c r="J248" s="781">
        <v>0.95</v>
      </c>
      <c r="K248" s="781"/>
      <c r="L248" s="781"/>
      <c r="M248" s="781"/>
      <c r="N248" s="781"/>
      <c r="O248" s="781"/>
      <c r="P248" s="782"/>
      <c r="Q248" s="783">
        <f t="shared" si="3"/>
        <v>1</v>
      </c>
      <c r="R248" s="777" t="s">
        <v>984</v>
      </c>
      <c r="S248" s="761" t="s">
        <v>964</v>
      </c>
      <c r="T248" s="784" t="s">
        <v>965</v>
      </c>
      <c r="U248" s="761" t="s">
        <v>1944</v>
      </c>
      <c r="V248" s="761" t="s">
        <v>293</v>
      </c>
      <c r="W248" s="761" t="s">
        <v>2967</v>
      </c>
      <c r="X248" s="1300">
        <v>2</v>
      </c>
      <c r="Y248" s="809" t="s">
        <v>978</v>
      </c>
      <c r="Z248" s="778" t="s">
        <v>184</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963</v>
      </c>
      <c r="S249" s="761"/>
      <c r="T249" s="784"/>
      <c r="U249" s="761" t="s">
        <v>1976</v>
      </c>
      <c r="V249" s="761" t="s">
        <v>1039</v>
      </c>
      <c r="W249" s="761" t="s">
        <v>2971</v>
      </c>
      <c r="X249" s="1299">
        <v>1</v>
      </c>
      <c r="Y249" s="809" t="s">
        <v>966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963</v>
      </c>
      <c r="S250" s="761"/>
      <c r="T250" s="784"/>
      <c r="U250" s="761" t="s">
        <v>1976</v>
      </c>
      <c r="V250" s="761" t="s">
        <v>1039</v>
      </c>
      <c r="W250" s="761" t="s">
        <v>2971</v>
      </c>
      <c r="X250" s="1299">
        <v>1</v>
      </c>
      <c r="Y250" s="809" t="s">
        <v>966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963</v>
      </c>
      <c r="S251" s="761"/>
      <c r="T251" s="784"/>
      <c r="U251" s="761" t="s">
        <v>1976</v>
      </c>
      <c r="V251" s="761" t="s">
        <v>1039</v>
      </c>
      <c r="W251" s="761" t="s">
        <v>2971</v>
      </c>
      <c r="X251" s="1299">
        <v>1</v>
      </c>
      <c r="Y251" s="809" t="s">
        <v>966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963</v>
      </c>
      <c r="S252" s="761"/>
      <c r="T252" s="784"/>
      <c r="U252" s="761" t="s">
        <v>1976</v>
      </c>
      <c r="V252" s="761" t="s">
        <v>1039</v>
      </c>
      <c r="W252" s="761" t="s">
        <v>2971</v>
      </c>
      <c r="X252" s="1299">
        <v>1</v>
      </c>
      <c r="Y252" s="807" t="s">
        <v>966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963</v>
      </c>
      <c r="S253" s="761"/>
      <c r="T253" s="784"/>
      <c r="U253" s="761" t="s">
        <v>1976</v>
      </c>
      <c r="V253" s="761" t="s">
        <v>1039</v>
      </c>
      <c r="W253" s="761" t="s">
        <v>2971</v>
      </c>
      <c r="X253" s="1299">
        <v>1</v>
      </c>
      <c r="Y253" s="807" t="s">
        <v>966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963</v>
      </c>
      <c r="S254" s="761"/>
      <c r="T254" s="784"/>
      <c r="U254" s="761" t="s">
        <v>1976</v>
      </c>
      <c r="V254" s="761" t="s">
        <v>1039</v>
      </c>
      <c r="W254" s="761" t="s">
        <v>2971</v>
      </c>
      <c r="X254" s="1299">
        <v>1</v>
      </c>
      <c r="Y254" s="814" t="s">
        <v>966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963</v>
      </c>
      <c r="S255" s="761"/>
      <c r="T255" s="784"/>
      <c r="U255" s="761" t="s">
        <v>2146</v>
      </c>
      <c r="V255" s="761" t="s">
        <v>1039</v>
      </c>
      <c r="W255" s="761" t="s">
        <v>2971</v>
      </c>
      <c r="X255" s="1299">
        <v>1</v>
      </c>
      <c r="Y255" s="809" t="s">
        <v>966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963</v>
      </c>
      <c r="S256" s="761"/>
      <c r="T256" s="784"/>
      <c r="U256" s="761" t="s">
        <v>2146</v>
      </c>
      <c r="V256" s="761" t="s">
        <v>1039</v>
      </c>
      <c r="W256" s="761" t="s">
        <v>2971</v>
      </c>
      <c r="X256" s="1299">
        <v>1</v>
      </c>
      <c r="Y256" s="809" t="s">
        <v>966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963</v>
      </c>
      <c r="S257" s="761"/>
      <c r="T257" s="784"/>
      <c r="U257" s="761" t="s">
        <v>2146</v>
      </c>
      <c r="V257" s="1327" t="s">
        <v>1039</v>
      </c>
      <c r="W257" s="1326" t="s">
        <v>3002</v>
      </c>
      <c r="X257" s="1299">
        <v>1</v>
      </c>
      <c r="Y257" s="809" t="s">
        <v>966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988</v>
      </c>
      <c r="S258" s="761" t="s">
        <v>964</v>
      </c>
      <c r="T258" s="784" t="s">
        <v>965</v>
      </c>
      <c r="U258" s="761" t="s">
        <v>2178</v>
      </c>
      <c r="V258" s="761" t="s">
        <v>991</v>
      </c>
      <c r="W258" s="761" t="s">
        <v>3006</v>
      </c>
      <c r="X258" s="1299">
        <v>2</v>
      </c>
      <c r="Y258" s="809" t="s">
        <v>978</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961</v>
      </c>
      <c r="BM258" s="773" t="s">
        <v>961</v>
      </c>
      <c r="BN258" s="773" t="s">
        <v>961</v>
      </c>
      <c r="BO258" s="773" t="s">
        <v>961</v>
      </c>
      <c r="BP258" s="784" t="s">
        <v>961</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988</v>
      </c>
      <c r="S259" s="761" t="s">
        <v>964</v>
      </c>
      <c r="T259" s="849" t="s">
        <v>965</v>
      </c>
      <c r="U259" s="761" t="s">
        <v>2178</v>
      </c>
      <c r="V259" s="761" t="s">
        <v>991</v>
      </c>
      <c r="W259" s="761" t="s">
        <v>3006</v>
      </c>
      <c r="X259" s="1299">
        <v>2</v>
      </c>
      <c r="Y259" s="786" t="s">
        <v>978</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961</v>
      </c>
      <c r="BM259" s="773" t="s">
        <v>961</v>
      </c>
      <c r="BN259" s="773" t="s">
        <v>961</v>
      </c>
      <c r="BO259" s="773" t="s">
        <v>961</v>
      </c>
      <c r="BP259" s="784" t="s">
        <v>961</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963</v>
      </c>
      <c r="S260" s="761"/>
      <c r="T260" s="849"/>
      <c r="U260" s="761" t="s">
        <v>2146</v>
      </c>
      <c r="V260" s="761" t="s">
        <v>991</v>
      </c>
      <c r="W260" s="761" t="s">
        <v>2857</v>
      </c>
      <c r="X260" s="1299">
        <v>0</v>
      </c>
      <c r="Y260" s="786" t="s">
        <v>966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658</v>
      </c>
      <c r="H261" s="779" t="s">
        <v>3018</v>
      </c>
      <c r="I261" s="780"/>
      <c r="J261" s="781">
        <v>0.5</v>
      </c>
      <c r="K261" s="781"/>
      <c r="L261" s="781"/>
      <c r="M261" s="781">
        <v>0.5</v>
      </c>
      <c r="N261" s="781"/>
      <c r="O261" s="781"/>
      <c r="P261" s="782"/>
      <c r="Q261" s="783">
        <f t="shared" si="3"/>
        <v>1</v>
      </c>
      <c r="R261" s="777" t="s">
        <v>963</v>
      </c>
      <c r="S261" s="761"/>
      <c r="T261" s="849"/>
      <c r="U261" s="761" t="s">
        <v>2146</v>
      </c>
      <c r="V261" s="761" t="s">
        <v>293</v>
      </c>
      <c r="W261" s="761" t="s">
        <v>3019</v>
      </c>
      <c r="X261" s="1299">
        <v>1</v>
      </c>
      <c r="Y261" s="786" t="s">
        <v>966</v>
      </c>
      <c r="Z261" s="778" t="s">
        <v>658</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963</v>
      </c>
      <c r="S262" s="761"/>
      <c r="T262" s="849"/>
      <c r="U262" s="761" t="s">
        <v>2146</v>
      </c>
      <c r="V262" s="1327" t="s">
        <v>1039</v>
      </c>
      <c r="W262" s="1326" t="s">
        <v>3002</v>
      </c>
      <c r="X262" s="1299">
        <v>1</v>
      </c>
      <c r="Y262" s="786" t="s">
        <v>966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963</v>
      </c>
      <c r="S263" s="761"/>
      <c r="T263" s="849"/>
      <c r="U263" s="761" t="s">
        <v>2146</v>
      </c>
      <c r="V263" s="761" t="s">
        <v>991</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988</v>
      </c>
      <c r="S264" s="761" t="s">
        <v>964</v>
      </c>
      <c r="T264" s="849" t="s">
        <v>965</v>
      </c>
      <c r="U264" s="761" t="s">
        <v>2146</v>
      </c>
      <c r="V264" s="761" t="s">
        <v>293</v>
      </c>
      <c r="W264" s="761" t="s">
        <v>3033</v>
      </c>
      <c r="X264" s="1299">
        <v>2</v>
      </c>
      <c r="Y264" s="807" t="s">
        <v>978</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961</v>
      </c>
      <c r="BM264" s="773" t="s">
        <v>961</v>
      </c>
      <c r="BN264" s="773" t="s">
        <v>961</v>
      </c>
      <c r="BO264" s="773" t="s">
        <v>961</v>
      </c>
      <c r="BP264" s="784" t="s">
        <v>961</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988</v>
      </c>
      <c r="S265" s="761" t="s">
        <v>964</v>
      </c>
      <c r="T265" s="1414" t="s">
        <v>977</v>
      </c>
      <c r="U265" s="761" t="s">
        <v>2146</v>
      </c>
      <c r="V265" s="761" t="s">
        <v>293</v>
      </c>
      <c r="W265" s="761" t="s">
        <v>3033</v>
      </c>
      <c r="X265" s="1299">
        <v>2</v>
      </c>
      <c r="Y265" s="807" t="s">
        <v>978</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961</v>
      </c>
      <c r="BM265" s="773" t="s">
        <v>961</v>
      </c>
      <c r="BN265" s="773" t="s">
        <v>961</v>
      </c>
      <c r="BO265" s="773" t="s">
        <v>961</v>
      </c>
      <c r="BP265" s="784" t="s">
        <v>961</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984</v>
      </c>
      <c r="S266" s="761" t="s">
        <v>964</v>
      </c>
      <c r="T266" s="849" t="s">
        <v>977</v>
      </c>
      <c r="U266" s="761" t="s">
        <v>1939</v>
      </c>
      <c r="V266" s="761" t="s">
        <v>991</v>
      </c>
      <c r="W266" s="761" t="s">
        <v>3039</v>
      </c>
      <c r="X266" s="1299">
        <v>0</v>
      </c>
      <c r="Y266" s="809" t="s">
        <v>966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961</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963</v>
      </c>
      <c r="S267" s="761"/>
      <c r="T267" s="849"/>
      <c r="U267" s="761" t="s">
        <v>1955</v>
      </c>
      <c r="V267" s="761" t="s">
        <v>1039</v>
      </c>
      <c r="W267" s="761" t="s">
        <v>2945</v>
      </c>
      <c r="X267" s="1299">
        <v>3</v>
      </c>
      <c r="Y267" s="807" t="s">
        <v>978</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988</v>
      </c>
      <c r="S268" s="761" t="s">
        <v>964</v>
      </c>
      <c r="T268" s="849" t="s">
        <v>965</v>
      </c>
      <c r="U268" s="761" t="s">
        <v>2014</v>
      </c>
      <c r="V268" s="761" t="s">
        <v>991</v>
      </c>
      <c r="W268" s="761" t="s">
        <v>3044</v>
      </c>
      <c r="X268" s="1299">
        <v>1</v>
      </c>
      <c r="Y268" s="810" t="s">
        <v>978</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961</v>
      </c>
      <c r="BM268" s="773" t="s">
        <v>961</v>
      </c>
      <c r="BN268" s="773" t="s">
        <v>961</v>
      </c>
      <c r="BO268" s="773" t="s">
        <v>961</v>
      </c>
      <c r="BP268" s="784" t="s">
        <v>961</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988</v>
      </c>
      <c r="S269" s="761" t="s">
        <v>964</v>
      </c>
      <c r="T269" s="849" t="s">
        <v>977</v>
      </c>
      <c r="U269" s="761" t="s">
        <v>1996</v>
      </c>
      <c r="V269" s="761" t="s">
        <v>991</v>
      </c>
      <c r="W269" s="761" t="s">
        <v>3050</v>
      </c>
      <c r="X269" s="1299">
        <v>1</v>
      </c>
      <c r="Y269" s="814" t="s">
        <v>966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961</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988</v>
      </c>
      <c r="S270" s="761" t="s">
        <v>964</v>
      </c>
      <c r="T270" s="849" t="s">
        <v>977</v>
      </c>
      <c r="U270" s="761" t="s">
        <v>2315</v>
      </c>
      <c r="V270" s="761" t="s">
        <v>991</v>
      </c>
      <c r="W270" s="761" t="s">
        <v>3055</v>
      </c>
      <c r="X270" s="1299">
        <v>1</v>
      </c>
      <c r="Y270" s="809" t="s">
        <v>966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961</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984</v>
      </c>
      <c r="S271" s="761" t="s">
        <v>964</v>
      </c>
      <c r="T271" s="849" t="s">
        <v>965</v>
      </c>
      <c r="U271" s="761" t="s">
        <v>2135</v>
      </c>
      <c r="V271" s="761" t="s">
        <v>991</v>
      </c>
      <c r="W271" s="761" t="s">
        <v>2834</v>
      </c>
      <c r="X271" s="1299">
        <v>0</v>
      </c>
      <c r="Y271" s="814" t="s">
        <v>966</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961</v>
      </c>
      <c r="BM271" s="773" t="s">
        <v>961</v>
      </c>
      <c r="BN271" s="773" t="s">
        <v>961</v>
      </c>
      <c r="BO271" s="773" t="s">
        <v>961</v>
      </c>
      <c r="BP271" s="784" t="s">
        <v>961</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963</v>
      </c>
      <c r="S272" s="761"/>
      <c r="T272" s="849"/>
      <c r="U272" s="761" t="s">
        <v>2161</v>
      </c>
      <c r="V272" s="761" t="s">
        <v>991</v>
      </c>
      <c r="W272" s="761" t="s">
        <v>3063</v>
      </c>
      <c r="X272" s="1299">
        <v>1</v>
      </c>
      <c r="Y272" s="809" t="s">
        <v>978</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984</v>
      </c>
      <c r="S273" s="761" t="s">
        <v>964</v>
      </c>
      <c r="T273" s="849" t="s">
        <v>965</v>
      </c>
      <c r="U273" s="761" t="s">
        <v>2008</v>
      </c>
      <c r="V273" s="761" t="s">
        <v>991</v>
      </c>
      <c r="W273" s="761" t="s">
        <v>3068</v>
      </c>
      <c r="X273" s="1299">
        <v>0</v>
      </c>
      <c r="Y273" s="807" t="s">
        <v>978</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961</v>
      </c>
      <c r="BM273" s="773" t="s">
        <v>961</v>
      </c>
      <c r="BN273" s="773" t="s">
        <v>961</v>
      </c>
      <c r="BO273" s="773" t="s">
        <v>961</v>
      </c>
      <c r="BP273" s="784" t="s">
        <v>961</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973</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963</v>
      </c>
      <c r="S274" s="761"/>
      <c r="T274" s="849"/>
      <c r="U274" s="761" t="s">
        <v>2008</v>
      </c>
      <c r="V274" s="761" t="s">
        <v>293</v>
      </c>
      <c r="W274" s="761" t="s">
        <v>3073</v>
      </c>
      <c r="X274" s="1299">
        <v>0</v>
      </c>
      <c r="Y274" s="807" t="s">
        <v>966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963</v>
      </c>
      <c r="S275" s="761"/>
      <c r="T275" s="849"/>
      <c r="U275" s="761" t="s">
        <v>1976</v>
      </c>
      <c r="V275" s="761" t="s">
        <v>1039</v>
      </c>
      <c r="W275" s="761" t="s">
        <v>2971</v>
      </c>
      <c r="X275" s="1299">
        <v>1</v>
      </c>
      <c r="Y275" s="807" t="s">
        <v>966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963</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964</v>
      </c>
      <c r="T277" s="784" t="s">
        <v>977</v>
      </c>
      <c r="U277" s="761"/>
      <c r="V277" s="761" t="s">
        <v>2204</v>
      </c>
      <c r="W277" s="761" t="s">
        <v>3082</v>
      </c>
      <c r="X277" s="1299">
        <v>0</v>
      </c>
      <c r="Y277" s="807" t="s">
        <v>978</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961</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996</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984</v>
      </c>
      <c r="S278" s="761" t="s">
        <v>964</v>
      </c>
      <c r="T278" s="849" t="s">
        <v>965</v>
      </c>
      <c r="U278" s="761" t="s">
        <v>3087</v>
      </c>
      <c r="V278" s="761" t="s">
        <v>1039</v>
      </c>
      <c r="W278" s="761" t="s">
        <v>3088</v>
      </c>
      <c r="X278" s="817">
        <v>2</v>
      </c>
      <c r="Y278" s="807" t="s">
        <v>978</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customHeight="1">
      <c r="A279" s="760" t="s">
        <v>996</v>
      </c>
      <c r="B279" s="761">
        <v>273</v>
      </c>
      <c r="C279" s="777" t="s">
        <v>3089</v>
      </c>
      <c r="D279" s="761" t="s">
        <v>3090</v>
      </c>
      <c r="E279" s="761" t="s">
        <v>3091</v>
      </c>
      <c r="F279" s="773" t="s">
        <v>3092</v>
      </c>
      <c r="G279" s="778" t="s">
        <v>629</v>
      </c>
      <c r="H279" s="779" t="s">
        <v>3093</v>
      </c>
      <c r="I279" s="780"/>
      <c r="J279" s="781">
        <v>1</v>
      </c>
      <c r="K279" s="781"/>
      <c r="L279" s="781"/>
      <c r="M279" s="781"/>
      <c r="N279" s="781"/>
      <c r="O279" s="781"/>
      <c r="P279" s="782"/>
      <c r="Q279" s="783">
        <f t="shared" si="4"/>
        <v>1</v>
      </c>
      <c r="R279" s="777" t="s">
        <v>988</v>
      </c>
      <c r="S279" s="761" t="s">
        <v>964</v>
      </c>
      <c r="T279" s="849" t="s">
        <v>965</v>
      </c>
      <c r="U279" s="761" t="s">
        <v>3094</v>
      </c>
      <c r="V279" s="761" t="s">
        <v>991</v>
      </c>
      <c r="W279" s="761" t="s">
        <v>3095</v>
      </c>
      <c r="X279" s="817">
        <v>1</v>
      </c>
      <c r="Y279" s="809" t="s">
        <v>978</v>
      </c>
      <c r="Z279" s="778" t="s">
        <v>629</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customHeight="1">
      <c r="A280" s="760" t="s">
        <v>996</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988</v>
      </c>
      <c r="S280" s="761" t="s">
        <v>964</v>
      </c>
      <c r="T280" s="1414" t="s">
        <v>977</v>
      </c>
      <c r="U280" s="761" t="s">
        <v>3099</v>
      </c>
      <c r="V280" s="761" t="s">
        <v>991</v>
      </c>
      <c r="W280" s="761" t="s">
        <v>3100</v>
      </c>
      <c r="X280" s="1263">
        <v>1</v>
      </c>
      <c r="Y280" s="809" t="s">
        <v>978</v>
      </c>
      <c r="Z280" s="778" t="s">
        <v>1124</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customHeight="1">
      <c r="A281" s="760" t="s">
        <v>996</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988</v>
      </c>
      <c r="S281" s="761" t="s">
        <v>964</v>
      </c>
      <c r="T281" s="849" t="s">
        <v>965</v>
      </c>
      <c r="U281" s="761" t="s">
        <v>3105</v>
      </c>
      <c r="V281" s="761" t="s">
        <v>991</v>
      </c>
      <c r="W281" s="761" t="s">
        <v>3106</v>
      </c>
      <c r="X281" s="817">
        <v>2</v>
      </c>
      <c r="Y281" s="809" t="s">
        <v>978</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961</v>
      </c>
      <c r="BM281" s="773" t="s">
        <v>961</v>
      </c>
      <c r="BN281" s="773" t="s">
        <v>961</v>
      </c>
      <c r="BO281" s="773" t="s">
        <v>961</v>
      </c>
      <c r="BP281" s="784" t="s">
        <v>961</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996</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988</v>
      </c>
      <c r="S282" s="761" t="s">
        <v>964</v>
      </c>
      <c r="T282" s="849" t="s">
        <v>965</v>
      </c>
      <c r="U282" s="761" t="s">
        <v>3105</v>
      </c>
      <c r="V282" s="761" t="s">
        <v>991</v>
      </c>
      <c r="W282" s="761" t="s">
        <v>3106</v>
      </c>
      <c r="X282" s="817">
        <v>2</v>
      </c>
      <c r="Y282" s="809" t="s">
        <v>978</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961</v>
      </c>
      <c r="BM282" s="773" t="s">
        <v>961</v>
      </c>
      <c r="BN282" s="773" t="s">
        <v>961</v>
      </c>
      <c r="BO282" s="773" t="s">
        <v>961</v>
      </c>
      <c r="BP282" s="784" t="s">
        <v>961</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996</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975</v>
      </c>
      <c r="S283" s="761" t="s">
        <v>964</v>
      </c>
      <c r="T283" s="849" t="s">
        <v>965</v>
      </c>
      <c r="U283" s="761" t="s">
        <v>3117</v>
      </c>
      <c r="V283" s="761" t="s">
        <v>991</v>
      </c>
      <c r="W283" s="761" t="s">
        <v>3118</v>
      </c>
      <c r="X283" s="817">
        <v>0</v>
      </c>
      <c r="Y283" s="809" t="s">
        <v>966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961</v>
      </c>
      <c r="BM283" s="773" t="s">
        <v>961</v>
      </c>
      <c r="BN283" s="773" t="s">
        <v>961</v>
      </c>
      <c r="BO283" s="773" t="s">
        <v>961</v>
      </c>
      <c r="BP283" s="784" t="s">
        <v>961</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996</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988</v>
      </c>
      <c r="S284" s="761" t="s">
        <v>964</v>
      </c>
      <c r="T284" s="849" t="s">
        <v>965</v>
      </c>
      <c r="U284" s="761" t="s">
        <v>3123</v>
      </c>
      <c r="V284" s="761" t="s">
        <v>293</v>
      </c>
      <c r="W284" s="761" t="s">
        <v>3124</v>
      </c>
      <c r="X284" s="817">
        <v>2</v>
      </c>
      <c r="Y284" s="809" t="s">
        <v>966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961</v>
      </c>
      <c r="BM284" s="773" t="s">
        <v>961</v>
      </c>
      <c r="BN284" s="773" t="s">
        <v>961</v>
      </c>
      <c r="BO284" s="773" t="s">
        <v>961</v>
      </c>
      <c r="BP284" s="784" t="s">
        <v>961</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996</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984</v>
      </c>
      <c r="S285" s="761" t="s">
        <v>964</v>
      </c>
      <c r="T285" s="849" t="s">
        <v>965</v>
      </c>
      <c r="U285" s="761" t="s">
        <v>3129</v>
      </c>
      <c r="V285" s="761" t="s">
        <v>293</v>
      </c>
      <c r="W285" s="761" t="s">
        <v>3130</v>
      </c>
      <c r="X285" s="817">
        <v>2</v>
      </c>
      <c r="Y285" s="809" t="s">
        <v>966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961</v>
      </c>
      <c r="BM285" s="773" t="s">
        <v>961</v>
      </c>
      <c r="BN285" s="773" t="s">
        <v>961</v>
      </c>
      <c r="BO285" s="773" t="s">
        <v>961</v>
      </c>
      <c r="BP285" s="784" t="s">
        <v>961</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996</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984</v>
      </c>
      <c r="S286" s="761" t="s">
        <v>964</v>
      </c>
      <c r="T286" s="849" t="s">
        <v>965</v>
      </c>
      <c r="U286" s="761" t="s">
        <v>3117</v>
      </c>
      <c r="V286" s="761" t="s">
        <v>991</v>
      </c>
      <c r="W286" s="761" t="s">
        <v>3136</v>
      </c>
      <c r="X286" s="1263">
        <v>2</v>
      </c>
      <c r="Y286" s="809" t="s">
        <v>966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961</v>
      </c>
      <c r="BM286" s="1888" t="s">
        <v>961</v>
      </c>
      <c r="BN286" s="1888" t="s">
        <v>961</v>
      </c>
      <c r="BO286" s="1888" t="s">
        <v>961</v>
      </c>
      <c r="BP286" s="860" t="s">
        <v>961</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996</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988</v>
      </c>
      <c r="S287" s="761" t="s">
        <v>964</v>
      </c>
      <c r="T287" s="849" t="s">
        <v>965</v>
      </c>
      <c r="U287" s="761" t="s">
        <v>3140</v>
      </c>
      <c r="V287" s="761" t="s">
        <v>991</v>
      </c>
      <c r="W287" s="761" t="s">
        <v>3141</v>
      </c>
      <c r="X287" s="817">
        <v>0</v>
      </c>
      <c r="Y287" s="809" t="s">
        <v>978</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961</v>
      </c>
      <c r="BM287" s="773" t="s">
        <v>961</v>
      </c>
      <c r="BN287" s="773" t="s">
        <v>961</v>
      </c>
      <c r="BO287" s="773" t="s">
        <v>961</v>
      </c>
      <c r="BP287" s="784" t="s">
        <v>961</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996</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984</v>
      </c>
      <c r="S288" s="761" t="s">
        <v>964</v>
      </c>
      <c r="T288" s="849" t="s">
        <v>965</v>
      </c>
      <c r="U288" s="761" t="s">
        <v>3117</v>
      </c>
      <c r="V288" s="761" t="s">
        <v>991</v>
      </c>
      <c r="W288" s="761" t="s">
        <v>3146</v>
      </c>
      <c r="X288" s="817">
        <v>0</v>
      </c>
      <c r="Y288" s="809" t="s">
        <v>966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961</v>
      </c>
      <c r="BM288" s="773" t="s">
        <v>961</v>
      </c>
      <c r="BN288" s="773" t="s">
        <v>961</v>
      </c>
      <c r="BO288" s="773" t="s">
        <v>961</v>
      </c>
      <c r="BP288" s="784" t="s">
        <v>961</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996</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988</v>
      </c>
      <c r="S289" s="761" t="s">
        <v>964</v>
      </c>
      <c r="T289" s="849" t="s">
        <v>965</v>
      </c>
      <c r="U289" s="761" t="s">
        <v>3117</v>
      </c>
      <c r="V289" s="761" t="s">
        <v>991</v>
      </c>
      <c r="W289" s="761" t="s">
        <v>3151</v>
      </c>
      <c r="X289" s="817">
        <v>0</v>
      </c>
      <c r="Y289" s="807" t="s">
        <v>966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961</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996</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963</v>
      </c>
      <c r="S290" s="761"/>
      <c r="T290" s="849"/>
      <c r="U290" s="761" t="s">
        <v>3099</v>
      </c>
      <c r="V290" s="761" t="s">
        <v>293</v>
      </c>
      <c r="W290" s="761" t="s">
        <v>3156</v>
      </c>
      <c r="X290" s="817">
        <v>0</v>
      </c>
      <c r="Y290" s="807" t="s">
        <v>966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996</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963</v>
      </c>
      <c r="S291" s="761"/>
      <c r="T291" s="849"/>
      <c r="U291" s="761" t="s">
        <v>3099</v>
      </c>
      <c r="V291" s="761" t="s">
        <v>991</v>
      </c>
      <c r="W291" s="761" t="s">
        <v>3161</v>
      </c>
      <c r="X291" s="817">
        <v>0</v>
      </c>
      <c r="Y291" s="814" t="s">
        <v>966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996</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975</v>
      </c>
      <c r="S292" s="761" t="s">
        <v>964</v>
      </c>
      <c r="T292" s="849" t="s">
        <v>965</v>
      </c>
      <c r="U292" s="761" t="s">
        <v>3099</v>
      </c>
      <c r="V292" s="761" t="s">
        <v>991</v>
      </c>
      <c r="W292" s="761" t="s">
        <v>3166</v>
      </c>
      <c r="X292" s="817">
        <v>0</v>
      </c>
      <c r="Y292" s="809" t="s">
        <v>966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961</v>
      </c>
      <c r="BM292" s="773" t="s">
        <v>961</v>
      </c>
      <c r="BN292" s="773" t="s">
        <v>961</v>
      </c>
      <c r="BO292" s="773" t="s">
        <v>961</v>
      </c>
      <c r="BP292" s="784" t="s">
        <v>961</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996</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988</v>
      </c>
      <c r="S293" s="761" t="s">
        <v>964</v>
      </c>
      <c r="T293" s="849" t="s">
        <v>965</v>
      </c>
      <c r="U293" s="761" t="s">
        <v>3171</v>
      </c>
      <c r="V293" s="761" t="s">
        <v>1039</v>
      </c>
      <c r="W293" s="761" t="s">
        <v>3172</v>
      </c>
      <c r="X293" s="1263">
        <v>2</v>
      </c>
      <c r="Y293" s="809" t="s">
        <v>966</v>
      </c>
      <c r="Z293" s="778" t="s">
        <v>1964</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customHeight="1">
      <c r="A294" s="760" t="s">
        <v>996</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988</v>
      </c>
      <c r="S294" s="761" t="s">
        <v>964</v>
      </c>
      <c r="T294" s="849" t="s">
        <v>965</v>
      </c>
      <c r="U294" s="761" t="s">
        <v>3117</v>
      </c>
      <c r="V294" s="761" t="s">
        <v>991</v>
      </c>
      <c r="W294" s="761" t="s">
        <v>3177</v>
      </c>
      <c r="X294" s="817">
        <v>0</v>
      </c>
      <c r="Y294" s="809" t="s">
        <v>966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961</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996</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988</v>
      </c>
      <c r="S295" s="761" t="s">
        <v>964</v>
      </c>
      <c r="T295" s="849" t="s">
        <v>965</v>
      </c>
      <c r="U295" s="761" t="s">
        <v>3182</v>
      </c>
      <c r="V295" s="761" t="s">
        <v>1039</v>
      </c>
      <c r="W295" s="761" t="s">
        <v>3183</v>
      </c>
      <c r="X295" s="1263">
        <v>2</v>
      </c>
      <c r="Y295" s="809" t="s">
        <v>966</v>
      </c>
      <c r="Z295" s="778" t="s">
        <v>1960</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customHeight="1">
      <c r="A296" s="760" t="s">
        <v>996</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988</v>
      </c>
      <c r="S296" s="761" t="s">
        <v>964</v>
      </c>
      <c r="T296" s="849" t="s">
        <v>965</v>
      </c>
      <c r="U296" s="761" t="s">
        <v>3188</v>
      </c>
      <c r="V296" s="761" t="s">
        <v>293</v>
      </c>
      <c r="W296" s="761" t="s">
        <v>3189</v>
      </c>
      <c r="X296" s="817">
        <v>2</v>
      </c>
      <c r="Y296" s="809" t="s">
        <v>978</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961</v>
      </c>
      <c r="BM296" s="773" t="s">
        <v>961</v>
      </c>
      <c r="BN296" s="773" t="s">
        <v>961</v>
      </c>
      <c r="BO296" s="773" t="s">
        <v>961</v>
      </c>
      <c r="BP296" s="784" t="s">
        <v>961</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996</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963</v>
      </c>
      <c r="S297" s="761"/>
      <c r="T297" s="849"/>
      <c r="U297" s="761" t="s">
        <v>3194</v>
      </c>
      <c r="V297" s="761" t="s">
        <v>293</v>
      </c>
      <c r="W297" s="761" t="s">
        <v>3195</v>
      </c>
      <c r="X297" s="817">
        <v>0</v>
      </c>
      <c r="Y297" s="809" t="s">
        <v>966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996</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963</v>
      </c>
      <c r="S298" s="761"/>
      <c r="T298" s="849"/>
      <c r="U298" s="761" t="s">
        <v>3194</v>
      </c>
      <c r="V298" s="761" t="s">
        <v>293</v>
      </c>
      <c r="W298" s="761" t="s">
        <v>3201</v>
      </c>
      <c r="X298" s="817">
        <v>0</v>
      </c>
      <c r="Y298" s="809" t="s">
        <v>966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996</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975</v>
      </c>
      <c r="S299" s="761" t="s">
        <v>964</v>
      </c>
      <c r="T299" s="849" t="s">
        <v>965</v>
      </c>
      <c r="U299" s="761" t="s">
        <v>3206</v>
      </c>
      <c r="V299" s="761" t="s">
        <v>991</v>
      </c>
      <c r="W299" s="761" t="s">
        <v>3207</v>
      </c>
      <c r="X299" s="817">
        <v>0</v>
      </c>
      <c r="Y299" s="809" t="s">
        <v>966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961</v>
      </c>
      <c r="BM299" s="773" t="s">
        <v>961</v>
      </c>
      <c r="BN299" s="773" t="s">
        <v>961</v>
      </c>
      <c r="BO299" s="773" t="s">
        <v>961</v>
      </c>
      <c r="BP299" s="784" t="s">
        <v>961</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996</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988</v>
      </c>
      <c r="S300" s="761" t="s">
        <v>964</v>
      </c>
      <c r="T300" s="849" t="s">
        <v>965</v>
      </c>
      <c r="U300" s="761" t="s">
        <v>3213</v>
      </c>
      <c r="V300" s="761" t="s">
        <v>1004</v>
      </c>
      <c r="W300" s="761" t="s">
        <v>3214</v>
      </c>
      <c r="X300" s="817">
        <v>0</v>
      </c>
      <c r="Y300" s="809" t="s">
        <v>966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961</v>
      </c>
      <c r="BM300" s="773" t="s">
        <v>961</v>
      </c>
      <c r="BN300" s="773" t="s">
        <v>961</v>
      </c>
      <c r="BO300" s="773" t="s">
        <v>961</v>
      </c>
      <c r="BP300" s="784" t="s">
        <v>961</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996</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963</v>
      </c>
      <c r="S301" s="761"/>
      <c r="T301" s="849"/>
      <c r="U301" s="761" t="s">
        <v>3219</v>
      </c>
      <c r="V301" s="761" t="s">
        <v>1044</v>
      </c>
      <c r="W301" s="761" t="s">
        <v>3220</v>
      </c>
      <c r="X301" s="817">
        <v>0</v>
      </c>
      <c r="Y301" s="809" t="s">
        <v>966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996</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963</v>
      </c>
      <c r="S302" s="761"/>
      <c r="T302" s="849"/>
      <c r="U302" s="761" t="s">
        <v>2332</v>
      </c>
      <c r="V302" s="761" t="s">
        <v>293</v>
      </c>
      <c r="W302" s="761" t="s">
        <v>3225</v>
      </c>
      <c r="X302" s="817">
        <v>0</v>
      </c>
      <c r="Y302" s="809" t="s">
        <v>966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996</v>
      </c>
      <c r="B303" s="761">
        <v>297</v>
      </c>
      <c r="C303" s="777" t="s">
        <v>3226</v>
      </c>
      <c r="D303" s="761" t="s">
        <v>3227</v>
      </c>
      <c r="E303" s="761" t="s">
        <v>3091</v>
      </c>
      <c r="F303" s="773" t="s">
        <v>3228</v>
      </c>
      <c r="G303" s="778" t="s">
        <v>154</v>
      </c>
      <c r="H303" s="779" t="s">
        <v>3229</v>
      </c>
      <c r="I303" s="780"/>
      <c r="J303" s="781">
        <v>1</v>
      </c>
      <c r="K303" s="781"/>
      <c r="L303" s="781"/>
      <c r="M303" s="781"/>
      <c r="N303" s="781"/>
      <c r="O303" s="781"/>
      <c r="P303" s="782"/>
      <c r="Q303" s="783">
        <f t="shared" si="4"/>
        <v>1</v>
      </c>
      <c r="R303" s="777" t="s">
        <v>988</v>
      </c>
      <c r="S303" s="761" t="s">
        <v>964</v>
      </c>
      <c r="T303" s="849" t="s">
        <v>965</v>
      </c>
      <c r="U303" s="761" t="s">
        <v>3230</v>
      </c>
      <c r="V303" s="761" t="s">
        <v>987</v>
      </c>
      <c r="W303" s="761" t="s">
        <v>3231</v>
      </c>
      <c r="X303" s="1263">
        <v>0</v>
      </c>
      <c r="Y303" s="807" t="s">
        <v>978</v>
      </c>
      <c r="Z303" s="778" t="s">
        <v>154</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customHeight="1">
      <c r="A304" s="760" t="s">
        <v>996</v>
      </c>
      <c r="B304" s="761">
        <v>298</v>
      </c>
      <c r="C304" s="777" t="s">
        <v>3232</v>
      </c>
      <c r="D304" s="761" t="s">
        <v>3227</v>
      </c>
      <c r="E304" s="761" t="s">
        <v>3091</v>
      </c>
      <c r="F304" s="773" t="s">
        <v>3233</v>
      </c>
      <c r="G304" s="778" t="s">
        <v>687</v>
      </c>
      <c r="H304" s="779" t="s">
        <v>3234</v>
      </c>
      <c r="I304" s="780"/>
      <c r="J304" s="781"/>
      <c r="K304" s="781">
        <v>1</v>
      </c>
      <c r="L304" s="781"/>
      <c r="M304" s="781"/>
      <c r="N304" s="781"/>
      <c r="O304" s="781"/>
      <c r="P304" s="782"/>
      <c r="Q304" s="783">
        <f t="shared" si="4"/>
        <v>1</v>
      </c>
      <c r="R304" s="777" t="s">
        <v>988</v>
      </c>
      <c r="S304" s="761" t="s">
        <v>964</v>
      </c>
      <c r="T304" s="784" t="s">
        <v>965</v>
      </c>
      <c r="U304" s="761" t="s">
        <v>3213</v>
      </c>
      <c r="V304" s="761" t="s">
        <v>991</v>
      </c>
      <c r="W304" s="761" t="s">
        <v>3235</v>
      </c>
      <c r="X304" s="817">
        <v>2</v>
      </c>
      <c r="Y304" s="786" t="s">
        <v>978</v>
      </c>
      <c r="Z304" s="778" t="s">
        <v>687</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customHeight="1">
      <c r="A305" s="760" t="s">
        <v>996</v>
      </c>
      <c r="B305" s="761">
        <v>299</v>
      </c>
      <c r="C305" s="777" t="s">
        <v>3236</v>
      </c>
      <c r="D305" s="761" t="s">
        <v>3227</v>
      </c>
      <c r="E305" s="761" t="s">
        <v>3091</v>
      </c>
      <c r="F305" s="773" t="s">
        <v>3237</v>
      </c>
      <c r="G305" s="778" t="s">
        <v>689</v>
      </c>
      <c r="H305" s="779" t="s">
        <v>3238</v>
      </c>
      <c r="I305" s="780"/>
      <c r="J305" s="781"/>
      <c r="K305" s="781">
        <v>1</v>
      </c>
      <c r="L305" s="781"/>
      <c r="M305" s="781"/>
      <c r="N305" s="781"/>
      <c r="O305" s="781"/>
      <c r="P305" s="782"/>
      <c r="Q305" s="783">
        <f t="shared" si="4"/>
        <v>1</v>
      </c>
      <c r="R305" s="777" t="s">
        <v>988</v>
      </c>
      <c r="S305" s="761" t="s">
        <v>964</v>
      </c>
      <c r="T305" s="784" t="s">
        <v>965</v>
      </c>
      <c r="U305" s="761" t="s">
        <v>3239</v>
      </c>
      <c r="V305" s="761" t="s">
        <v>991</v>
      </c>
      <c r="W305" s="761" t="s">
        <v>3240</v>
      </c>
      <c r="X305" s="1263">
        <v>2</v>
      </c>
      <c r="Y305" s="786" t="s">
        <v>978</v>
      </c>
      <c r="Z305" s="778" t="s">
        <v>689</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customHeight="1">
      <c r="A306" s="760" t="s">
        <v>996</v>
      </c>
      <c r="B306" s="761">
        <v>300</v>
      </c>
      <c r="C306" s="777" t="s">
        <v>3241</v>
      </c>
      <c r="D306" s="761" t="s">
        <v>3227</v>
      </c>
      <c r="E306" s="761" t="s">
        <v>3108</v>
      </c>
      <c r="F306" s="773" t="s">
        <v>3242</v>
      </c>
      <c r="G306" s="778" t="s">
        <v>499</v>
      </c>
      <c r="H306" s="779" t="s">
        <v>3243</v>
      </c>
      <c r="I306" s="780">
        <v>1</v>
      </c>
      <c r="J306" s="781"/>
      <c r="K306" s="781"/>
      <c r="L306" s="781"/>
      <c r="M306" s="781"/>
      <c r="N306" s="781"/>
      <c r="O306" s="781"/>
      <c r="P306" s="782"/>
      <c r="Q306" s="783">
        <f t="shared" si="4"/>
        <v>1</v>
      </c>
      <c r="R306" s="777" t="s">
        <v>963</v>
      </c>
      <c r="S306" s="761"/>
      <c r="T306" s="784"/>
      <c r="U306" s="761" t="s">
        <v>3244</v>
      </c>
      <c r="V306" s="761" t="s">
        <v>293</v>
      </c>
      <c r="W306" s="761" t="s">
        <v>3245</v>
      </c>
      <c r="X306" s="1263">
        <v>1</v>
      </c>
      <c r="Y306" s="786" t="s">
        <v>978</v>
      </c>
      <c r="Z306" s="778" t="s">
        <v>499</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customHeight="1">
      <c r="A307" s="760" t="s">
        <v>996</v>
      </c>
      <c r="B307" s="761">
        <v>301</v>
      </c>
      <c r="C307" s="777" t="s">
        <v>3246</v>
      </c>
      <c r="D307" s="761" t="s">
        <v>3227</v>
      </c>
      <c r="E307" s="761" t="s">
        <v>3108</v>
      </c>
      <c r="F307" s="773" t="s">
        <v>3247</v>
      </c>
      <c r="G307" s="778" t="s">
        <v>778</v>
      </c>
      <c r="H307" s="779" t="s">
        <v>3248</v>
      </c>
      <c r="I307" s="780"/>
      <c r="J307" s="781"/>
      <c r="K307" s="781">
        <v>1</v>
      </c>
      <c r="L307" s="781"/>
      <c r="M307" s="781"/>
      <c r="N307" s="781"/>
      <c r="O307" s="781"/>
      <c r="P307" s="782"/>
      <c r="Q307" s="783">
        <f t="shared" si="4"/>
        <v>1</v>
      </c>
      <c r="R307" s="777" t="s">
        <v>963</v>
      </c>
      <c r="S307" s="761"/>
      <c r="T307" s="784"/>
      <c r="U307" s="761" t="s">
        <v>3244</v>
      </c>
      <c r="V307" s="761" t="s">
        <v>293</v>
      </c>
      <c r="W307" s="761" t="s">
        <v>3249</v>
      </c>
      <c r="X307" s="817">
        <v>2</v>
      </c>
      <c r="Y307" s="786" t="s">
        <v>978</v>
      </c>
      <c r="Z307" s="778" t="s">
        <v>778</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customHeight="1">
      <c r="A308" s="760" t="s">
        <v>996</v>
      </c>
      <c r="B308" s="761">
        <v>302</v>
      </c>
      <c r="C308" s="777" t="s">
        <v>3250</v>
      </c>
      <c r="D308" s="761" t="s">
        <v>3227</v>
      </c>
      <c r="E308" s="761" t="s">
        <v>3091</v>
      </c>
      <c r="F308" s="773" t="s">
        <v>3251</v>
      </c>
      <c r="G308" s="778" t="s">
        <v>178</v>
      </c>
      <c r="H308" s="779" t="s">
        <v>3252</v>
      </c>
      <c r="I308" s="780"/>
      <c r="J308" s="781">
        <v>1</v>
      </c>
      <c r="K308" s="781"/>
      <c r="L308" s="781"/>
      <c r="M308" s="781"/>
      <c r="N308" s="781"/>
      <c r="O308" s="781"/>
      <c r="P308" s="782"/>
      <c r="Q308" s="783">
        <f t="shared" si="4"/>
        <v>1</v>
      </c>
      <c r="R308" s="777" t="s">
        <v>988</v>
      </c>
      <c r="S308" s="761" t="s">
        <v>964</v>
      </c>
      <c r="T308" s="784" t="s">
        <v>965</v>
      </c>
      <c r="U308" s="761" t="s">
        <v>3253</v>
      </c>
      <c r="V308" s="761" t="s">
        <v>991</v>
      </c>
      <c r="W308" s="761" t="s">
        <v>3254</v>
      </c>
      <c r="X308" s="1263">
        <v>1</v>
      </c>
      <c r="Y308" s="807" t="s">
        <v>978</v>
      </c>
      <c r="Z308" s="778" t="s">
        <v>178</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customHeight="1">
      <c r="A309" s="760" t="s">
        <v>996</v>
      </c>
      <c r="B309" s="761">
        <v>303</v>
      </c>
      <c r="C309" s="777" t="s">
        <v>3255</v>
      </c>
      <c r="D309" s="761" t="s">
        <v>3227</v>
      </c>
      <c r="E309" s="761" t="s">
        <v>3108</v>
      </c>
      <c r="F309" s="773" t="s">
        <v>3256</v>
      </c>
      <c r="G309" s="778" t="s">
        <v>184</v>
      </c>
      <c r="H309" s="779" t="s">
        <v>3257</v>
      </c>
      <c r="I309" s="780"/>
      <c r="J309" s="781">
        <v>1</v>
      </c>
      <c r="K309" s="781"/>
      <c r="L309" s="781"/>
      <c r="M309" s="781"/>
      <c r="N309" s="781"/>
      <c r="O309" s="781"/>
      <c r="P309" s="782"/>
      <c r="Q309" s="783">
        <f t="shared" si="4"/>
        <v>1</v>
      </c>
      <c r="R309" s="777" t="s">
        <v>984</v>
      </c>
      <c r="S309" s="761" t="s">
        <v>964</v>
      </c>
      <c r="T309" s="784" t="s">
        <v>965</v>
      </c>
      <c r="U309" s="761" t="s">
        <v>3258</v>
      </c>
      <c r="V309" s="761" t="s">
        <v>293</v>
      </c>
      <c r="W309" s="761" t="s">
        <v>2147</v>
      </c>
      <c r="X309" s="1263">
        <v>2</v>
      </c>
      <c r="Y309" s="807" t="s">
        <v>978</v>
      </c>
      <c r="Z309" s="778" t="s">
        <v>184</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customHeight="1">
      <c r="A310" s="760" t="s">
        <v>996</v>
      </c>
      <c r="B310" s="761">
        <v>304</v>
      </c>
      <c r="C310" s="777" t="s">
        <v>3259</v>
      </c>
      <c r="D310" s="761" t="s">
        <v>3227</v>
      </c>
      <c r="E310" s="761" t="s">
        <v>3091</v>
      </c>
      <c r="F310" s="773" t="s">
        <v>3260</v>
      </c>
      <c r="G310" s="778" t="s">
        <v>693</v>
      </c>
      <c r="H310" s="779" t="s">
        <v>3261</v>
      </c>
      <c r="I310" s="780"/>
      <c r="J310" s="781"/>
      <c r="K310" s="781">
        <v>1</v>
      </c>
      <c r="L310" s="781"/>
      <c r="M310" s="781"/>
      <c r="N310" s="781"/>
      <c r="O310" s="781"/>
      <c r="P310" s="782"/>
      <c r="Q310" s="783">
        <f t="shared" si="4"/>
        <v>1</v>
      </c>
      <c r="R310" s="777" t="s">
        <v>984</v>
      </c>
      <c r="S310" s="761" t="s">
        <v>964</v>
      </c>
      <c r="T310" s="784" t="s">
        <v>965</v>
      </c>
      <c r="U310" s="761" t="s">
        <v>3262</v>
      </c>
      <c r="V310" s="761" t="s">
        <v>991</v>
      </c>
      <c r="W310" s="761" t="s">
        <v>3263</v>
      </c>
      <c r="X310" s="817">
        <v>2</v>
      </c>
      <c r="Y310" s="807" t="s">
        <v>978</v>
      </c>
      <c r="Z310" s="778" t="s">
        <v>693</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customHeight="1">
      <c r="A311" s="760" t="s">
        <v>996</v>
      </c>
      <c r="B311" s="761">
        <v>305</v>
      </c>
      <c r="C311" s="777" t="s">
        <v>3264</v>
      </c>
      <c r="D311" s="761" t="s">
        <v>3227</v>
      </c>
      <c r="E311" s="761" t="s">
        <v>3091</v>
      </c>
      <c r="F311" s="773" t="s">
        <v>3265</v>
      </c>
      <c r="G311" s="778" t="s">
        <v>1016</v>
      </c>
      <c r="H311" s="779" t="s">
        <v>3266</v>
      </c>
      <c r="I311" s="780"/>
      <c r="J311" s="781"/>
      <c r="K311" s="781">
        <v>1</v>
      </c>
      <c r="L311" s="781"/>
      <c r="M311" s="781"/>
      <c r="N311" s="781"/>
      <c r="O311" s="781"/>
      <c r="P311" s="782"/>
      <c r="Q311" s="783">
        <f t="shared" si="4"/>
        <v>1</v>
      </c>
      <c r="R311" s="777" t="s">
        <v>984</v>
      </c>
      <c r="S311" s="761" t="s">
        <v>964</v>
      </c>
      <c r="T311" s="784" t="s">
        <v>965</v>
      </c>
      <c r="U311" s="761" t="s">
        <v>3267</v>
      </c>
      <c r="V311" s="761" t="s">
        <v>293</v>
      </c>
      <c r="W311" s="761" t="s">
        <v>3268</v>
      </c>
      <c r="X311" s="817">
        <v>2</v>
      </c>
      <c r="Y311" s="809" t="s">
        <v>966</v>
      </c>
      <c r="Z311" s="778" t="s">
        <v>1016</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customHeight="1">
      <c r="A312" s="760" t="s">
        <v>996</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963</v>
      </c>
      <c r="S312" s="761"/>
      <c r="T312" s="784"/>
      <c r="U312" s="761" t="s">
        <v>3244</v>
      </c>
      <c r="V312" s="761" t="s">
        <v>991</v>
      </c>
      <c r="W312" s="761" t="s">
        <v>3273</v>
      </c>
      <c r="X312" s="817">
        <v>0</v>
      </c>
      <c r="Y312" s="807" t="s">
        <v>978</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996</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984</v>
      </c>
      <c r="S313" s="761" t="s">
        <v>964</v>
      </c>
      <c r="T313" s="784" t="s">
        <v>965</v>
      </c>
      <c r="U313" s="761" t="s">
        <v>3278</v>
      </c>
      <c r="V313" s="761" t="s">
        <v>991</v>
      </c>
      <c r="W313" s="761" t="s">
        <v>3279</v>
      </c>
      <c r="X313" s="817">
        <v>0</v>
      </c>
      <c r="Y313" s="810" t="s">
        <v>978</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961</v>
      </c>
      <c r="BM313" s="773" t="s">
        <v>961</v>
      </c>
      <c r="BN313" s="773" t="s">
        <v>961</v>
      </c>
      <c r="BO313" s="773" t="s">
        <v>961</v>
      </c>
      <c r="BP313" s="784" t="s">
        <v>961</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996</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988</v>
      </c>
      <c r="S314" s="761" t="s">
        <v>964</v>
      </c>
      <c r="T314" s="784" t="s">
        <v>965</v>
      </c>
      <c r="U314" s="761" t="s">
        <v>3213</v>
      </c>
      <c r="V314" s="761" t="s">
        <v>991</v>
      </c>
      <c r="W314" s="761" t="s">
        <v>3283</v>
      </c>
      <c r="X314" s="817">
        <v>0</v>
      </c>
      <c r="Y314" s="814" t="s">
        <v>978</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961</v>
      </c>
      <c r="BM314" s="773" t="s">
        <v>961</v>
      </c>
      <c r="BN314" s="773" t="s">
        <v>961</v>
      </c>
      <c r="BO314" s="773" t="s">
        <v>961</v>
      </c>
      <c r="BP314" s="784" t="s">
        <v>961</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996</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963</v>
      </c>
      <c r="S315" s="761"/>
      <c r="T315" s="784"/>
      <c r="U315" s="761" t="s">
        <v>3244</v>
      </c>
      <c r="V315" s="761" t="s">
        <v>293</v>
      </c>
      <c r="W315" s="761" t="s">
        <v>3288</v>
      </c>
      <c r="X315" s="817">
        <v>2</v>
      </c>
      <c r="Y315" s="809" t="s">
        <v>966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996</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963</v>
      </c>
      <c r="S316" s="761"/>
      <c r="T316" s="784"/>
      <c r="U316" s="761" t="s">
        <v>3117</v>
      </c>
      <c r="V316" s="761" t="s">
        <v>991</v>
      </c>
      <c r="W316" s="761" t="s">
        <v>3293</v>
      </c>
      <c r="X316" s="817">
        <v>0</v>
      </c>
      <c r="Y316" s="814" t="s">
        <v>966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996</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963</v>
      </c>
      <c r="S317" s="761"/>
      <c r="T317" s="784"/>
      <c r="U317" s="761" t="s">
        <v>3188</v>
      </c>
      <c r="V317" s="761" t="s">
        <v>991</v>
      </c>
      <c r="W317" s="761" t="s">
        <v>3299</v>
      </c>
      <c r="X317" s="817">
        <v>0</v>
      </c>
      <c r="Y317" s="814" t="s">
        <v>966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996</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984</v>
      </c>
      <c r="S318" s="761" t="s">
        <v>964</v>
      </c>
      <c r="T318" s="784" t="s">
        <v>977</v>
      </c>
      <c r="U318" s="761" t="s">
        <v>3244</v>
      </c>
      <c r="V318" s="761" t="s">
        <v>2721</v>
      </c>
      <c r="W318" s="761"/>
      <c r="X318" s="817">
        <v>0</v>
      </c>
      <c r="Y318" s="814" t="s">
        <v>966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961</v>
      </c>
      <c r="BM318" s="1881" t="s">
        <v>961</v>
      </c>
      <c r="BN318" s="1881" t="s">
        <v>961</v>
      </c>
      <c r="BO318" s="1881" t="s">
        <v>961</v>
      </c>
      <c r="BP318" s="784" t="s">
        <v>961</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996</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963</v>
      </c>
      <c r="S319" s="761"/>
      <c r="T319" s="784"/>
      <c r="U319" s="761" t="s">
        <v>2135</v>
      </c>
      <c r="V319" s="761" t="s">
        <v>991</v>
      </c>
      <c r="W319" s="761" t="s">
        <v>3095</v>
      </c>
      <c r="X319" s="817">
        <v>0</v>
      </c>
      <c r="Y319" s="807" t="s">
        <v>978</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996</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963</v>
      </c>
      <c r="S320" s="761"/>
      <c r="T320" s="784"/>
      <c r="U320" s="761" t="s">
        <v>2423</v>
      </c>
      <c r="V320" s="761" t="s">
        <v>293</v>
      </c>
      <c r="W320" s="761" t="s">
        <v>3309</v>
      </c>
      <c r="X320" s="817">
        <v>0</v>
      </c>
      <c r="Y320" s="814" t="s">
        <v>966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996</v>
      </c>
      <c r="B321" s="761">
        <v>315</v>
      </c>
      <c r="C321" s="777" t="s">
        <v>3310</v>
      </c>
      <c r="D321" s="761" t="s">
        <v>3197</v>
      </c>
      <c r="E321" s="761" t="s">
        <v>3108</v>
      </c>
      <c r="F321" s="773" t="s">
        <v>3311</v>
      </c>
      <c r="G321" s="778" t="s">
        <v>658</v>
      </c>
      <c r="H321" s="779" t="s">
        <v>3312</v>
      </c>
      <c r="I321" s="780"/>
      <c r="J321" s="781"/>
      <c r="K321" s="781"/>
      <c r="L321" s="781"/>
      <c r="M321" s="781">
        <v>1</v>
      </c>
      <c r="N321" s="781"/>
      <c r="O321" s="781"/>
      <c r="P321" s="782"/>
      <c r="Q321" s="783">
        <f t="shared" si="4"/>
        <v>1</v>
      </c>
      <c r="R321" s="777" t="s">
        <v>963</v>
      </c>
      <c r="S321" s="761"/>
      <c r="T321" s="784"/>
      <c r="U321" s="761" t="s">
        <v>1976</v>
      </c>
      <c r="V321" s="761" t="s">
        <v>293</v>
      </c>
      <c r="W321" s="761" t="s">
        <v>3313</v>
      </c>
      <c r="X321" s="1304">
        <v>1</v>
      </c>
      <c r="Y321" s="814" t="s">
        <v>966</v>
      </c>
      <c r="Z321" s="778" t="s">
        <v>658</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customHeight="1">
      <c r="A322" s="760" t="s">
        <v>996</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984</v>
      </c>
      <c r="S322" s="761" t="s">
        <v>964</v>
      </c>
      <c r="T322" s="784" t="s">
        <v>977</v>
      </c>
      <c r="U322" s="761" t="s">
        <v>1939</v>
      </c>
      <c r="V322" s="761" t="s">
        <v>2721</v>
      </c>
      <c r="W322" s="761" t="s">
        <v>2346</v>
      </c>
      <c r="X322" s="817">
        <v>0</v>
      </c>
      <c r="Y322" s="814" t="s">
        <v>978</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961</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996</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984</v>
      </c>
      <c r="S323" s="761" t="s">
        <v>964</v>
      </c>
      <c r="T323" s="784" t="s">
        <v>965</v>
      </c>
      <c r="U323" s="761"/>
      <c r="V323" s="761" t="s">
        <v>293</v>
      </c>
      <c r="W323" s="761" t="s">
        <v>3321</v>
      </c>
      <c r="X323" s="817">
        <v>1</v>
      </c>
      <c r="Y323" s="814" t="s">
        <v>966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961</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996</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963</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988</v>
      </c>
      <c r="S325" s="761" t="s">
        <v>964</v>
      </c>
      <c r="T325" s="784" t="s">
        <v>965</v>
      </c>
      <c r="U325" s="761" t="s">
        <v>1027</v>
      </c>
      <c r="V325" s="761" t="s">
        <v>1039</v>
      </c>
      <c r="W325" s="761" t="s">
        <v>3326</v>
      </c>
      <c r="X325" s="1300">
        <v>2</v>
      </c>
      <c r="Y325" s="809" t="s">
        <v>966</v>
      </c>
      <c r="Z325" s="778" t="s">
        <v>1960</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988</v>
      </c>
      <c r="S326" s="761" t="s">
        <v>964</v>
      </c>
      <c r="T326" s="784" t="s">
        <v>965</v>
      </c>
      <c r="U326" s="761" t="s">
        <v>1031</v>
      </c>
      <c r="V326" s="761" t="s">
        <v>1039</v>
      </c>
      <c r="W326" s="761" t="s">
        <v>3329</v>
      </c>
      <c r="X326" s="1300">
        <v>2</v>
      </c>
      <c r="Y326" s="809" t="s">
        <v>966</v>
      </c>
      <c r="Z326" s="778" t="s">
        <v>1964</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963</v>
      </c>
      <c r="S327" s="761"/>
      <c r="T327" s="784"/>
      <c r="U327" s="761" t="s">
        <v>2371</v>
      </c>
      <c r="V327" s="761" t="s">
        <v>293</v>
      </c>
      <c r="W327" s="761" t="s">
        <v>1061</v>
      </c>
      <c r="X327" s="1299">
        <v>1</v>
      </c>
      <c r="Y327" s="809" t="s">
        <v>966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984</v>
      </c>
      <c r="S328" s="761" t="s">
        <v>964</v>
      </c>
      <c r="T328" s="784" t="s">
        <v>965</v>
      </c>
      <c r="U328" s="761" t="s">
        <v>2058</v>
      </c>
      <c r="V328" s="761" t="s">
        <v>991</v>
      </c>
      <c r="W328" s="761" t="s">
        <v>3337</v>
      </c>
      <c r="X328" s="1299">
        <v>0</v>
      </c>
      <c r="Y328" s="809" t="s">
        <v>966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961</v>
      </c>
      <c r="BM328" s="773" t="s">
        <v>961</v>
      </c>
      <c r="BN328" s="773" t="s">
        <v>961</v>
      </c>
      <c r="BO328" s="773" t="s">
        <v>961</v>
      </c>
      <c r="BP328" s="784" t="s">
        <v>961</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984</v>
      </c>
      <c r="S329" s="761" t="s">
        <v>964</v>
      </c>
      <c r="T329" s="784" t="s">
        <v>965</v>
      </c>
      <c r="U329" s="761" t="s">
        <v>2058</v>
      </c>
      <c r="V329" s="761" t="s">
        <v>293</v>
      </c>
      <c r="W329" s="761" t="s">
        <v>1061</v>
      </c>
      <c r="X329" s="1299">
        <v>1</v>
      </c>
      <c r="Y329" s="809" t="s">
        <v>966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961</v>
      </c>
      <c r="BM329" s="773" t="s">
        <v>961</v>
      </c>
      <c r="BN329" s="773" t="s">
        <v>961</v>
      </c>
      <c r="BO329" s="773" t="s">
        <v>961</v>
      </c>
      <c r="BP329" s="784" t="s">
        <v>961</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988</v>
      </c>
      <c r="S330" s="761" t="s">
        <v>964</v>
      </c>
      <c r="T330" s="784" t="s">
        <v>965</v>
      </c>
      <c r="U330" s="761" t="s">
        <v>2423</v>
      </c>
      <c r="V330" s="761" t="s">
        <v>991</v>
      </c>
      <c r="W330" s="761" t="s">
        <v>2424</v>
      </c>
      <c r="X330" s="1299">
        <v>0</v>
      </c>
      <c r="Y330" s="809" t="s">
        <v>966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961</v>
      </c>
      <c r="BM330" s="773" t="s">
        <v>961</v>
      </c>
      <c r="BN330" s="773" t="s">
        <v>961</v>
      </c>
      <c r="BO330" s="773" t="s">
        <v>961</v>
      </c>
      <c r="BP330" s="784" t="s">
        <v>961</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658</v>
      </c>
      <c r="H331" s="779" t="s">
        <v>3345</v>
      </c>
      <c r="I331" s="780">
        <v>0</v>
      </c>
      <c r="J331" s="781">
        <v>0</v>
      </c>
      <c r="K331" s="781"/>
      <c r="L331" s="781"/>
      <c r="M331" s="781">
        <v>1</v>
      </c>
      <c r="N331" s="781"/>
      <c r="O331" s="781"/>
      <c r="P331" s="782"/>
      <c r="Q331" s="783">
        <f t="shared" si="5"/>
        <v>1</v>
      </c>
      <c r="R331" s="777" t="s">
        <v>963</v>
      </c>
      <c r="S331" s="761"/>
      <c r="T331" s="784"/>
      <c r="U331" s="761" t="s">
        <v>2058</v>
      </c>
      <c r="V331" s="761" t="s">
        <v>293</v>
      </c>
      <c r="W331" s="761" t="s">
        <v>3346</v>
      </c>
      <c r="X331" s="1299">
        <v>1</v>
      </c>
      <c r="Y331" s="809" t="s">
        <v>966</v>
      </c>
      <c r="Z331" s="778" t="s">
        <v>658</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988</v>
      </c>
      <c r="S332" s="761" t="s">
        <v>964</v>
      </c>
      <c r="T332" s="784" t="s">
        <v>965</v>
      </c>
      <c r="U332" s="761" t="s">
        <v>629</v>
      </c>
      <c r="V332" s="761" t="s">
        <v>991</v>
      </c>
      <c r="W332" s="761" t="s">
        <v>3351</v>
      </c>
      <c r="X332" s="1299">
        <v>1</v>
      </c>
      <c r="Y332" s="809" t="s">
        <v>978</v>
      </c>
      <c r="Z332" s="778" t="s">
        <v>629</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988</v>
      </c>
      <c r="S333" s="761" t="s">
        <v>964</v>
      </c>
      <c r="T333" s="784" t="s">
        <v>965</v>
      </c>
      <c r="U333" s="761" t="s">
        <v>629</v>
      </c>
      <c r="V333" s="761" t="s">
        <v>991</v>
      </c>
      <c r="W333" s="761" t="s">
        <v>3351</v>
      </c>
      <c r="X333" s="1299">
        <v>1</v>
      </c>
      <c r="Y333" s="786" t="s">
        <v>978</v>
      </c>
      <c r="Z333" s="778" t="s">
        <v>629</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988</v>
      </c>
      <c r="S334" s="761" t="s">
        <v>964</v>
      </c>
      <c r="T334" s="1414" t="s">
        <v>977</v>
      </c>
      <c r="U334" s="761" t="s">
        <v>2083</v>
      </c>
      <c r="V334" s="761" t="s">
        <v>991</v>
      </c>
      <c r="W334" s="761" t="s">
        <v>3356</v>
      </c>
      <c r="X334" s="1300">
        <v>1</v>
      </c>
      <c r="Y334" s="786" t="s">
        <v>978</v>
      </c>
      <c r="Z334" s="778" t="s">
        <v>1124</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988</v>
      </c>
      <c r="S335" s="761" t="s">
        <v>964</v>
      </c>
      <c r="T335" s="1414" t="s">
        <v>977</v>
      </c>
      <c r="U335" s="761" t="s">
        <v>2083</v>
      </c>
      <c r="V335" s="761" t="s">
        <v>991</v>
      </c>
      <c r="W335" s="761" t="s">
        <v>3356</v>
      </c>
      <c r="X335" s="1300">
        <v>1</v>
      </c>
      <c r="Y335" s="786" t="s">
        <v>978</v>
      </c>
      <c r="Z335" s="778" t="s">
        <v>1124</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988</v>
      </c>
      <c r="S336" s="761" t="s">
        <v>964</v>
      </c>
      <c r="T336" s="784" t="s">
        <v>965</v>
      </c>
      <c r="U336" s="761" t="s">
        <v>2008</v>
      </c>
      <c r="V336" s="844" t="s">
        <v>2204</v>
      </c>
      <c r="W336" s="761" t="s">
        <v>3362</v>
      </c>
      <c r="X336" s="1299">
        <v>2</v>
      </c>
      <c r="Y336" s="1849" t="s">
        <v>978</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961</v>
      </c>
      <c r="BM336" s="773" t="s">
        <v>961</v>
      </c>
      <c r="BN336" s="773" t="s">
        <v>961</v>
      </c>
      <c r="BO336" s="773" t="s">
        <v>961</v>
      </c>
      <c r="BP336" s="784" t="s">
        <v>961</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973</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963</v>
      </c>
      <c r="S337" s="761"/>
      <c r="T337" s="784"/>
      <c r="U337" s="761" t="s">
        <v>2083</v>
      </c>
      <c r="V337" s="761" t="s">
        <v>991</v>
      </c>
      <c r="W337" s="761" t="s">
        <v>3367</v>
      </c>
      <c r="X337" s="1299">
        <v>1</v>
      </c>
      <c r="Y337" s="786" t="s">
        <v>966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988</v>
      </c>
      <c r="S338" s="761" t="s">
        <v>964</v>
      </c>
      <c r="T338" s="784" t="s">
        <v>965</v>
      </c>
      <c r="U338" s="761" t="s">
        <v>2315</v>
      </c>
      <c r="V338" s="761" t="s">
        <v>991</v>
      </c>
      <c r="W338" s="761" t="s">
        <v>3372</v>
      </c>
      <c r="X338" s="1299">
        <v>1</v>
      </c>
      <c r="Y338" s="807" t="s">
        <v>966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961</v>
      </c>
      <c r="BM338" s="773" t="s">
        <v>961</v>
      </c>
      <c r="BN338" s="773" t="s">
        <v>961</v>
      </c>
      <c r="BO338" s="773" t="s">
        <v>961</v>
      </c>
      <c r="BP338" s="784" t="s">
        <v>961</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963</v>
      </c>
      <c r="S339" s="761"/>
      <c r="T339" s="784"/>
      <c r="U339" s="761" t="s">
        <v>2161</v>
      </c>
      <c r="V339" s="761" t="s">
        <v>991</v>
      </c>
      <c r="W339" s="761" t="s">
        <v>3377</v>
      </c>
      <c r="X339" s="1299">
        <v>1</v>
      </c>
      <c r="Y339" s="807" t="s">
        <v>978</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984</v>
      </c>
      <c r="S340" s="761" t="s">
        <v>964</v>
      </c>
      <c r="T340" s="784" t="s">
        <v>965</v>
      </c>
      <c r="U340" s="761" t="s">
        <v>1955</v>
      </c>
      <c r="V340" s="761" t="s">
        <v>1039</v>
      </c>
      <c r="W340" s="761" t="s">
        <v>3381</v>
      </c>
      <c r="X340" s="1299">
        <v>2</v>
      </c>
      <c r="Y340" s="807" t="s">
        <v>978</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customHeight="1">
      <c r="A341" s="760" t="s">
        <v>1036</v>
      </c>
      <c r="B341" s="761">
        <v>335</v>
      </c>
      <c r="C341" s="777" t="s">
        <v>3382</v>
      </c>
      <c r="D341" s="761" t="s">
        <v>3379</v>
      </c>
      <c r="E341" s="761" t="s">
        <v>1927</v>
      </c>
      <c r="F341" s="773" t="s">
        <v>3383</v>
      </c>
      <c r="G341" s="778" t="s">
        <v>154</v>
      </c>
      <c r="H341" s="779" t="s">
        <v>3384</v>
      </c>
      <c r="I341" s="780">
        <v>0</v>
      </c>
      <c r="J341" s="781">
        <v>1</v>
      </c>
      <c r="K341" s="781"/>
      <c r="L341" s="781"/>
      <c r="M341" s="781">
        <v>0</v>
      </c>
      <c r="N341" s="781"/>
      <c r="O341" s="781"/>
      <c r="P341" s="782"/>
      <c r="Q341" s="783">
        <f t="shared" si="5"/>
        <v>1</v>
      </c>
      <c r="R341" s="777" t="s">
        <v>988</v>
      </c>
      <c r="S341" s="761" t="s">
        <v>964</v>
      </c>
      <c r="T341" s="784" t="s">
        <v>965</v>
      </c>
      <c r="U341" s="761" t="s">
        <v>1923</v>
      </c>
      <c r="V341" s="761" t="s">
        <v>987</v>
      </c>
      <c r="W341" s="761" t="s">
        <v>3385</v>
      </c>
      <c r="X341" s="1300">
        <v>0</v>
      </c>
      <c r="Y341" s="809" t="s">
        <v>978</v>
      </c>
      <c r="Z341" s="778" t="s">
        <v>154</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customHeight="1">
      <c r="A342" s="760" t="s">
        <v>1036</v>
      </c>
      <c r="B342" s="761">
        <v>336</v>
      </c>
      <c r="C342" s="777" t="s">
        <v>3386</v>
      </c>
      <c r="D342" s="761" t="s">
        <v>3379</v>
      </c>
      <c r="E342" s="761" t="s">
        <v>1936</v>
      </c>
      <c r="F342" s="773" t="s">
        <v>3387</v>
      </c>
      <c r="G342" s="778" t="s">
        <v>499</v>
      </c>
      <c r="H342" s="779" t="s">
        <v>3388</v>
      </c>
      <c r="I342" s="780">
        <v>1</v>
      </c>
      <c r="J342" s="781">
        <v>0</v>
      </c>
      <c r="K342" s="781"/>
      <c r="L342" s="781"/>
      <c r="M342" s="781">
        <v>0</v>
      </c>
      <c r="N342" s="781"/>
      <c r="O342" s="781"/>
      <c r="P342" s="782"/>
      <c r="Q342" s="783">
        <f t="shared" si="5"/>
        <v>1</v>
      </c>
      <c r="R342" s="777" t="s">
        <v>963</v>
      </c>
      <c r="S342" s="761"/>
      <c r="T342" s="784"/>
      <c r="U342" s="761" t="s">
        <v>2960</v>
      </c>
      <c r="V342" s="761" t="s">
        <v>293</v>
      </c>
      <c r="W342" s="761" t="s">
        <v>1061</v>
      </c>
      <c r="X342" s="1300">
        <v>1</v>
      </c>
      <c r="Y342" s="807" t="s">
        <v>978</v>
      </c>
      <c r="Z342" s="778" t="s">
        <v>499</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customHeight="1">
      <c r="A343" s="760" t="s">
        <v>1036</v>
      </c>
      <c r="B343" s="761">
        <v>337</v>
      </c>
      <c r="C343" s="777" t="s">
        <v>3389</v>
      </c>
      <c r="D343" s="761" t="s">
        <v>3379</v>
      </c>
      <c r="E343" s="761" t="s">
        <v>1936</v>
      </c>
      <c r="F343" s="773" t="s">
        <v>3390</v>
      </c>
      <c r="G343" s="778" t="s">
        <v>178</v>
      </c>
      <c r="H343" s="779" t="s">
        <v>3391</v>
      </c>
      <c r="I343" s="780">
        <v>0</v>
      </c>
      <c r="J343" s="781">
        <v>1</v>
      </c>
      <c r="K343" s="781"/>
      <c r="L343" s="781"/>
      <c r="M343" s="781">
        <v>0</v>
      </c>
      <c r="N343" s="781"/>
      <c r="O343" s="781"/>
      <c r="P343" s="782"/>
      <c r="Q343" s="783">
        <f t="shared" si="5"/>
        <v>1</v>
      </c>
      <c r="R343" s="777" t="s">
        <v>988</v>
      </c>
      <c r="S343" s="761" t="s">
        <v>964</v>
      </c>
      <c r="T343" s="784" t="s">
        <v>965</v>
      </c>
      <c r="U343" s="761" t="s">
        <v>1949</v>
      </c>
      <c r="V343" s="761" t="s">
        <v>991</v>
      </c>
      <c r="W343" s="761" t="s">
        <v>3392</v>
      </c>
      <c r="X343" s="1299">
        <v>1</v>
      </c>
      <c r="Y343" s="810" t="s">
        <v>978</v>
      </c>
      <c r="Z343" s="778" t="s">
        <v>178</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customHeight="1">
      <c r="A344" s="760" t="s">
        <v>1036</v>
      </c>
      <c r="B344" s="761">
        <v>338</v>
      </c>
      <c r="C344" s="777" t="s">
        <v>3393</v>
      </c>
      <c r="D344" s="761" t="s">
        <v>3379</v>
      </c>
      <c r="E344" s="761" t="s">
        <v>1936</v>
      </c>
      <c r="F344" s="773" t="s">
        <v>3394</v>
      </c>
      <c r="G344" s="778" t="s">
        <v>184</v>
      </c>
      <c r="H344" s="779" t="s">
        <v>3395</v>
      </c>
      <c r="I344" s="780">
        <v>0.10100000000000001</v>
      </c>
      <c r="J344" s="781">
        <v>0.89900000000000002</v>
      </c>
      <c r="K344" s="781"/>
      <c r="L344" s="781"/>
      <c r="M344" s="781">
        <v>0</v>
      </c>
      <c r="N344" s="781"/>
      <c r="O344" s="781"/>
      <c r="P344" s="782"/>
      <c r="Q344" s="783">
        <f t="shared" si="5"/>
        <v>1</v>
      </c>
      <c r="R344" s="777" t="s">
        <v>988</v>
      </c>
      <c r="S344" s="761" t="s">
        <v>964</v>
      </c>
      <c r="T344" s="784" t="s">
        <v>965</v>
      </c>
      <c r="U344" s="761" t="s">
        <v>1949</v>
      </c>
      <c r="V344" s="761" t="s">
        <v>293</v>
      </c>
      <c r="W344" s="761" t="s">
        <v>1061</v>
      </c>
      <c r="X344" s="1299">
        <v>2</v>
      </c>
      <c r="Y344" s="814" t="s">
        <v>978</v>
      </c>
      <c r="Z344" s="778" t="s">
        <v>184</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988</v>
      </c>
      <c r="S345" s="761" t="s">
        <v>964</v>
      </c>
      <c r="T345" s="784" t="s">
        <v>965</v>
      </c>
      <c r="U345" s="761" t="s">
        <v>2178</v>
      </c>
      <c r="V345" s="761" t="s">
        <v>991</v>
      </c>
      <c r="W345" s="761" t="s">
        <v>3400</v>
      </c>
      <c r="X345" s="1299">
        <v>2</v>
      </c>
      <c r="Y345" s="809" t="s">
        <v>978</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961</v>
      </c>
      <c r="BM345" s="773" t="s">
        <v>961</v>
      </c>
      <c r="BN345" s="773" t="s">
        <v>961</v>
      </c>
      <c r="BO345" s="773" t="s">
        <v>961</v>
      </c>
      <c r="BP345" s="784" t="s">
        <v>961</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988</v>
      </c>
      <c r="S346" s="761" t="s">
        <v>964</v>
      </c>
      <c r="T346" s="784" t="s">
        <v>965</v>
      </c>
      <c r="U346" s="761" t="s">
        <v>2264</v>
      </c>
      <c r="V346" s="761" t="s">
        <v>1030</v>
      </c>
      <c r="W346" s="761" t="s">
        <v>3404</v>
      </c>
      <c r="X346" s="1299">
        <v>0</v>
      </c>
      <c r="Y346" s="814" t="s">
        <v>978</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961</v>
      </c>
      <c r="BM346" s="773" t="s">
        <v>961</v>
      </c>
      <c r="BN346" s="773" t="s">
        <v>961</v>
      </c>
      <c r="BO346" s="773" t="s">
        <v>961</v>
      </c>
      <c r="BP346" s="784" t="s">
        <v>961</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984</v>
      </c>
      <c r="S347" s="761" t="s">
        <v>964</v>
      </c>
      <c r="T347" s="784" t="s">
        <v>965</v>
      </c>
      <c r="U347" s="761" t="s">
        <v>2114</v>
      </c>
      <c r="V347" s="761" t="s">
        <v>293</v>
      </c>
      <c r="W347" s="761" t="s">
        <v>3409</v>
      </c>
      <c r="X347" s="1299">
        <v>1</v>
      </c>
      <c r="Y347" s="807" t="s">
        <v>966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961</v>
      </c>
      <c r="BM347" s="1881" t="s">
        <v>961</v>
      </c>
      <c r="BN347" s="1881" t="s">
        <v>961</v>
      </c>
      <c r="BO347" s="1881" t="s">
        <v>961</v>
      </c>
      <c r="BP347" s="784" t="s">
        <v>961</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973</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963</v>
      </c>
      <c r="S348" s="761"/>
      <c r="T348" s="784"/>
      <c r="U348" s="761" t="s">
        <v>2698</v>
      </c>
      <c r="V348" s="761" t="s">
        <v>293</v>
      </c>
      <c r="W348" s="761" t="s">
        <v>1061</v>
      </c>
      <c r="X348" s="1299">
        <v>2</v>
      </c>
      <c r="Y348" s="807" t="s">
        <v>978</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984</v>
      </c>
      <c r="S349" s="761" t="s">
        <v>964</v>
      </c>
      <c r="T349" s="784" t="s">
        <v>965</v>
      </c>
      <c r="U349" s="761" t="s">
        <v>2781</v>
      </c>
      <c r="V349" s="761" t="s">
        <v>293</v>
      </c>
      <c r="W349" s="761" t="s">
        <v>1061</v>
      </c>
      <c r="X349" s="1299">
        <v>0</v>
      </c>
      <c r="Y349" s="807" t="s">
        <v>966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961</v>
      </c>
      <c r="BM349" s="773" t="s">
        <v>961</v>
      </c>
      <c r="BN349" s="773" t="s">
        <v>961</v>
      </c>
      <c r="BO349" s="773" t="s">
        <v>961</v>
      </c>
      <c r="BP349" s="784" t="s">
        <v>961</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963</v>
      </c>
      <c r="S350" s="761"/>
      <c r="T350" s="784"/>
      <c r="U350" s="761" t="s">
        <v>3420</v>
      </c>
      <c r="V350" s="761" t="s">
        <v>1039</v>
      </c>
      <c r="W350" s="761" t="s">
        <v>3421</v>
      </c>
      <c r="X350" s="1299">
        <v>0</v>
      </c>
      <c r="Y350" s="807" t="s">
        <v>966</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963</v>
      </c>
      <c r="S351" s="761"/>
      <c r="T351" s="784"/>
      <c r="U351" s="761" t="s">
        <v>3425</v>
      </c>
      <c r="V351" s="761" t="s">
        <v>293</v>
      </c>
      <c r="W351" s="761" t="s">
        <v>1061</v>
      </c>
      <c r="X351" s="1299">
        <v>0</v>
      </c>
      <c r="Y351" s="807" t="s">
        <v>966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963</v>
      </c>
      <c r="S352" s="761"/>
      <c r="T352" s="784"/>
      <c r="U352" s="761" t="s">
        <v>1976</v>
      </c>
      <c r="V352" s="761" t="s">
        <v>991</v>
      </c>
      <c r="W352" s="761" t="s">
        <v>3430</v>
      </c>
      <c r="X352" s="1299">
        <v>2</v>
      </c>
      <c r="Y352" s="809" t="s">
        <v>966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963</v>
      </c>
      <c r="S353" s="761"/>
      <c r="T353" s="784"/>
      <c r="U353" s="761" t="s">
        <v>2698</v>
      </c>
      <c r="V353" s="761" t="s">
        <v>293</v>
      </c>
      <c r="W353" s="761" t="s">
        <v>1061</v>
      </c>
      <c r="X353" s="1299">
        <v>0</v>
      </c>
      <c r="Y353" s="809" t="s">
        <v>966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963</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993</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975</v>
      </c>
      <c r="S355" s="761" t="s">
        <v>964</v>
      </c>
      <c r="T355" s="784" t="s">
        <v>965</v>
      </c>
      <c r="U355" s="761" t="s">
        <v>2698</v>
      </c>
      <c r="V355" s="761" t="s">
        <v>991</v>
      </c>
      <c r="W355" s="761" t="s">
        <v>3439</v>
      </c>
      <c r="X355" s="1299">
        <v>0</v>
      </c>
      <c r="Y355" s="809" t="s">
        <v>978</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961</v>
      </c>
      <c r="BM355" s="773" t="s">
        <v>961</v>
      </c>
      <c r="BN355" s="773" t="s">
        <v>961</v>
      </c>
      <c r="BO355" s="773" t="s">
        <v>961</v>
      </c>
      <c r="BP355" s="784" t="s">
        <v>961</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993</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963</v>
      </c>
      <c r="S356" s="761"/>
      <c r="T356" s="784"/>
      <c r="U356" s="761" t="s">
        <v>2698</v>
      </c>
      <c r="V356" s="761" t="s">
        <v>991</v>
      </c>
      <c r="W356" s="761" t="s">
        <v>3444</v>
      </c>
      <c r="X356" s="1299">
        <v>0</v>
      </c>
      <c r="Y356" s="809" t="s">
        <v>966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993</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975</v>
      </c>
      <c r="S357" s="761" t="s">
        <v>964</v>
      </c>
      <c r="T357" s="784" t="s">
        <v>965</v>
      </c>
      <c r="U357" s="761" t="s">
        <v>2698</v>
      </c>
      <c r="V357" s="761" t="s">
        <v>991</v>
      </c>
      <c r="W357" s="761" t="s">
        <v>3449</v>
      </c>
      <c r="X357" s="1299">
        <v>0</v>
      </c>
      <c r="Y357" s="809" t="s">
        <v>966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961</v>
      </c>
      <c r="BM357" s="773" t="s">
        <v>961</v>
      </c>
      <c r="BN357" s="773" t="s">
        <v>961</v>
      </c>
      <c r="BO357" s="773" t="s">
        <v>961</v>
      </c>
      <c r="BP357" s="784" t="s">
        <v>961</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993</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963</v>
      </c>
      <c r="S358" s="761"/>
      <c r="T358" s="784"/>
      <c r="U358" s="761" t="s">
        <v>2698</v>
      </c>
      <c r="V358" s="761" t="s">
        <v>293</v>
      </c>
      <c r="W358" s="761" t="s">
        <v>3453</v>
      </c>
      <c r="X358" s="1299">
        <v>1</v>
      </c>
      <c r="Y358" s="809" t="s">
        <v>966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993</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988</v>
      </c>
      <c r="S359" s="761" t="s">
        <v>964</v>
      </c>
      <c r="T359" s="784" t="s">
        <v>965</v>
      </c>
      <c r="U359" s="761" t="s">
        <v>2423</v>
      </c>
      <c r="V359" s="761" t="s">
        <v>991</v>
      </c>
      <c r="W359" s="761" t="s">
        <v>2424</v>
      </c>
      <c r="X359" s="1299">
        <v>0</v>
      </c>
      <c r="Y359" s="809" t="s">
        <v>966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961</v>
      </c>
      <c r="BM359" s="773" t="s">
        <v>961</v>
      </c>
      <c r="BN359" s="773" t="s">
        <v>961</v>
      </c>
      <c r="BO359" s="773" t="s">
        <v>961</v>
      </c>
      <c r="BP359" s="784" t="s">
        <v>961</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993</v>
      </c>
      <c r="B360" s="761">
        <v>354</v>
      </c>
      <c r="C360" s="777" t="s">
        <v>3458</v>
      </c>
      <c r="D360" s="761" t="s">
        <v>2400</v>
      </c>
      <c r="E360" s="761" t="s">
        <v>1936</v>
      </c>
      <c r="F360" s="773" t="s">
        <v>3459</v>
      </c>
      <c r="G360" s="778" t="s">
        <v>1016</v>
      </c>
      <c r="H360" s="779" t="s">
        <v>2416</v>
      </c>
      <c r="I360" s="780"/>
      <c r="J360" s="781">
        <v>0.1</v>
      </c>
      <c r="K360" s="781">
        <v>0.9</v>
      </c>
      <c r="L360" s="781"/>
      <c r="M360" s="781"/>
      <c r="N360" s="781"/>
      <c r="O360" s="781"/>
      <c r="P360" s="782"/>
      <c r="Q360" s="783">
        <f t="shared" si="5"/>
        <v>1</v>
      </c>
      <c r="R360" s="777" t="s">
        <v>984</v>
      </c>
      <c r="S360" s="761" t="s">
        <v>964</v>
      </c>
      <c r="T360" s="784" t="s">
        <v>965</v>
      </c>
      <c r="U360" s="761" t="s">
        <v>2135</v>
      </c>
      <c r="V360" s="761" t="s">
        <v>293</v>
      </c>
      <c r="W360" s="761" t="s">
        <v>3460</v>
      </c>
      <c r="X360" s="1299">
        <v>2</v>
      </c>
      <c r="Y360" s="809" t="s">
        <v>966</v>
      </c>
      <c r="Z360" s="778" t="s">
        <v>1016</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customHeight="1">
      <c r="A361" s="760" t="s">
        <v>993</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988</v>
      </c>
      <c r="S361" s="761" t="s">
        <v>964</v>
      </c>
      <c r="T361" s="784" t="s">
        <v>977</v>
      </c>
      <c r="U361" s="761" t="s">
        <v>2135</v>
      </c>
      <c r="V361" s="761" t="s">
        <v>991</v>
      </c>
      <c r="W361" s="761" t="s">
        <v>3465</v>
      </c>
      <c r="X361" s="1299">
        <v>0</v>
      </c>
      <c r="Y361" s="809" t="s">
        <v>966</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961</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993</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988</v>
      </c>
      <c r="S362" s="761" t="s">
        <v>964</v>
      </c>
      <c r="T362" s="784" t="s">
        <v>965</v>
      </c>
      <c r="U362" s="761" t="s">
        <v>2315</v>
      </c>
      <c r="V362" s="761" t="s">
        <v>991</v>
      </c>
      <c r="W362" s="761" t="s">
        <v>3372</v>
      </c>
      <c r="X362" s="1299">
        <v>1</v>
      </c>
      <c r="Y362" s="809" t="s">
        <v>966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961</v>
      </c>
      <c r="BM362" s="773" t="s">
        <v>961</v>
      </c>
      <c r="BN362" s="773" t="s">
        <v>961</v>
      </c>
      <c r="BO362" s="773" t="s">
        <v>961</v>
      </c>
      <c r="BP362" s="784" t="s">
        <v>961</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993</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988</v>
      </c>
      <c r="S363" s="761" t="s">
        <v>964</v>
      </c>
      <c r="T363" s="784" t="s">
        <v>965</v>
      </c>
      <c r="U363" s="761" t="s">
        <v>2315</v>
      </c>
      <c r="V363" s="761" t="s">
        <v>991</v>
      </c>
      <c r="W363" s="761" t="s">
        <v>3372</v>
      </c>
      <c r="X363" s="1299">
        <v>1</v>
      </c>
      <c r="Y363" s="807" t="s">
        <v>966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961</v>
      </c>
      <c r="BM363" s="773" t="s">
        <v>961</v>
      </c>
      <c r="BN363" s="773" t="s">
        <v>961</v>
      </c>
      <c r="BO363" s="773" t="s">
        <v>961</v>
      </c>
      <c r="BP363" s="784" t="s">
        <v>961</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993</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984</v>
      </c>
      <c r="S364" s="761" t="s">
        <v>964</v>
      </c>
      <c r="T364" s="784" t="s">
        <v>965</v>
      </c>
      <c r="U364" s="761" t="s">
        <v>711</v>
      </c>
      <c r="V364" s="761" t="s">
        <v>293</v>
      </c>
      <c r="W364" s="761" t="s">
        <v>3477</v>
      </c>
      <c r="X364" s="1299">
        <v>2</v>
      </c>
      <c r="Y364" s="807" t="s">
        <v>966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961</v>
      </c>
      <c r="BM364" s="773" t="s">
        <v>961</v>
      </c>
      <c r="BN364" s="773" t="s">
        <v>961</v>
      </c>
      <c r="BO364" s="773" t="s">
        <v>961</v>
      </c>
      <c r="BP364" s="784" t="s">
        <v>961</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993</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988</v>
      </c>
      <c r="S365" s="761" t="s">
        <v>964</v>
      </c>
      <c r="T365" s="784" t="s">
        <v>965</v>
      </c>
      <c r="U365" s="761" t="s">
        <v>1027</v>
      </c>
      <c r="V365" s="761" t="s">
        <v>1039</v>
      </c>
      <c r="W365" s="761" t="s">
        <v>2068</v>
      </c>
      <c r="X365" s="1300">
        <v>2</v>
      </c>
      <c r="Y365" s="814" t="s">
        <v>966</v>
      </c>
      <c r="Z365" s="778" t="s">
        <v>1960</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customHeight="1">
      <c r="A366" s="760" t="s">
        <v>993</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988</v>
      </c>
      <c r="S366" s="761" t="s">
        <v>964</v>
      </c>
      <c r="T366" s="784" t="s">
        <v>965</v>
      </c>
      <c r="U366" s="761" t="s">
        <v>1031</v>
      </c>
      <c r="V366" s="761" t="s">
        <v>1039</v>
      </c>
      <c r="W366" s="761" t="s">
        <v>431</v>
      </c>
      <c r="X366" s="1300">
        <v>2</v>
      </c>
      <c r="Y366" s="809" t="s">
        <v>966</v>
      </c>
      <c r="Z366" s="778" t="s">
        <v>1964</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customHeight="1">
      <c r="A367" s="760" t="s">
        <v>993</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963</v>
      </c>
      <c r="S367" s="761"/>
      <c r="T367" s="784"/>
      <c r="U367" s="761" t="s">
        <v>2146</v>
      </c>
      <c r="V367" s="761" t="s">
        <v>293</v>
      </c>
      <c r="W367" s="761" t="s">
        <v>2482</v>
      </c>
      <c r="X367" s="1299">
        <v>0</v>
      </c>
      <c r="Y367" s="809" t="s">
        <v>966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993</v>
      </c>
      <c r="B368" s="761">
        <v>362</v>
      </c>
      <c r="C368" s="777" t="s">
        <v>3486</v>
      </c>
      <c r="D368" s="761" t="s">
        <v>2474</v>
      </c>
      <c r="E368" s="761" t="s">
        <v>1936</v>
      </c>
      <c r="F368" s="773" t="s">
        <v>3487</v>
      </c>
      <c r="G368" s="778" t="s">
        <v>658</v>
      </c>
      <c r="H368" s="779" t="s">
        <v>3488</v>
      </c>
      <c r="I368" s="780"/>
      <c r="J368" s="781"/>
      <c r="K368" s="781"/>
      <c r="L368" s="781"/>
      <c r="M368" s="781">
        <v>1</v>
      </c>
      <c r="N368" s="781"/>
      <c r="O368" s="781"/>
      <c r="P368" s="782"/>
      <c r="Q368" s="783">
        <f t="shared" si="5"/>
        <v>1</v>
      </c>
      <c r="R368" s="777" t="s">
        <v>963</v>
      </c>
      <c r="S368" s="761"/>
      <c r="T368" s="784"/>
      <c r="U368" s="761" t="s">
        <v>2146</v>
      </c>
      <c r="V368" s="761" t="s">
        <v>293</v>
      </c>
      <c r="W368" s="761" t="s">
        <v>3453</v>
      </c>
      <c r="X368" s="1299">
        <v>1</v>
      </c>
      <c r="Y368" s="809" t="s">
        <v>966</v>
      </c>
      <c r="Z368" s="778" t="s">
        <v>658</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customHeight="1">
      <c r="A369" s="760" t="s">
        <v>993</v>
      </c>
      <c r="B369" s="761">
        <v>363</v>
      </c>
      <c r="C369" s="777" t="s">
        <v>3489</v>
      </c>
      <c r="D369" s="761" t="s">
        <v>2426</v>
      </c>
      <c r="E369" s="761" t="s">
        <v>1920</v>
      </c>
      <c r="F369" s="773" t="s">
        <v>3490</v>
      </c>
      <c r="G369" s="778" t="s">
        <v>687</v>
      </c>
      <c r="H369" s="779" t="s">
        <v>2428</v>
      </c>
      <c r="I369" s="780"/>
      <c r="J369" s="781"/>
      <c r="K369" s="781">
        <v>1</v>
      </c>
      <c r="L369" s="781"/>
      <c r="M369" s="781"/>
      <c r="N369" s="781"/>
      <c r="O369" s="781"/>
      <c r="P369" s="782"/>
      <c r="Q369" s="783">
        <f t="shared" si="5"/>
        <v>1</v>
      </c>
      <c r="R369" s="777" t="s">
        <v>988</v>
      </c>
      <c r="S369" s="761" t="s">
        <v>964</v>
      </c>
      <c r="T369" s="784" t="s">
        <v>965</v>
      </c>
      <c r="U369" s="761" t="s">
        <v>2087</v>
      </c>
      <c r="V369" s="761" t="s">
        <v>991</v>
      </c>
      <c r="W369" s="761" t="s">
        <v>3491</v>
      </c>
      <c r="X369" s="1299">
        <v>2</v>
      </c>
      <c r="Y369" s="809" t="s">
        <v>978</v>
      </c>
      <c r="Z369" s="778" t="s">
        <v>687</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customHeight="1">
      <c r="A370" s="760" t="s">
        <v>993</v>
      </c>
      <c r="B370" s="761">
        <v>364</v>
      </c>
      <c r="C370" s="777" t="s">
        <v>3492</v>
      </c>
      <c r="D370" s="761" t="s">
        <v>2426</v>
      </c>
      <c r="E370" s="761" t="s">
        <v>1920</v>
      </c>
      <c r="F370" s="773" t="s">
        <v>3493</v>
      </c>
      <c r="G370" s="778" t="s">
        <v>689</v>
      </c>
      <c r="H370" s="779" t="s">
        <v>2432</v>
      </c>
      <c r="I370" s="780"/>
      <c r="J370" s="781"/>
      <c r="K370" s="781">
        <v>1</v>
      </c>
      <c r="L370" s="781"/>
      <c r="M370" s="781"/>
      <c r="N370" s="781"/>
      <c r="O370" s="781"/>
      <c r="P370" s="782"/>
      <c r="Q370" s="783">
        <f t="shared" si="5"/>
        <v>1</v>
      </c>
      <c r="R370" s="777" t="s">
        <v>988</v>
      </c>
      <c r="S370" s="761" t="s">
        <v>964</v>
      </c>
      <c r="T370" s="784" t="s">
        <v>965</v>
      </c>
      <c r="U370" s="761" t="s">
        <v>689</v>
      </c>
      <c r="V370" s="761" t="s">
        <v>991</v>
      </c>
      <c r="W370" s="761" t="s">
        <v>3494</v>
      </c>
      <c r="X370" s="1299">
        <v>2</v>
      </c>
      <c r="Y370" s="809" t="s">
        <v>978</v>
      </c>
      <c r="Z370" s="778" t="s">
        <v>689</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customHeight="1">
      <c r="A371" s="760" t="s">
        <v>993</v>
      </c>
      <c r="B371" s="761">
        <v>365</v>
      </c>
      <c r="C371" s="777" t="s">
        <v>3495</v>
      </c>
      <c r="D371" s="761" t="s">
        <v>2426</v>
      </c>
      <c r="E371" s="761" t="s">
        <v>1936</v>
      </c>
      <c r="F371" s="773" t="s">
        <v>3496</v>
      </c>
      <c r="G371" s="778" t="s">
        <v>693</v>
      </c>
      <c r="H371" s="779" t="s">
        <v>2446</v>
      </c>
      <c r="I371" s="780"/>
      <c r="J371" s="781"/>
      <c r="K371" s="781">
        <v>1</v>
      </c>
      <c r="L371" s="781"/>
      <c r="M371" s="781"/>
      <c r="N371" s="781"/>
      <c r="O371" s="781"/>
      <c r="P371" s="782"/>
      <c r="Q371" s="783">
        <f t="shared" si="5"/>
        <v>1</v>
      </c>
      <c r="R371" s="777" t="s">
        <v>988</v>
      </c>
      <c r="S371" s="761" t="s">
        <v>964</v>
      </c>
      <c r="T371" s="784" t="s">
        <v>965</v>
      </c>
      <c r="U371" s="761" t="s">
        <v>1949</v>
      </c>
      <c r="V371" s="761" t="s">
        <v>991</v>
      </c>
      <c r="W371" s="761" t="s">
        <v>3497</v>
      </c>
      <c r="X371" s="1299">
        <v>2</v>
      </c>
      <c r="Y371" s="809" t="s">
        <v>978</v>
      </c>
      <c r="Z371" s="778" t="s">
        <v>693</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customHeight="1">
      <c r="A372" s="760" t="s">
        <v>993</v>
      </c>
      <c r="B372" s="761">
        <v>366</v>
      </c>
      <c r="C372" s="777" t="s">
        <v>3498</v>
      </c>
      <c r="D372" s="761" t="s">
        <v>2426</v>
      </c>
      <c r="E372" s="761" t="s">
        <v>1936</v>
      </c>
      <c r="F372" s="773" t="s">
        <v>3499</v>
      </c>
      <c r="G372" s="778" t="s">
        <v>778</v>
      </c>
      <c r="H372" s="779" t="s">
        <v>2442</v>
      </c>
      <c r="I372" s="780"/>
      <c r="J372" s="781"/>
      <c r="K372" s="781">
        <v>1</v>
      </c>
      <c r="L372" s="781"/>
      <c r="M372" s="781"/>
      <c r="N372" s="781"/>
      <c r="O372" s="781"/>
      <c r="P372" s="782"/>
      <c r="Q372" s="783">
        <f t="shared" si="5"/>
        <v>1</v>
      </c>
      <c r="R372" s="777" t="s">
        <v>963</v>
      </c>
      <c r="S372" s="761"/>
      <c r="T372" s="784"/>
      <c r="U372" s="761" t="s">
        <v>1939</v>
      </c>
      <c r="V372" s="761" t="s">
        <v>293</v>
      </c>
      <c r="W372" s="761" t="s">
        <v>3500</v>
      </c>
      <c r="X372" s="1299">
        <v>2</v>
      </c>
      <c r="Y372" s="809" t="s">
        <v>978</v>
      </c>
      <c r="Z372" s="778" t="s">
        <v>778</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customHeight="1">
      <c r="A373" s="760" t="s">
        <v>993</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988</v>
      </c>
      <c r="S373" s="761" t="s">
        <v>964</v>
      </c>
      <c r="T373" s="784" t="s">
        <v>965</v>
      </c>
      <c r="U373" s="761" t="s">
        <v>2087</v>
      </c>
      <c r="V373" s="761" t="s">
        <v>991</v>
      </c>
      <c r="W373" s="761" t="s">
        <v>3504</v>
      </c>
      <c r="X373" s="1299">
        <v>0</v>
      </c>
      <c r="Y373" s="809" t="s">
        <v>978</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961</v>
      </c>
      <c r="BM373" s="773" t="s">
        <v>961</v>
      </c>
      <c r="BN373" s="773" t="s">
        <v>961</v>
      </c>
      <c r="BO373" s="773" t="s">
        <v>961</v>
      </c>
      <c r="BP373" s="784" t="s">
        <v>961</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993</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988</v>
      </c>
      <c r="S374" s="761" t="s">
        <v>964</v>
      </c>
      <c r="T374" s="784" t="s">
        <v>965</v>
      </c>
      <c r="U374" s="761" t="s">
        <v>2135</v>
      </c>
      <c r="V374" s="761" t="s">
        <v>991</v>
      </c>
      <c r="W374" s="761" t="s">
        <v>3504</v>
      </c>
      <c r="X374" s="1299">
        <v>0</v>
      </c>
      <c r="Y374" s="832" t="s">
        <v>978</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961</v>
      </c>
      <c r="BM374" s="773" t="s">
        <v>961</v>
      </c>
      <c r="BN374" s="773" t="s">
        <v>961</v>
      </c>
      <c r="BO374" s="773" t="s">
        <v>961</v>
      </c>
      <c r="BP374" s="784" t="s">
        <v>961</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993</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988</v>
      </c>
      <c r="S375" s="761" t="s">
        <v>964</v>
      </c>
      <c r="T375" s="784" t="s">
        <v>965</v>
      </c>
      <c r="U375" s="761" t="s">
        <v>2087</v>
      </c>
      <c r="V375" s="761" t="s">
        <v>991</v>
      </c>
      <c r="W375" s="761" t="s">
        <v>3504</v>
      </c>
      <c r="X375" s="1299">
        <v>0</v>
      </c>
      <c r="Y375" s="832" t="s">
        <v>978</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961</v>
      </c>
      <c r="BM375" s="773" t="s">
        <v>961</v>
      </c>
      <c r="BN375" s="773" t="s">
        <v>961</v>
      </c>
      <c r="BO375" s="773" t="s">
        <v>961</v>
      </c>
      <c r="BP375" s="784" t="s">
        <v>961</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993</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988</v>
      </c>
      <c r="S376" s="761" t="s">
        <v>964</v>
      </c>
      <c r="T376" s="784" t="s">
        <v>965</v>
      </c>
      <c r="U376" s="761" t="s">
        <v>2087</v>
      </c>
      <c r="V376" s="761" t="s">
        <v>141</v>
      </c>
      <c r="W376" s="761" t="s">
        <v>3516</v>
      </c>
      <c r="X376" s="1299">
        <v>3</v>
      </c>
      <c r="Y376" s="832" t="s">
        <v>966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961</v>
      </c>
      <c r="BM376" s="773" t="s">
        <v>961</v>
      </c>
      <c r="BN376" s="773" t="s">
        <v>961</v>
      </c>
      <c r="BO376" s="773" t="s">
        <v>961</v>
      </c>
      <c r="BP376" s="784" t="s">
        <v>961</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993</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988</v>
      </c>
      <c r="S377" s="761" t="s">
        <v>964</v>
      </c>
      <c r="T377" s="784" t="s">
        <v>977</v>
      </c>
      <c r="U377" s="761" t="s">
        <v>2087</v>
      </c>
      <c r="V377" s="761" t="s">
        <v>991</v>
      </c>
      <c r="W377" s="761" t="s">
        <v>3521</v>
      </c>
      <c r="X377" s="1299">
        <v>0</v>
      </c>
      <c r="Y377" s="832" t="s">
        <v>966</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961</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993</v>
      </c>
      <c r="B378" s="761">
        <v>372</v>
      </c>
      <c r="C378" s="777" t="s">
        <v>3522</v>
      </c>
      <c r="D378" s="761" t="s">
        <v>2374</v>
      </c>
      <c r="E378" s="761" t="s">
        <v>1920</v>
      </c>
      <c r="F378" s="773" t="s">
        <v>3523</v>
      </c>
      <c r="G378" s="778" t="s">
        <v>154</v>
      </c>
      <c r="H378" s="761" t="s">
        <v>2376</v>
      </c>
      <c r="I378" s="780"/>
      <c r="J378" s="781">
        <v>1</v>
      </c>
      <c r="K378" s="781"/>
      <c r="L378" s="781"/>
      <c r="M378" s="781"/>
      <c r="N378" s="781"/>
      <c r="O378" s="781"/>
      <c r="P378" s="782"/>
      <c r="Q378" s="783">
        <f t="shared" si="5"/>
        <v>1</v>
      </c>
      <c r="R378" s="777" t="s">
        <v>988</v>
      </c>
      <c r="S378" s="761" t="s">
        <v>964</v>
      </c>
      <c r="T378" s="784" t="s">
        <v>965</v>
      </c>
      <c r="U378" s="761" t="s">
        <v>1923</v>
      </c>
      <c r="V378" s="761" t="s">
        <v>987</v>
      </c>
      <c r="W378" s="761" t="s">
        <v>2377</v>
      </c>
      <c r="X378" s="1299">
        <v>0</v>
      </c>
      <c r="Y378" s="793" t="s">
        <v>978</v>
      </c>
      <c r="Z378" s="778" t="s">
        <v>154</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customHeight="1">
      <c r="A379" s="760" t="s">
        <v>993</v>
      </c>
      <c r="B379" s="761">
        <v>373</v>
      </c>
      <c r="C379" s="777" t="s">
        <v>3524</v>
      </c>
      <c r="D379" s="761" t="s">
        <v>2374</v>
      </c>
      <c r="E379" s="761" t="s">
        <v>1920</v>
      </c>
      <c r="F379" s="773" t="s">
        <v>3525</v>
      </c>
      <c r="G379" s="778" t="s">
        <v>629</v>
      </c>
      <c r="H379" s="761" t="s">
        <v>2380</v>
      </c>
      <c r="I379" s="780"/>
      <c r="J379" s="781">
        <v>1</v>
      </c>
      <c r="K379" s="781"/>
      <c r="L379" s="781"/>
      <c r="M379" s="781"/>
      <c r="N379" s="781"/>
      <c r="O379" s="781"/>
      <c r="P379" s="782"/>
      <c r="Q379" s="783">
        <f t="shared" si="5"/>
        <v>1</v>
      </c>
      <c r="R379" s="777" t="s">
        <v>988</v>
      </c>
      <c r="S379" s="761" t="s">
        <v>964</v>
      </c>
      <c r="T379" s="784" t="s">
        <v>965</v>
      </c>
      <c r="U379" s="761" t="s">
        <v>629</v>
      </c>
      <c r="V379" s="761" t="s">
        <v>991</v>
      </c>
      <c r="W379" s="761" t="s">
        <v>2297</v>
      </c>
      <c r="X379" s="1300">
        <v>1</v>
      </c>
      <c r="Y379" s="793" t="s">
        <v>978</v>
      </c>
      <c r="Z379" s="778" t="s">
        <v>629</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customHeight="1">
      <c r="A380" s="760" t="s">
        <v>993</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984</v>
      </c>
      <c r="S380" s="761" t="s">
        <v>964</v>
      </c>
      <c r="T380" s="1414" t="s">
        <v>977</v>
      </c>
      <c r="U380" s="761" t="s">
        <v>2083</v>
      </c>
      <c r="V380" s="761" t="s">
        <v>991</v>
      </c>
      <c r="W380" s="761" t="s">
        <v>2300</v>
      </c>
      <c r="X380" s="1299">
        <v>1</v>
      </c>
      <c r="Y380" s="793" t="s">
        <v>978</v>
      </c>
      <c r="Z380" s="778" t="s">
        <v>1124</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customHeight="1">
      <c r="A381" s="760" t="s">
        <v>993</v>
      </c>
      <c r="B381" s="761">
        <v>375</v>
      </c>
      <c r="C381" s="777" t="s">
        <v>3527</v>
      </c>
      <c r="D381" s="761" t="s">
        <v>2374</v>
      </c>
      <c r="E381" s="761" t="s">
        <v>3528</v>
      </c>
      <c r="F381" s="773" t="s">
        <v>3529</v>
      </c>
      <c r="G381" s="778" t="s">
        <v>178</v>
      </c>
      <c r="H381" s="761" t="s">
        <v>2390</v>
      </c>
      <c r="I381" s="780"/>
      <c r="J381" s="781">
        <v>1</v>
      </c>
      <c r="K381" s="781"/>
      <c r="L381" s="781"/>
      <c r="M381" s="781"/>
      <c r="N381" s="781"/>
      <c r="O381" s="781"/>
      <c r="P381" s="782"/>
      <c r="Q381" s="783">
        <f t="shared" si="5"/>
        <v>1</v>
      </c>
      <c r="R381" s="777" t="s">
        <v>988</v>
      </c>
      <c r="S381" s="761" t="s">
        <v>964</v>
      </c>
      <c r="T381" s="784" t="s">
        <v>965</v>
      </c>
      <c r="U381" s="761" t="s">
        <v>2103</v>
      </c>
      <c r="V381" s="761" t="s">
        <v>991</v>
      </c>
      <c r="W381" s="761" t="s">
        <v>3530</v>
      </c>
      <c r="X381" s="1300">
        <v>1</v>
      </c>
      <c r="Y381" s="829" t="s">
        <v>978</v>
      </c>
      <c r="Z381" s="778" t="s">
        <v>178</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customHeight="1">
      <c r="A382" s="760" t="s">
        <v>993</v>
      </c>
      <c r="B382" s="761">
        <v>376</v>
      </c>
      <c r="C382" s="777" t="s">
        <v>3531</v>
      </c>
      <c r="D382" s="761" t="s">
        <v>2374</v>
      </c>
      <c r="E382" s="761" t="s">
        <v>1936</v>
      </c>
      <c r="F382" s="773" t="s">
        <v>3532</v>
      </c>
      <c r="G382" s="778" t="s">
        <v>184</v>
      </c>
      <c r="H382" s="761" t="s">
        <v>2394</v>
      </c>
      <c r="I382" s="780">
        <v>0.1</v>
      </c>
      <c r="J382" s="781">
        <v>0.9</v>
      </c>
      <c r="K382" s="781"/>
      <c r="L382" s="781"/>
      <c r="M382" s="781"/>
      <c r="N382" s="781"/>
      <c r="O382" s="781"/>
      <c r="P382" s="782"/>
      <c r="Q382" s="783">
        <f t="shared" si="5"/>
        <v>1</v>
      </c>
      <c r="R382" s="777" t="s">
        <v>984</v>
      </c>
      <c r="S382" s="761" t="s">
        <v>964</v>
      </c>
      <c r="T382" s="784" t="s">
        <v>965</v>
      </c>
      <c r="U382" s="761" t="s">
        <v>1944</v>
      </c>
      <c r="V382" s="761" t="s">
        <v>293</v>
      </c>
      <c r="W382" s="761" t="s">
        <v>2395</v>
      </c>
      <c r="X382" s="1299">
        <v>2</v>
      </c>
      <c r="Y382" s="793" t="s">
        <v>978</v>
      </c>
      <c r="Z382" s="778" t="s">
        <v>184</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customHeight="1">
      <c r="A383" s="760" t="s">
        <v>993</v>
      </c>
      <c r="B383" s="761">
        <v>377</v>
      </c>
      <c r="C383" s="777" t="s">
        <v>3533</v>
      </c>
      <c r="D383" s="761" t="s">
        <v>2374</v>
      </c>
      <c r="E383" s="761" t="s">
        <v>1936</v>
      </c>
      <c r="F383" s="773" t="s">
        <v>3534</v>
      </c>
      <c r="G383" s="778" t="s">
        <v>499</v>
      </c>
      <c r="H383" s="761" t="s">
        <v>2386</v>
      </c>
      <c r="I383" s="780">
        <v>1</v>
      </c>
      <c r="J383" s="781"/>
      <c r="K383" s="781"/>
      <c r="L383" s="781"/>
      <c r="M383" s="781"/>
      <c r="N383" s="781"/>
      <c r="O383" s="781"/>
      <c r="P383" s="782"/>
      <c r="Q383" s="783">
        <f t="shared" si="5"/>
        <v>1</v>
      </c>
      <c r="R383" s="777" t="s">
        <v>963</v>
      </c>
      <c r="S383" s="761"/>
      <c r="T383" s="784"/>
      <c r="U383" s="761" t="s">
        <v>1939</v>
      </c>
      <c r="V383" s="761" t="s">
        <v>293</v>
      </c>
      <c r="W383" s="761" t="s">
        <v>3535</v>
      </c>
      <c r="X383" s="1299">
        <v>1</v>
      </c>
      <c r="Y383" s="888" t="s">
        <v>978</v>
      </c>
      <c r="Z383" s="778" t="s">
        <v>499</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customHeight="1">
      <c r="A384" s="760" t="s">
        <v>993</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988</v>
      </c>
      <c r="S384" s="761" t="s">
        <v>964</v>
      </c>
      <c r="T384" s="784" t="s">
        <v>965</v>
      </c>
      <c r="U384" s="761" t="s">
        <v>629</v>
      </c>
      <c r="V384" s="761" t="s">
        <v>987</v>
      </c>
      <c r="W384" s="761" t="s">
        <v>3540</v>
      </c>
      <c r="X384" s="1299">
        <v>1</v>
      </c>
      <c r="Y384" s="799" t="s">
        <v>978</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961</v>
      </c>
      <c r="BM384" s="773" t="s">
        <v>961</v>
      </c>
      <c r="BN384" s="773" t="s">
        <v>961</v>
      </c>
      <c r="BO384" s="773" t="s">
        <v>961</v>
      </c>
      <c r="BP384" s="784" t="s">
        <v>961</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993</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988</v>
      </c>
      <c r="S385" s="761" t="s">
        <v>964</v>
      </c>
      <c r="T385" s="784" t="s">
        <v>965</v>
      </c>
      <c r="U385" s="761" t="s">
        <v>2016</v>
      </c>
      <c r="V385" s="761" t="s">
        <v>991</v>
      </c>
      <c r="W385" s="761" t="s">
        <v>3545</v>
      </c>
      <c r="X385" s="1299">
        <v>0</v>
      </c>
      <c r="Y385" s="829" t="s">
        <v>978</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961</v>
      </c>
      <c r="BM385" s="773" t="s">
        <v>961</v>
      </c>
      <c r="BN385" s="773" t="s">
        <v>961</v>
      </c>
      <c r="BO385" s="773" t="s">
        <v>961</v>
      </c>
      <c r="BP385" s="784" t="s">
        <v>961</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993</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988</v>
      </c>
      <c r="S386" s="761" t="s">
        <v>964</v>
      </c>
      <c r="T386" s="784" t="s">
        <v>965</v>
      </c>
      <c r="U386" s="761" t="s">
        <v>2008</v>
      </c>
      <c r="V386" s="761" t="s">
        <v>991</v>
      </c>
      <c r="W386" s="761" t="s">
        <v>2338</v>
      </c>
      <c r="X386" s="1299">
        <v>0</v>
      </c>
      <c r="Y386" s="799" t="s">
        <v>978</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961</v>
      </c>
      <c r="BM386" s="773" t="s">
        <v>961</v>
      </c>
      <c r="BN386" s="773" t="s">
        <v>961</v>
      </c>
      <c r="BO386" s="773" t="s">
        <v>961</v>
      </c>
      <c r="BP386" s="784" t="s">
        <v>961</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973</v>
      </c>
      <c r="DD386" s="801">
        <v>1</v>
      </c>
      <c r="DE386" s="802"/>
    </row>
    <row r="387" spans="1:109" ht="15.75" customHeight="1">
      <c r="A387" s="760" t="s">
        <v>993</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988</v>
      </c>
      <c r="S387" s="761" t="s">
        <v>964</v>
      </c>
      <c r="T387" s="784" t="s">
        <v>977</v>
      </c>
      <c r="U387" s="761" t="s">
        <v>1939</v>
      </c>
      <c r="V387" s="761" t="s">
        <v>293</v>
      </c>
      <c r="W387" s="761" t="s">
        <v>3553</v>
      </c>
      <c r="X387" s="1299">
        <v>1</v>
      </c>
      <c r="Y387" s="829" t="s">
        <v>966</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961</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993</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988</v>
      </c>
      <c r="S388" s="761" t="s">
        <v>964</v>
      </c>
      <c r="T388" s="784" t="s">
        <v>965</v>
      </c>
      <c r="U388" s="761" t="s">
        <v>2016</v>
      </c>
      <c r="V388" s="761" t="s">
        <v>293</v>
      </c>
      <c r="W388" s="761" t="s">
        <v>1061</v>
      </c>
      <c r="X388" s="1299">
        <v>1</v>
      </c>
      <c r="Y388" s="793" t="s">
        <v>966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961</v>
      </c>
      <c r="BM388" s="773" t="s">
        <v>961</v>
      </c>
      <c r="BN388" s="773" t="s">
        <v>961</v>
      </c>
      <c r="BO388" s="773" t="s">
        <v>961</v>
      </c>
      <c r="BP388" s="784" t="s">
        <v>961</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993</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984</v>
      </c>
      <c r="S389" s="761" t="s">
        <v>976</v>
      </c>
      <c r="T389" s="784" t="s">
        <v>977</v>
      </c>
      <c r="U389" s="761" t="s">
        <v>2536</v>
      </c>
      <c r="V389" s="761" t="s">
        <v>991</v>
      </c>
      <c r="W389" s="761" t="s">
        <v>2297</v>
      </c>
      <c r="X389" s="1299">
        <v>1</v>
      </c>
      <c r="Y389" s="793" t="s">
        <v>966</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961</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973</v>
      </c>
      <c r="DD389" s="801">
        <v>1</v>
      </c>
      <c r="DE389" s="802"/>
    </row>
    <row r="390" spans="1:109" ht="15.75" customHeight="1">
      <c r="A390" s="760" t="s">
        <v>993</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988</v>
      </c>
      <c r="S390" s="761" t="s">
        <v>964</v>
      </c>
      <c r="T390" s="784" t="s">
        <v>965</v>
      </c>
      <c r="U390" s="761" t="s">
        <v>1990</v>
      </c>
      <c r="V390" s="761" t="s">
        <v>991</v>
      </c>
      <c r="W390" s="761" t="s">
        <v>3566</v>
      </c>
      <c r="X390" s="1299">
        <v>0</v>
      </c>
      <c r="Y390" s="793" t="s">
        <v>966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961</v>
      </c>
      <c r="BM390" s="1881" t="s">
        <v>961</v>
      </c>
      <c r="BN390" s="1881" t="s">
        <v>961</v>
      </c>
      <c r="BO390" s="1881" t="s">
        <v>961</v>
      </c>
      <c r="BP390" s="784" t="s">
        <v>961</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993</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984</v>
      </c>
      <c r="S391" s="761" t="s">
        <v>964</v>
      </c>
      <c r="T391" s="784" t="s">
        <v>965</v>
      </c>
      <c r="U391" s="761" t="s">
        <v>1955</v>
      </c>
      <c r="V391" s="761" t="s">
        <v>1039</v>
      </c>
      <c r="W391" s="761" t="s">
        <v>2361</v>
      </c>
      <c r="X391" s="1299">
        <v>2</v>
      </c>
      <c r="Y391" s="829" t="s">
        <v>978</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customHeight="1">
      <c r="A392" s="760" t="s">
        <v>993</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988</v>
      </c>
      <c r="S392" s="761" t="s">
        <v>964</v>
      </c>
      <c r="T392" s="784" t="s">
        <v>965</v>
      </c>
      <c r="U392" s="761" t="s">
        <v>2178</v>
      </c>
      <c r="V392" s="761" t="s">
        <v>991</v>
      </c>
      <c r="W392" s="761" t="s">
        <v>3573</v>
      </c>
      <c r="X392" s="1299">
        <v>0</v>
      </c>
      <c r="Y392" s="829" t="s">
        <v>978</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961</v>
      </c>
      <c r="BM392" s="773" t="s">
        <v>961</v>
      </c>
      <c r="BN392" s="773" t="s">
        <v>961</v>
      </c>
      <c r="BO392" s="773" t="s">
        <v>961</v>
      </c>
      <c r="BP392" s="784" t="s">
        <v>961</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993</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988</v>
      </c>
      <c r="S393" s="761" t="s">
        <v>964</v>
      </c>
      <c r="T393" s="784" t="s">
        <v>977</v>
      </c>
      <c r="U393" s="761" t="s">
        <v>1996</v>
      </c>
      <c r="V393" s="761" t="s">
        <v>991</v>
      </c>
      <c r="W393" s="761" t="s">
        <v>3578</v>
      </c>
      <c r="X393" s="1299">
        <v>0</v>
      </c>
      <c r="Y393" s="829" t="s">
        <v>966</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961</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993</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988</v>
      </c>
      <c r="S394" s="761" t="s">
        <v>964</v>
      </c>
      <c r="T394" s="784" t="s">
        <v>977</v>
      </c>
      <c r="U394" s="761" t="s">
        <v>3206</v>
      </c>
      <c r="V394" s="761" t="s">
        <v>991</v>
      </c>
      <c r="W394" s="761" t="s">
        <v>3583</v>
      </c>
      <c r="X394" s="1299">
        <v>0</v>
      </c>
      <c r="Y394" s="829" t="s">
        <v>966</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961</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999</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984</v>
      </c>
      <c r="S395" s="761" t="s">
        <v>964</v>
      </c>
      <c r="T395" s="784" t="s">
        <v>965</v>
      </c>
      <c r="U395" s="761" t="s">
        <v>1955</v>
      </c>
      <c r="V395" s="761" t="s">
        <v>1039</v>
      </c>
      <c r="W395" s="761" t="s">
        <v>2074</v>
      </c>
      <c r="X395" s="817">
        <v>2</v>
      </c>
      <c r="Y395" s="829" t="s">
        <v>978</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customHeight="1">
      <c r="A396" s="760" t="s">
        <v>999</v>
      </c>
      <c r="B396" s="761">
        <v>390</v>
      </c>
      <c r="C396" s="777" t="s">
        <v>3588</v>
      </c>
      <c r="D396" s="761" t="s">
        <v>3585</v>
      </c>
      <c r="E396" s="761" t="s">
        <v>1920</v>
      </c>
      <c r="F396" s="773" t="s">
        <v>3589</v>
      </c>
      <c r="G396" s="778" t="s">
        <v>154</v>
      </c>
      <c r="H396" s="761" t="s">
        <v>3590</v>
      </c>
      <c r="I396" s="780"/>
      <c r="J396" s="781">
        <v>1</v>
      </c>
      <c r="K396" s="781"/>
      <c r="L396" s="781"/>
      <c r="M396" s="781"/>
      <c r="N396" s="781"/>
      <c r="O396" s="781"/>
      <c r="P396" s="782"/>
      <c r="Q396" s="783">
        <f t="shared" si="6"/>
        <v>1</v>
      </c>
      <c r="R396" s="777" t="s">
        <v>988</v>
      </c>
      <c r="S396" s="761" t="s">
        <v>964</v>
      </c>
      <c r="T396" s="784" t="s">
        <v>965</v>
      </c>
      <c r="U396" s="761" t="s">
        <v>1923</v>
      </c>
      <c r="V396" s="761" t="s">
        <v>987</v>
      </c>
      <c r="W396" s="761" t="s">
        <v>3591</v>
      </c>
      <c r="X396" s="1263">
        <v>0</v>
      </c>
      <c r="Y396" s="829" t="s">
        <v>978</v>
      </c>
      <c r="Z396" s="778" t="s">
        <v>154</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customHeight="1">
      <c r="A397" s="760" t="s">
        <v>999</v>
      </c>
      <c r="B397" s="761">
        <v>391</v>
      </c>
      <c r="C397" s="777" t="s">
        <v>3592</v>
      </c>
      <c r="D397" s="761" t="s">
        <v>3585</v>
      </c>
      <c r="E397" s="761" t="s">
        <v>1920</v>
      </c>
      <c r="F397" s="773" t="s">
        <v>3593</v>
      </c>
      <c r="G397" s="778" t="s">
        <v>178</v>
      </c>
      <c r="H397" s="761" t="s">
        <v>3594</v>
      </c>
      <c r="I397" s="780"/>
      <c r="J397" s="781">
        <v>1</v>
      </c>
      <c r="K397" s="781"/>
      <c r="L397" s="781"/>
      <c r="M397" s="781"/>
      <c r="N397" s="781"/>
      <c r="O397" s="781"/>
      <c r="P397" s="782"/>
      <c r="Q397" s="783">
        <f t="shared" si="6"/>
        <v>1</v>
      </c>
      <c r="R397" s="777" t="s">
        <v>988</v>
      </c>
      <c r="S397" s="761" t="s">
        <v>964</v>
      </c>
      <c r="T397" s="784" t="s">
        <v>965</v>
      </c>
      <c r="U397" s="761" t="s">
        <v>2103</v>
      </c>
      <c r="V397" s="761" t="s">
        <v>991</v>
      </c>
      <c r="W397" s="761" t="s">
        <v>3595</v>
      </c>
      <c r="X397" s="1263">
        <v>1</v>
      </c>
      <c r="Y397" s="829" t="s">
        <v>978</v>
      </c>
      <c r="Z397" s="778" t="s">
        <v>178</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customHeight="1">
      <c r="A398" s="760" t="s">
        <v>999</v>
      </c>
      <c r="B398" s="761">
        <v>392</v>
      </c>
      <c r="C398" s="777" t="s">
        <v>3596</v>
      </c>
      <c r="D398" s="761" t="s">
        <v>3585</v>
      </c>
      <c r="E398" s="761" t="s">
        <v>1936</v>
      </c>
      <c r="F398" s="773" t="s">
        <v>3597</v>
      </c>
      <c r="G398" s="778" t="s">
        <v>184</v>
      </c>
      <c r="H398" s="761" t="s">
        <v>3598</v>
      </c>
      <c r="I398" s="780"/>
      <c r="J398" s="781">
        <v>1</v>
      </c>
      <c r="K398" s="781"/>
      <c r="L398" s="781"/>
      <c r="M398" s="781"/>
      <c r="N398" s="781"/>
      <c r="O398" s="781"/>
      <c r="P398" s="782"/>
      <c r="Q398" s="783">
        <f t="shared" si="6"/>
        <v>1</v>
      </c>
      <c r="R398" s="777" t="s">
        <v>984</v>
      </c>
      <c r="S398" s="761" t="s">
        <v>964</v>
      </c>
      <c r="T398" s="784" t="s">
        <v>965</v>
      </c>
      <c r="U398" s="761" t="s">
        <v>1944</v>
      </c>
      <c r="V398" s="761" t="s">
        <v>293</v>
      </c>
      <c r="W398" s="761" t="s">
        <v>1061</v>
      </c>
      <c r="X398" s="817">
        <v>2</v>
      </c>
      <c r="Y398" s="829" t="s">
        <v>978</v>
      </c>
      <c r="Z398" s="778" t="s">
        <v>184</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customHeight="1">
      <c r="A399" s="760" t="s">
        <v>999</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988</v>
      </c>
      <c r="S399" s="761" t="s">
        <v>964</v>
      </c>
      <c r="T399" s="784" t="s">
        <v>965</v>
      </c>
      <c r="U399" s="761" t="s">
        <v>2178</v>
      </c>
      <c r="V399" s="761" t="s">
        <v>991</v>
      </c>
      <c r="W399" s="761" t="s">
        <v>3603</v>
      </c>
      <c r="X399" s="817">
        <v>2</v>
      </c>
      <c r="Y399" s="829" t="s">
        <v>978</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961</v>
      </c>
      <c r="BM399" s="773" t="s">
        <v>961</v>
      </c>
      <c r="BN399" s="773" t="s">
        <v>961</v>
      </c>
      <c r="BO399" s="773" t="s">
        <v>961</v>
      </c>
      <c r="BP399" s="784" t="s">
        <v>961</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999</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984</v>
      </c>
      <c r="S400" s="761" t="s">
        <v>976</v>
      </c>
      <c r="T400" s="784" t="s">
        <v>977</v>
      </c>
      <c r="U400" s="761" t="s">
        <v>2960</v>
      </c>
      <c r="V400" s="761" t="s">
        <v>991</v>
      </c>
      <c r="W400" s="761" t="s">
        <v>410</v>
      </c>
      <c r="X400" s="1263">
        <v>0</v>
      </c>
      <c r="Y400" s="829" t="s">
        <v>978</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961</v>
      </c>
      <c r="BM400" s="773" t="s">
        <v>961</v>
      </c>
      <c r="BN400" s="773" t="s">
        <v>961</v>
      </c>
      <c r="BO400" s="773" t="s">
        <v>961</v>
      </c>
      <c r="BP400" s="784" t="s">
        <v>961</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973</v>
      </c>
      <c r="DD400" s="801">
        <v>1</v>
      </c>
      <c r="DE400" s="802"/>
    </row>
    <row r="401" spans="1:109" ht="15.75" customHeight="1">
      <c r="A401" s="760" t="s">
        <v>999</v>
      </c>
      <c r="B401" s="761">
        <v>395</v>
      </c>
      <c r="C401" s="777" t="s">
        <v>3607</v>
      </c>
      <c r="D401" s="761" t="s">
        <v>3604</v>
      </c>
      <c r="E401" s="761" t="s">
        <v>1920</v>
      </c>
      <c r="F401" s="773" t="s">
        <v>3608</v>
      </c>
      <c r="G401" s="778" t="s">
        <v>629</v>
      </c>
      <c r="H401" s="761" t="s">
        <v>3609</v>
      </c>
      <c r="I401" s="780"/>
      <c r="J401" s="781">
        <v>1</v>
      </c>
      <c r="K401" s="781"/>
      <c r="L401" s="781"/>
      <c r="M401" s="781"/>
      <c r="N401" s="781"/>
      <c r="O401" s="781"/>
      <c r="P401" s="782"/>
      <c r="Q401" s="783">
        <f t="shared" si="6"/>
        <v>1</v>
      </c>
      <c r="R401" s="777" t="s">
        <v>988</v>
      </c>
      <c r="S401" s="761" t="s">
        <v>964</v>
      </c>
      <c r="T401" s="784" t="s">
        <v>965</v>
      </c>
      <c r="U401" s="761" t="s">
        <v>629</v>
      </c>
      <c r="V401" s="761" t="s">
        <v>293</v>
      </c>
      <c r="W401" s="761" t="s">
        <v>3610</v>
      </c>
      <c r="X401" s="1263">
        <v>1</v>
      </c>
      <c r="Y401" s="829" t="s">
        <v>966</v>
      </c>
      <c r="Z401" s="778" t="s">
        <v>629</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customHeight="1">
      <c r="A402" s="760" t="s">
        <v>999</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988</v>
      </c>
      <c r="S402" s="761" t="s">
        <v>976</v>
      </c>
      <c r="T402" s="784" t="s">
        <v>977</v>
      </c>
      <c r="U402" s="761" t="s">
        <v>2083</v>
      </c>
      <c r="V402" s="761" t="s">
        <v>991</v>
      </c>
      <c r="W402" s="761" t="s">
        <v>3613</v>
      </c>
      <c r="X402" s="817">
        <v>1</v>
      </c>
      <c r="Y402" s="793" t="s">
        <v>978</v>
      </c>
      <c r="Z402" s="778" t="s">
        <v>1124</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customHeight="1">
      <c r="A403" s="760" t="s">
        <v>999</v>
      </c>
      <c r="B403" s="761">
        <v>397</v>
      </c>
      <c r="C403" s="777" t="s">
        <v>3614</v>
      </c>
      <c r="D403" s="761" t="s">
        <v>3615</v>
      </c>
      <c r="E403" s="761" t="s">
        <v>1920</v>
      </c>
      <c r="F403" s="773" t="s">
        <v>3616</v>
      </c>
      <c r="G403" s="778" t="s">
        <v>687</v>
      </c>
      <c r="H403" s="761" t="s">
        <v>3617</v>
      </c>
      <c r="I403" s="780"/>
      <c r="J403" s="781"/>
      <c r="K403" s="781">
        <v>1</v>
      </c>
      <c r="L403" s="781"/>
      <c r="M403" s="781"/>
      <c r="N403" s="781"/>
      <c r="O403" s="781"/>
      <c r="P403" s="782"/>
      <c r="Q403" s="783">
        <f t="shared" si="6"/>
        <v>1</v>
      </c>
      <c r="R403" s="777" t="s">
        <v>988</v>
      </c>
      <c r="S403" s="761" t="s">
        <v>964</v>
      </c>
      <c r="T403" s="784" t="s">
        <v>965</v>
      </c>
      <c r="U403" s="761" t="s">
        <v>2087</v>
      </c>
      <c r="V403" s="761" t="s">
        <v>991</v>
      </c>
      <c r="W403" s="761" t="s">
        <v>3618</v>
      </c>
      <c r="X403" s="817">
        <v>2</v>
      </c>
      <c r="Y403" s="793" t="s">
        <v>978</v>
      </c>
      <c r="Z403" s="778" t="s">
        <v>687</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customHeight="1">
      <c r="A404" s="760" t="s">
        <v>999</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988</v>
      </c>
      <c r="S404" s="761" t="s">
        <v>964</v>
      </c>
      <c r="T404" s="784" t="s">
        <v>965</v>
      </c>
      <c r="U404" s="761" t="s">
        <v>2087</v>
      </c>
      <c r="V404" s="761" t="s">
        <v>991</v>
      </c>
      <c r="W404" s="761" t="s">
        <v>410</v>
      </c>
      <c r="X404" s="1263">
        <v>0</v>
      </c>
      <c r="Y404" s="799" t="s">
        <v>978</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961</v>
      </c>
      <c r="BM404" s="773" t="s">
        <v>961</v>
      </c>
      <c r="BN404" s="773" t="s">
        <v>961</v>
      </c>
      <c r="BO404" s="773" t="s">
        <v>961</v>
      </c>
      <c r="BP404" s="784" t="s">
        <v>961</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999</v>
      </c>
      <c r="B405" s="761">
        <v>399</v>
      </c>
      <c r="C405" s="777" t="s">
        <v>3623</v>
      </c>
      <c r="D405" s="761" t="s">
        <v>3615</v>
      </c>
      <c r="E405" s="761" t="s">
        <v>1920</v>
      </c>
      <c r="F405" s="773" t="s">
        <v>3624</v>
      </c>
      <c r="G405" s="778" t="s">
        <v>693</v>
      </c>
      <c r="H405" s="761" t="s">
        <v>3625</v>
      </c>
      <c r="I405" s="780"/>
      <c r="J405" s="781"/>
      <c r="K405" s="781">
        <v>1</v>
      </c>
      <c r="L405" s="781"/>
      <c r="M405" s="781"/>
      <c r="N405" s="781"/>
      <c r="O405" s="781"/>
      <c r="P405" s="782"/>
      <c r="Q405" s="783">
        <f t="shared" si="6"/>
        <v>1</v>
      </c>
      <c r="R405" s="777" t="s">
        <v>988</v>
      </c>
      <c r="S405" s="761" t="s">
        <v>964</v>
      </c>
      <c r="T405" s="784" t="s">
        <v>965</v>
      </c>
      <c r="U405" s="761" t="s">
        <v>2264</v>
      </c>
      <c r="V405" s="761" t="s">
        <v>991</v>
      </c>
      <c r="W405" s="761" t="s">
        <v>3626</v>
      </c>
      <c r="X405" s="817">
        <v>2</v>
      </c>
      <c r="Y405" s="829" t="s">
        <v>978</v>
      </c>
      <c r="Z405" s="778" t="s">
        <v>693</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customHeight="1">
      <c r="A406" s="760" t="s">
        <v>999</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988</v>
      </c>
      <c r="S406" s="761" t="s">
        <v>964</v>
      </c>
      <c r="T406" s="784" t="s">
        <v>965</v>
      </c>
      <c r="U406" s="761" t="s">
        <v>2264</v>
      </c>
      <c r="V406" s="761" t="s">
        <v>991</v>
      </c>
      <c r="W406" s="761" t="s">
        <v>410</v>
      </c>
      <c r="X406" s="1263">
        <v>0</v>
      </c>
      <c r="Y406" s="829" t="s">
        <v>978</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961</v>
      </c>
      <c r="BM406" s="773" t="s">
        <v>961</v>
      </c>
      <c r="BN406" s="773" t="s">
        <v>961</v>
      </c>
      <c r="BO406" s="773" t="s">
        <v>961</v>
      </c>
      <c r="BP406" s="784" t="s">
        <v>961</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999</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988</v>
      </c>
      <c r="S407" s="761" t="s">
        <v>964</v>
      </c>
      <c r="T407" s="784" t="s">
        <v>965</v>
      </c>
      <c r="U407" s="761" t="s">
        <v>3634</v>
      </c>
      <c r="V407" s="761" t="s">
        <v>991</v>
      </c>
      <c r="W407" s="761" t="s">
        <v>410</v>
      </c>
      <c r="X407" s="1263">
        <v>0</v>
      </c>
      <c r="Y407" s="829" t="s">
        <v>978</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961</v>
      </c>
      <c r="BM407" s="773" t="s">
        <v>961</v>
      </c>
      <c r="BN407" s="773" t="s">
        <v>961</v>
      </c>
      <c r="BO407" s="773" t="s">
        <v>961</v>
      </c>
      <c r="BP407" s="784" t="s">
        <v>961</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999</v>
      </c>
      <c r="B408" s="761">
        <v>402</v>
      </c>
      <c r="C408" s="777" t="s">
        <v>3635</v>
      </c>
      <c r="D408" s="761" t="s">
        <v>3615</v>
      </c>
      <c r="E408" s="761" t="s">
        <v>1927</v>
      </c>
      <c r="F408" s="773" t="s">
        <v>3636</v>
      </c>
      <c r="G408" s="778" t="s">
        <v>1016</v>
      </c>
      <c r="H408" s="761" t="s">
        <v>3637</v>
      </c>
      <c r="I408" s="780"/>
      <c r="J408" s="781"/>
      <c r="K408" s="781">
        <v>1</v>
      </c>
      <c r="L408" s="781"/>
      <c r="M408" s="781"/>
      <c r="N408" s="781"/>
      <c r="O408" s="781"/>
      <c r="P408" s="782"/>
      <c r="Q408" s="783">
        <f t="shared" si="6"/>
        <v>1</v>
      </c>
      <c r="R408" s="777" t="s">
        <v>984</v>
      </c>
      <c r="S408" s="761" t="s">
        <v>964</v>
      </c>
      <c r="T408" s="784" t="s">
        <v>965</v>
      </c>
      <c r="U408" s="761" t="s">
        <v>3638</v>
      </c>
      <c r="V408" s="761" t="s">
        <v>293</v>
      </c>
      <c r="W408" s="761" t="s">
        <v>1061</v>
      </c>
      <c r="X408" s="817">
        <v>2</v>
      </c>
      <c r="Y408" s="829" t="s">
        <v>966</v>
      </c>
      <c r="Z408" s="778" t="s">
        <v>1016</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customHeight="1">
      <c r="A409" s="760" t="s">
        <v>999</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984</v>
      </c>
      <c r="S409" s="761" t="s">
        <v>964</v>
      </c>
      <c r="T409" s="784" t="s">
        <v>965</v>
      </c>
      <c r="U409" s="761" t="s">
        <v>3643</v>
      </c>
      <c r="V409" s="761" t="s">
        <v>293</v>
      </c>
      <c r="W409" s="761" t="s">
        <v>1061</v>
      </c>
      <c r="X409" s="817">
        <v>1</v>
      </c>
      <c r="Y409" s="829" t="s">
        <v>966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961</v>
      </c>
      <c r="BM409" s="773" t="s">
        <v>961</v>
      </c>
      <c r="BN409" s="773" t="s">
        <v>961</v>
      </c>
      <c r="BO409" s="773" t="s">
        <v>961</v>
      </c>
      <c r="BP409" s="784" t="s">
        <v>961</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999</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963</v>
      </c>
      <c r="S410" s="761"/>
      <c r="T410" s="784"/>
      <c r="U410" s="761" t="s">
        <v>2135</v>
      </c>
      <c r="V410" s="761" t="s">
        <v>293</v>
      </c>
      <c r="W410" s="761" t="s">
        <v>1061</v>
      </c>
      <c r="X410" s="817">
        <v>1</v>
      </c>
      <c r="Y410" s="829" t="s">
        <v>966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999</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984</v>
      </c>
      <c r="S411" s="761" t="s">
        <v>964</v>
      </c>
      <c r="T411" s="784" t="s">
        <v>965</v>
      </c>
      <c r="U411" s="761" t="s">
        <v>711</v>
      </c>
      <c r="V411" s="761" t="s">
        <v>293</v>
      </c>
      <c r="W411" s="761" t="s">
        <v>1061</v>
      </c>
      <c r="X411" s="817">
        <v>2</v>
      </c>
      <c r="Y411" s="829" t="s">
        <v>966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961</v>
      </c>
      <c r="BM411" s="773" t="s">
        <v>961</v>
      </c>
      <c r="BN411" s="773" t="s">
        <v>961</v>
      </c>
      <c r="BO411" s="773" t="s">
        <v>961</v>
      </c>
      <c r="BP411" s="784" t="s">
        <v>961</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999</v>
      </c>
      <c r="B412" s="761">
        <v>406</v>
      </c>
      <c r="C412" s="777" t="s">
        <v>3652</v>
      </c>
      <c r="D412" s="761" t="s">
        <v>1939</v>
      </c>
      <c r="E412" s="761" t="s">
        <v>1936</v>
      </c>
      <c r="F412" s="773" t="s">
        <v>3653</v>
      </c>
      <c r="G412" s="778" t="s">
        <v>499</v>
      </c>
      <c r="H412" s="761" t="s">
        <v>3654</v>
      </c>
      <c r="I412" s="780">
        <v>1</v>
      </c>
      <c r="J412" s="781"/>
      <c r="K412" s="781"/>
      <c r="L412" s="781"/>
      <c r="M412" s="781"/>
      <c r="N412" s="781"/>
      <c r="O412" s="781"/>
      <c r="P412" s="782"/>
      <c r="Q412" s="783">
        <f t="shared" si="6"/>
        <v>1</v>
      </c>
      <c r="R412" s="777" t="s">
        <v>963</v>
      </c>
      <c r="S412" s="761"/>
      <c r="T412" s="784"/>
      <c r="U412" s="761" t="s">
        <v>1939</v>
      </c>
      <c r="V412" s="761" t="s">
        <v>293</v>
      </c>
      <c r="W412" s="761" t="s">
        <v>3655</v>
      </c>
      <c r="X412" s="1263">
        <v>1</v>
      </c>
      <c r="Y412" s="829" t="s">
        <v>978</v>
      </c>
      <c r="Z412" s="778" t="s">
        <v>499</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customHeight="1">
      <c r="A413" s="760" t="s">
        <v>999</v>
      </c>
      <c r="B413" s="761">
        <v>407</v>
      </c>
      <c r="C413" s="777" t="s">
        <v>3656</v>
      </c>
      <c r="D413" s="761" t="s">
        <v>1939</v>
      </c>
      <c r="E413" s="761" t="s">
        <v>1936</v>
      </c>
      <c r="F413" s="773" t="s">
        <v>3657</v>
      </c>
      <c r="G413" s="778" t="s">
        <v>778</v>
      </c>
      <c r="H413" s="761" t="s">
        <v>3658</v>
      </c>
      <c r="I413" s="780"/>
      <c r="J413" s="781"/>
      <c r="K413" s="781">
        <v>1</v>
      </c>
      <c r="L413" s="781"/>
      <c r="M413" s="781"/>
      <c r="N413" s="781"/>
      <c r="O413" s="781"/>
      <c r="P413" s="782"/>
      <c r="Q413" s="783">
        <f t="shared" si="6"/>
        <v>1</v>
      </c>
      <c r="R413" s="777" t="s">
        <v>963</v>
      </c>
      <c r="S413" s="761"/>
      <c r="T413" s="784"/>
      <c r="U413" s="761" t="s">
        <v>1939</v>
      </c>
      <c r="V413" s="761" t="s">
        <v>293</v>
      </c>
      <c r="W413" s="761" t="s">
        <v>3659</v>
      </c>
      <c r="X413" s="817">
        <v>2</v>
      </c>
      <c r="Y413" s="829" t="s">
        <v>978</v>
      </c>
      <c r="Z413" s="778" t="s">
        <v>778</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customHeight="1">
      <c r="A414" s="760" t="s">
        <v>999</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988</v>
      </c>
      <c r="S414" s="761" t="s">
        <v>964</v>
      </c>
      <c r="T414" s="784" t="s">
        <v>965</v>
      </c>
      <c r="U414" s="761" t="s">
        <v>1939</v>
      </c>
      <c r="V414" s="761" t="s">
        <v>991</v>
      </c>
      <c r="W414" s="761" t="s">
        <v>410</v>
      </c>
      <c r="X414" s="1263">
        <v>0</v>
      </c>
      <c r="Y414" s="829" t="s">
        <v>966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961</v>
      </c>
      <c r="BM414" s="773" t="s">
        <v>961</v>
      </c>
      <c r="BN414" s="773" t="s">
        <v>961</v>
      </c>
      <c r="BO414" s="773" t="s">
        <v>961</v>
      </c>
      <c r="BP414" s="784" t="s">
        <v>961</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999</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988</v>
      </c>
      <c r="S415" s="761" t="s">
        <v>964</v>
      </c>
      <c r="T415" s="784" t="s">
        <v>965</v>
      </c>
      <c r="U415" s="761" t="s">
        <v>1939</v>
      </c>
      <c r="V415" s="761" t="s">
        <v>991</v>
      </c>
      <c r="W415" s="761" t="s">
        <v>410</v>
      </c>
      <c r="X415" s="1263">
        <v>0</v>
      </c>
      <c r="Y415" s="829" t="s">
        <v>978</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961</v>
      </c>
      <c r="BM415" s="773" t="s">
        <v>961</v>
      </c>
      <c r="BN415" s="773" t="s">
        <v>961</v>
      </c>
      <c r="BO415" s="773" t="s">
        <v>961</v>
      </c>
      <c r="BP415" s="784" t="s">
        <v>961</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999</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988</v>
      </c>
      <c r="S416" s="761" t="s">
        <v>964</v>
      </c>
      <c r="T416" s="784" t="s">
        <v>965</v>
      </c>
      <c r="U416" s="761" t="s">
        <v>1027</v>
      </c>
      <c r="V416" s="761" t="s">
        <v>1039</v>
      </c>
      <c r="W416" s="761" t="s">
        <v>3672</v>
      </c>
      <c r="X416" s="817">
        <v>2</v>
      </c>
      <c r="Y416" s="829" t="s">
        <v>966</v>
      </c>
      <c r="Z416" s="778" t="s">
        <v>1960</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customHeight="1">
      <c r="A417" s="760" t="s">
        <v>999</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988</v>
      </c>
      <c r="S417" s="761" t="s">
        <v>964</v>
      </c>
      <c r="T417" s="784" t="s">
        <v>965</v>
      </c>
      <c r="U417" s="761" t="s">
        <v>3677</v>
      </c>
      <c r="V417" s="761" t="s">
        <v>293</v>
      </c>
      <c r="W417" s="761" t="s">
        <v>1061</v>
      </c>
      <c r="X417" s="817">
        <v>1</v>
      </c>
      <c r="Y417" s="829" t="s">
        <v>966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961</v>
      </c>
      <c r="BM417" s="773" t="s">
        <v>961</v>
      </c>
      <c r="BN417" s="773" t="s">
        <v>961</v>
      </c>
      <c r="BO417" s="773" t="s">
        <v>961</v>
      </c>
      <c r="BP417" s="784" t="s">
        <v>961</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999</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988</v>
      </c>
      <c r="S418" s="761" t="s">
        <v>964</v>
      </c>
      <c r="T418" s="784" t="s">
        <v>965</v>
      </c>
      <c r="U418" s="761" t="s">
        <v>3677</v>
      </c>
      <c r="V418" s="761" t="s">
        <v>293</v>
      </c>
      <c r="W418" s="761" t="s">
        <v>1061</v>
      </c>
      <c r="X418" s="817">
        <v>1</v>
      </c>
      <c r="Y418" s="786" t="s">
        <v>966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961</v>
      </c>
      <c r="BM418" s="773" t="s">
        <v>961</v>
      </c>
      <c r="BN418" s="773" t="s">
        <v>961</v>
      </c>
      <c r="BO418" s="773" t="s">
        <v>961</v>
      </c>
      <c r="BP418" s="784" t="s">
        <v>961</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999</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988</v>
      </c>
      <c r="S419" s="761" t="s">
        <v>964</v>
      </c>
      <c r="T419" s="784" t="s">
        <v>965</v>
      </c>
      <c r="U419" s="761" t="s">
        <v>1031</v>
      </c>
      <c r="V419" s="761" t="s">
        <v>1039</v>
      </c>
      <c r="W419" s="761" t="s">
        <v>3685</v>
      </c>
      <c r="X419" s="817">
        <v>2</v>
      </c>
      <c r="Y419" s="786" t="s">
        <v>966</v>
      </c>
      <c r="Z419" s="778" t="s">
        <v>1964</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customHeight="1">
      <c r="A420" s="760" t="s">
        <v>999</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963</v>
      </c>
      <c r="S420" s="761"/>
      <c r="T420" s="784"/>
      <c r="U420" s="761" t="s">
        <v>2146</v>
      </c>
      <c r="V420" s="761" t="s">
        <v>293</v>
      </c>
      <c r="W420" s="761" t="s">
        <v>1061</v>
      </c>
      <c r="X420" s="1263">
        <v>0</v>
      </c>
      <c r="Y420" s="786" t="s">
        <v>966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999</v>
      </c>
      <c r="B421" s="761">
        <v>415</v>
      </c>
      <c r="C421" s="777" t="s">
        <v>3690</v>
      </c>
      <c r="D421" s="761" t="s">
        <v>3669</v>
      </c>
      <c r="E421" s="761" t="s">
        <v>1936</v>
      </c>
      <c r="F421" s="773" t="s">
        <v>3691</v>
      </c>
      <c r="G421" s="778" t="s">
        <v>658</v>
      </c>
      <c r="H421" s="779" t="s">
        <v>3692</v>
      </c>
      <c r="I421" s="780"/>
      <c r="J421" s="781"/>
      <c r="K421" s="781"/>
      <c r="L421" s="781"/>
      <c r="M421" s="781">
        <v>1</v>
      </c>
      <c r="N421" s="781"/>
      <c r="O421" s="781"/>
      <c r="P421" s="782"/>
      <c r="Q421" s="783">
        <f t="shared" si="6"/>
        <v>1</v>
      </c>
      <c r="R421" s="777" t="s">
        <v>963</v>
      </c>
      <c r="S421" s="761"/>
      <c r="T421" s="784"/>
      <c r="U421" s="761" t="s">
        <v>2146</v>
      </c>
      <c r="V421" s="761" t="s">
        <v>293</v>
      </c>
      <c r="W421" s="761" t="s">
        <v>1061</v>
      </c>
      <c r="X421" s="817">
        <v>1</v>
      </c>
      <c r="Y421" s="786" t="s">
        <v>966</v>
      </c>
      <c r="Z421" s="778" t="s">
        <v>658</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customHeight="1">
      <c r="A422" s="760" t="s">
        <v>999</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963</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999</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963</v>
      </c>
      <c r="S423" s="761"/>
      <c r="T423" s="784"/>
      <c r="U423" s="761" t="s">
        <v>2146</v>
      </c>
      <c r="V423" s="761" t="s">
        <v>293</v>
      </c>
      <c r="W423" s="761" t="s">
        <v>1061</v>
      </c>
      <c r="X423" s="817">
        <v>0</v>
      </c>
      <c r="Y423" s="807" t="s">
        <v>966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999</v>
      </c>
      <c r="B424" s="761">
        <v>418</v>
      </c>
      <c r="C424" s="777" t="s">
        <v>3703</v>
      </c>
      <c r="D424" s="761" t="s">
        <v>3704</v>
      </c>
      <c r="E424" s="761" t="s">
        <v>1920</v>
      </c>
      <c r="F424" s="773" t="s">
        <v>3705</v>
      </c>
      <c r="G424" s="778" t="s">
        <v>689</v>
      </c>
      <c r="H424" s="779" t="s">
        <v>3706</v>
      </c>
      <c r="I424" s="780"/>
      <c r="J424" s="781"/>
      <c r="K424" s="781">
        <v>1</v>
      </c>
      <c r="L424" s="781"/>
      <c r="M424" s="781"/>
      <c r="N424" s="781"/>
      <c r="O424" s="781"/>
      <c r="P424" s="782"/>
      <c r="Q424" s="783">
        <f t="shared" si="6"/>
        <v>1</v>
      </c>
      <c r="R424" s="777" t="s">
        <v>984</v>
      </c>
      <c r="S424" s="761" t="s">
        <v>964</v>
      </c>
      <c r="T424" s="784" t="s">
        <v>965</v>
      </c>
      <c r="U424" s="761" t="s">
        <v>689</v>
      </c>
      <c r="V424" s="761" t="s">
        <v>991</v>
      </c>
      <c r="W424" s="761" t="s">
        <v>3707</v>
      </c>
      <c r="X424" s="817">
        <v>2</v>
      </c>
      <c r="Y424" s="807" t="s">
        <v>978</v>
      </c>
      <c r="Z424" s="778" t="s">
        <v>689</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customHeight="1">
      <c r="A425" s="760" t="s">
        <v>999</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984</v>
      </c>
      <c r="S425" s="761" t="s">
        <v>964</v>
      </c>
      <c r="T425" s="784" t="s">
        <v>965</v>
      </c>
      <c r="U425" s="761" t="s">
        <v>689</v>
      </c>
      <c r="V425" s="761" t="s">
        <v>991</v>
      </c>
      <c r="W425" s="761" t="s">
        <v>410</v>
      </c>
      <c r="X425" s="1305">
        <v>0</v>
      </c>
      <c r="Y425" s="809" t="s">
        <v>978</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961</v>
      </c>
      <c r="BM425" s="773" t="s">
        <v>961</v>
      </c>
      <c r="BN425" s="773" t="s">
        <v>961</v>
      </c>
      <c r="BO425" s="773" t="s">
        <v>961</v>
      </c>
      <c r="BP425" s="784" t="s">
        <v>961</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999</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963</v>
      </c>
      <c r="S426" s="761"/>
      <c r="T426" s="784"/>
      <c r="U426" s="761" t="s">
        <v>2315</v>
      </c>
      <c r="V426" s="761" t="s">
        <v>991</v>
      </c>
      <c r="W426" s="761" t="s">
        <v>410</v>
      </c>
      <c r="X426" s="1305">
        <v>0</v>
      </c>
      <c r="Y426" s="807" t="s">
        <v>978</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999</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963</v>
      </c>
      <c r="S427" s="761"/>
      <c r="T427" s="784"/>
      <c r="U427" s="761" t="s">
        <v>2315</v>
      </c>
      <c r="V427" s="761" t="s">
        <v>991</v>
      </c>
      <c r="W427" s="761" t="s">
        <v>410</v>
      </c>
      <c r="X427" s="1305">
        <v>0</v>
      </c>
      <c r="Y427" s="810" t="s">
        <v>966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999</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988</v>
      </c>
      <c r="S428" s="761" t="s">
        <v>976</v>
      </c>
      <c r="T428" s="784" t="s">
        <v>977</v>
      </c>
      <c r="U428" s="761" t="s">
        <v>1996</v>
      </c>
      <c r="V428" s="761" t="s">
        <v>1020</v>
      </c>
      <c r="W428" s="761" t="s">
        <v>3372</v>
      </c>
      <c r="X428" s="1305">
        <v>0</v>
      </c>
      <c r="Y428" s="814" t="s">
        <v>966</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961</v>
      </c>
      <c r="BM428" s="773" t="s">
        <v>961</v>
      </c>
      <c r="BN428" s="773" t="s">
        <v>961</v>
      </c>
      <c r="BO428" s="773" t="s">
        <v>961</v>
      </c>
      <c r="BP428" s="784" t="s">
        <v>961</v>
      </c>
      <c r="BQ428" s="796" t="s">
        <v>1971</v>
      </c>
      <c r="BR428" s="788" t="s">
        <v>1971</v>
      </c>
      <c r="BS428" s="788" t="s">
        <v>1971</v>
      </c>
      <c r="BT428" s="788" t="s">
        <v>1971</v>
      </c>
      <c r="BU428" s="793" t="s">
        <v>1971</v>
      </c>
      <c r="BV428" s="1917">
        <v>69028</v>
      </c>
      <c r="BW428" s="1918">
        <v>79828</v>
      </c>
      <c r="BX428" s="1918">
        <v>91428</v>
      </c>
      <c r="BY428" s="1918">
        <v>103828</v>
      </c>
      <c r="BZ428" s="1918">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17">
        <v>82209</v>
      </c>
      <c r="CL428" s="1918">
        <v>93709</v>
      </c>
      <c r="CM428" s="1918">
        <v>106709</v>
      </c>
      <c r="CN428" s="1918">
        <v>121209</v>
      </c>
      <c r="CO428" s="1919">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999</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984</v>
      </c>
      <c r="S429" s="761" t="s">
        <v>964</v>
      </c>
      <c r="T429" s="784" t="s">
        <v>965</v>
      </c>
      <c r="U429" s="761" t="s">
        <v>2135</v>
      </c>
      <c r="V429" s="761" t="s">
        <v>991</v>
      </c>
      <c r="W429" s="761" t="s">
        <v>410</v>
      </c>
      <c r="X429" s="1305">
        <v>0</v>
      </c>
      <c r="Y429" s="809" t="s">
        <v>966</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961</v>
      </c>
      <c r="BM429" s="773" t="s">
        <v>961</v>
      </c>
      <c r="BN429" s="773" t="s">
        <v>961</v>
      </c>
      <c r="BO429" s="773" t="s">
        <v>961</v>
      </c>
      <c r="BP429" s="784" t="s">
        <v>961</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999</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988</v>
      </c>
      <c r="S430" s="761" t="s">
        <v>976</v>
      </c>
      <c r="T430" s="784" t="s">
        <v>977</v>
      </c>
      <c r="U430" s="761" t="s">
        <v>2135</v>
      </c>
      <c r="V430" s="761" t="s">
        <v>991</v>
      </c>
      <c r="W430" s="761" t="s">
        <v>410</v>
      </c>
      <c r="X430" s="1305">
        <v>0</v>
      </c>
      <c r="Y430" s="814" t="s">
        <v>966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961</v>
      </c>
      <c r="BM430" s="773" t="s">
        <v>961</v>
      </c>
      <c r="BN430" s="773" t="s">
        <v>961</v>
      </c>
      <c r="BO430" s="773" t="s">
        <v>961</v>
      </c>
      <c r="BP430" s="784" t="s">
        <v>961</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999</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988</v>
      </c>
      <c r="S431" s="761" t="s">
        <v>964</v>
      </c>
      <c r="T431" s="784" t="s">
        <v>965</v>
      </c>
      <c r="U431" s="761" t="s">
        <v>2008</v>
      </c>
      <c r="V431" s="761" t="s">
        <v>991</v>
      </c>
      <c r="W431" s="761" t="s">
        <v>3732</v>
      </c>
      <c r="X431" s="1263">
        <v>0</v>
      </c>
      <c r="Y431" s="809" t="s">
        <v>966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961</v>
      </c>
      <c r="BM431" s="773" t="s">
        <v>961</v>
      </c>
      <c r="BN431" s="773" t="s">
        <v>961</v>
      </c>
      <c r="BO431" s="773" t="s">
        <v>961</v>
      </c>
      <c r="BP431" s="784" t="s">
        <v>961</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973</v>
      </c>
      <c r="DD431" s="801">
        <v>1</v>
      </c>
      <c r="DE431" s="802"/>
    </row>
    <row r="432" spans="1:109" ht="15.75" customHeight="1">
      <c r="A432" s="760" t="s">
        <v>999</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963</v>
      </c>
      <c r="S432" s="761"/>
      <c r="T432" s="784"/>
      <c r="U432" s="761" t="s">
        <v>1990</v>
      </c>
      <c r="V432" s="761" t="s">
        <v>991</v>
      </c>
      <c r="W432" s="761" t="s">
        <v>410</v>
      </c>
      <c r="X432" s="1263">
        <v>0</v>
      </c>
      <c r="Y432" s="807" t="s">
        <v>966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999</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963</v>
      </c>
      <c r="S433" s="761"/>
      <c r="T433" s="784"/>
      <c r="U433" s="761" t="s">
        <v>2146</v>
      </c>
      <c r="V433" s="761" t="s">
        <v>991</v>
      </c>
      <c r="W433" s="761" t="s">
        <v>410</v>
      </c>
      <c r="X433" s="1263">
        <v>0</v>
      </c>
      <c r="Y433" s="807" t="s">
        <v>966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999</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963</v>
      </c>
      <c r="S434" s="761"/>
      <c r="T434" s="784"/>
      <c r="U434" s="761" t="s">
        <v>2146</v>
      </c>
      <c r="V434" s="761" t="s">
        <v>293</v>
      </c>
      <c r="W434" s="761" t="s">
        <v>1061</v>
      </c>
      <c r="X434" s="817">
        <v>2</v>
      </c>
      <c r="Y434" s="807" t="s">
        <v>978</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999</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963</v>
      </c>
      <c r="S435" s="761"/>
      <c r="T435" s="784"/>
      <c r="U435" s="761" t="s">
        <v>2146</v>
      </c>
      <c r="V435" s="761" t="s">
        <v>293</v>
      </c>
      <c r="W435" s="761" t="s">
        <v>1061</v>
      </c>
      <c r="X435" s="817">
        <v>1</v>
      </c>
      <c r="Y435" s="807" t="s">
        <v>966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999</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984</v>
      </c>
      <c r="S436" s="761" t="s">
        <v>964</v>
      </c>
      <c r="T436" s="784" t="s">
        <v>977</v>
      </c>
      <c r="U436" s="761" t="s">
        <v>1955</v>
      </c>
      <c r="V436" s="761" t="s">
        <v>1030</v>
      </c>
      <c r="W436" s="761" t="s">
        <v>3753</v>
      </c>
      <c r="X436" s="1306">
        <v>0</v>
      </c>
      <c r="Y436" s="809" t="s">
        <v>978</v>
      </c>
      <c r="Z436" s="778"/>
      <c r="AA436" s="773"/>
      <c r="AB436" s="773"/>
      <c r="AC436" s="773"/>
      <c r="AD436" s="773"/>
      <c r="AE436" s="773"/>
      <c r="AF436" s="787"/>
      <c r="AG436" s="788"/>
      <c r="AH436" s="788"/>
      <c r="AI436" s="788"/>
      <c r="AJ436" s="788"/>
      <c r="AK436" s="788"/>
      <c r="AL436" s="788"/>
      <c r="AM436" s="788"/>
      <c r="AN436" s="788"/>
      <c r="AO436" s="788"/>
      <c r="AP436" s="788"/>
      <c r="AQ436" s="796" t="s">
        <v>874</v>
      </c>
      <c r="AR436" s="788" t="s">
        <v>874</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961</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973</v>
      </c>
      <c r="DD436" s="801">
        <v>1</v>
      </c>
      <c r="DE436" s="802"/>
    </row>
    <row r="437" spans="1:109" ht="15.75" customHeight="1">
      <c r="A437" s="760" t="s">
        <v>999</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984</v>
      </c>
      <c r="S437" s="761" t="s">
        <v>964</v>
      </c>
      <c r="T437" s="784" t="s">
        <v>977</v>
      </c>
      <c r="U437" s="761" t="s">
        <v>1955</v>
      </c>
      <c r="V437" s="761" t="s">
        <v>1030</v>
      </c>
      <c r="W437" s="761" t="s">
        <v>3757</v>
      </c>
      <c r="X437" s="1306">
        <v>0</v>
      </c>
      <c r="Y437" s="809" t="s">
        <v>978</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961</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973</v>
      </c>
      <c r="DD437" s="801">
        <v>1</v>
      </c>
      <c r="DE437" s="802"/>
    </row>
    <row r="438" spans="1:109" ht="15.75" customHeight="1">
      <c r="A438" s="760" t="s">
        <v>999</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984</v>
      </c>
      <c r="S438" s="761" t="s">
        <v>964</v>
      </c>
      <c r="T438" s="784" t="s">
        <v>965</v>
      </c>
      <c r="U438" s="761" t="s">
        <v>1939</v>
      </c>
      <c r="V438" s="761" t="s">
        <v>1030</v>
      </c>
      <c r="W438" s="761" t="s">
        <v>3761</v>
      </c>
      <c r="X438" s="1306">
        <v>0</v>
      </c>
      <c r="Y438" s="809" t="s">
        <v>978</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961</v>
      </c>
      <c r="BM438" s="773" t="s">
        <v>961</v>
      </c>
      <c r="BN438" s="773" t="s">
        <v>961</v>
      </c>
      <c r="BO438" s="773" t="s">
        <v>961</v>
      </c>
      <c r="BP438" s="784" t="s">
        <v>961</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973</v>
      </c>
      <c r="DD438" s="801">
        <v>1</v>
      </c>
      <c r="DE438" s="802"/>
    </row>
    <row r="439" spans="1:109" ht="15.75" customHeight="1">
      <c r="A439" s="760" t="s">
        <v>1003</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988</v>
      </c>
      <c r="S439" s="761" t="s">
        <v>964</v>
      </c>
      <c r="T439" s="784" t="s">
        <v>965</v>
      </c>
      <c r="U439" s="761" t="s">
        <v>1027</v>
      </c>
      <c r="V439" s="761" t="s">
        <v>1039</v>
      </c>
      <c r="W439" s="761" t="s">
        <v>3767</v>
      </c>
      <c r="X439" s="1300">
        <v>2</v>
      </c>
      <c r="Y439" s="809" t="s">
        <v>966</v>
      </c>
      <c r="Z439" s="778" t="s">
        <v>1960</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customHeight="1">
      <c r="A440" s="760" t="s">
        <v>1003</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963</v>
      </c>
      <c r="S440" s="761"/>
      <c r="T440" s="784"/>
      <c r="U440" s="761"/>
      <c r="V440" s="761" t="s">
        <v>293</v>
      </c>
      <c r="W440" s="761"/>
      <c r="X440" s="1299">
        <v>0</v>
      </c>
      <c r="Y440" s="809" t="s">
        <v>966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1003</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988</v>
      </c>
      <c r="S441" s="761" t="s">
        <v>964</v>
      </c>
      <c r="T441" s="784" t="s">
        <v>965</v>
      </c>
      <c r="U441" s="761" t="s">
        <v>1031</v>
      </c>
      <c r="V441" s="761" t="s">
        <v>1039</v>
      </c>
      <c r="W441" s="761" t="s">
        <v>3773</v>
      </c>
      <c r="X441" s="1300">
        <v>2</v>
      </c>
      <c r="Y441" s="809" t="s">
        <v>966</v>
      </c>
      <c r="Z441" s="778" t="s">
        <v>1964</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customHeight="1">
      <c r="A442" s="760" t="s">
        <v>1003</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963</v>
      </c>
      <c r="S442" s="761"/>
      <c r="T442" s="784"/>
      <c r="U442" s="761" t="s">
        <v>2423</v>
      </c>
      <c r="V442" s="761" t="s">
        <v>991</v>
      </c>
      <c r="W442" s="761" t="s">
        <v>3778</v>
      </c>
      <c r="X442" s="1299">
        <v>0</v>
      </c>
      <c r="Y442" s="809" t="s">
        <v>966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1003</v>
      </c>
      <c r="B443" s="761">
        <v>437</v>
      </c>
      <c r="C443" s="777" t="s">
        <v>3779</v>
      </c>
      <c r="D443" s="761" t="s">
        <v>3780</v>
      </c>
      <c r="E443" s="761" t="s">
        <v>1920</v>
      </c>
      <c r="F443" s="773" t="s">
        <v>3781</v>
      </c>
      <c r="G443" s="778" t="s">
        <v>178</v>
      </c>
      <c r="H443" s="779" t="s">
        <v>3782</v>
      </c>
      <c r="I443" s="780"/>
      <c r="J443" s="781">
        <v>1</v>
      </c>
      <c r="K443" s="781"/>
      <c r="L443" s="781"/>
      <c r="M443" s="781"/>
      <c r="N443" s="781"/>
      <c r="O443" s="781"/>
      <c r="P443" s="782"/>
      <c r="Q443" s="783">
        <f t="shared" si="6"/>
        <v>1</v>
      </c>
      <c r="R443" s="777" t="s">
        <v>988</v>
      </c>
      <c r="S443" s="761" t="s">
        <v>964</v>
      </c>
      <c r="T443" s="784" t="s">
        <v>965</v>
      </c>
      <c r="U443" s="761" t="s">
        <v>2103</v>
      </c>
      <c r="V443" s="761" t="s">
        <v>991</v>
      </c>
      <c r="W443" s="761" t="s">
        <v>3783</v>
      </c>
      <c r="X443" s="1300">
        <v>1</v>
      </c>
      <c r="Y443" s="809" t="s">
        <v>978</v>
      </c>
      <c r="Z443" s="778" t="s">
        <v>178</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customHeight="1">
      <c r="A444" s="760" t="s">
        <v>1003</v>
      </c>
      <c r="B444" s="761">
        <v>438</v>
      </c>
      <c r="C444" s="777" t="s">
        <v>3784</v>
      </c>
      <c r="D444" s="761" t="s">
        <v>3780</v>
      </c>
      <c r="E444" s="761" t="s">
        <v>1936</v>
      </c>
      <c r="F444" s="773" t="s">
        <v>3785</v>
      </c>
      <c r="G444" s="778" t="s">
        <v>184</v>
      </c>
      <c r="H444" s="779" t="s">
        <v>3786</v>
      </c>
      <c r="I444" s="780">
        <v>0.11</v>
      </c>
      <c r="J444" s="781">
        <v>0.89</v>
      </c>
      <c r="K444" s="781"/>
      <c r="L444" s="781"/>
      <c r="M444" s="781"/>
      <c r="N444" s="781"/>
      <c r="O444" s="781"/>
      <c r="P444" s="782"/>
      <c r="Q444" s="783">
        <f t="shared" si="6"/>
        <v>1</v>
      </c>
      <c r="R444" s="777" t="s">
        <v>984</v>
      </c>
      <c r="S444" s="761" t="s">
        <v>964</v>
      </c>
      <c r="T444" s="784" t="s">
        <v>965</v>
      </c>
      <c r="U444" s="761" t="s">
        <v>1944</v>
      </c>
      <c r="V444" s="761" t="s">
        <v>293</v>
      </c>
      <c r="W444" s="761" t="s">
        <v>1061</v>
      </c>
      <c r="X444" s="1300">
        <v>2</v>
      </c>
      <c r="Y444" s="809" t="s">
        <v>978</v>
      </c>
      <c r="Z444" s="778" t="s">
        <v>184</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customHeight="1">
      <c r="A445" s="760" t="s">
        <v>1003</v>
      </c>
      <c r="B445" s="761">
        <v>439</v>
      </c>
      <c r="C445" s="777" t="s">
        <v>3787</v>
      </c>
      <c r="D445" s="761" t="s">
        <v>3780</v>
      </c>
      <c r="E445" s="761" t="s">
        <v>1920</v>
      </c>
      <c r="F445" s="773" t="s">
        <v>3788</v>
      </c>
      <c r="G445" s="778" t="s">
        <v>154</v>
      </c>
      <c r="H445" s="779" t="s">
        <v>3789</v>
      </c>
      <c r="I445" s="780"/>
      <c r="J445" s="781">
        <v>1</v>
      </c>
      <c r="K445" s="781"/>
      <c r="L445" s="781"/>
      <c r="M445" s="781"/>
      <c r="N445" s="781"/>
      <c r="O445" s="781"/>
      <c r="P445" s="782"/>
      <c r="Q445" s="783">
        <f t="shared" si="6"/>
        <v>1</v>
      </c>
      <c r="R445" s="777" t="s">
        <v>988</v>
      </c>
      <c r="S445" s="761" t="s">
        <v>964</v>
      </c>
      <c r="T445" s="784" t="s">
        <v>965</v>
      </c>
      <c r="U445" s="761" t="s">
        <v>1923</v>
      </c>
      <c r="V445" s="761" t="s">
        <v>987</v>
      </c>
      <c r="W445" s="761" t="s">
        <v>3790</v>
      </c>
      <c r="X445" s="1300">
        <v>0</v>
      </c>
      <c r="Y445" s="807" t="s">
        <v>978</v>
      </c>
      <c r="Z445" s="778" t="s">
        <v>154</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customHeight="1">
      <c r="A446" s="760" t="s">
        <v>1003</v>
      </c>
      <c r="B446" s="761">
        <v>440</v>
      </c>
      <c r="C446" s="777" t="s">
        <v>3791</v>
      </c>
      <c r="D446" s="761" t="s">
        <v>3780</v>
      </c>
      <c r="E446" s="761" t="s">
        <v>1920</v>
      </c>
      <c r="F446" s="773" t="s">
        <v>3792</v>
      </c>
      <c r="G446" s="778" t="s">
        <v>629</v>
      </c>
      <c r="H446" s="779" t="s">
        <v>3793</v>
      </c>
      <c r="I446" s="780"/>
      <c r="J446" s="781">
        <v>1</v>
      </c>
      <c r="K446" s="781"/>
      <c r="L446" s="781"/>
      <c r="M446" s="781"/>
      <c r="N446" s="781"/>
      <c r="O446" s="781"/>
      <c r="P446" s="782"/>
      <c r="Q446" s="783">
        <f t="shared" si="6"/>
        <v>1</v>
      </c>
      <c r="R446" s="777" t="s">
        <v>988</v>
      </c>
      <c r="S446" s="761" t="s">
        <v>964</v>
      </c>
      <c r="T446" s="784" t="s">
        <v>965</v>
      </c>
      <c r="U446" s="761" t="s">
        <v>629</v>
      </c>
      <c r="V446" s="761" t="s">
        <v>991</v>
      </c>
      <c r="W446" s="761" t="s">
        <v>3794</v>
      </c>
      <c r="X446" s="1300">
        <v>1</v>
      </c>
      <c r="Y446" s="807" t="s">
        <v>978</v>
      </c>
      <c r="Z446" s="778" t="s">
        <v>629</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customHeight="1">
      <c r="A447" s="760" t="s">
        <v>1003</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988</v>
      </c>
      <c r="S447" s="761" t="s">
        <v>964</v>
      </c>
      <c r="T447" s="1414" t="s">
        <v>977</v>
      </c>
      <c r="U447" s="761" t="s">
        <v>2083</v>
      </c>
      <c r="V447" s="761" t="s">
        <v>991</v>
      </c>
      <c r="W447" s="761" t="s">
        <v>3797</v>
      </c>
      <c r="X447" s="1300">
        <v>1</v>
      </c>
      <c r="Y447" s="814" t="s">
        <v>978</v>
      </c>
      <c r="Z447" s="778" t="s">
        <v>1124</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customHeight="1">
      <c r="A448" s="760" t="s">
        <v>1003</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984</v>
      </c>
      <c r="S448" s="761" t="s">
        <v>964</v>
      </c>
      <c r="T448" s="784" t="s">
        <v>965</v>
      </c>
      <c r="U448" s="761" t="s">
        <v>1955</v>
      </c>
      <c r="V448" s="761" t="s">
        <v>1039</v>
      </c>
      <c r="W448" s="761" t="s">
        <v>1956</v>
      </c>
      <c r="X448" s="1299">
        <v>2</v>
      </c>
      <c r="Y448" s="809" t="s">
        <v>978</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customHeight="1">
      <c r="A449" s="760" t="s">
        <v>1003</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984</v>
      </c>
      <c r="S449" s="761" t="s">
        <v>964</v>
      </c>
      <c r="T449" s="784" t="s">
        <v>965</v>
      </c>
      <c r="U449" s="761" t="s">
        <v>2014</v>
      </c>
      <c r="V449" s="761" t="s">
        <v>991</v>
      </c>
      <c r="W449" s="761" t="s">
        <v>3804</v>
      </c>
      <c r="X449" s="1299">
        <v>0</v>
      </c>
      <c r="Y449" s="809" t="s">
        <v>978</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961</v>
      </c>
      <c r="BM449" s="773" t="s">
        <v>961</v>
      </c>
      <c r="BN449" s="773" t="s">
        <v>961</v>
      </c>
      <c r="BO449" s="773" t="s">
        <v>961</v>
      </c>
      <c r="BP449" s="784" t="s">
        <v>961</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973</v>
      </c>
      <c r="DD449" s="801">
        <v>1</v>
      </c>
      <c r="DE449" s="802"/>
    </row>
    <row r="450" spans="1:109" ht="15.75" customHeight="1">
      <c r="A450" s="760" t="s">
        <v>1003</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984</v>
      </c>
      <c r="S450" s="761" t="s">
        <v>964</v>
      </c>
      <c r="T450" s="784" t="s">
        <v>965</v>
      </c>
      <c r="U450" s="761" t="s">
        <v>2178</v>
      </c>
      <c r="V450" s="761" t="s">
        <v>991</v>
      </c>
      <c r="W450" s="761" t="s">
        <v>3809</v>
      </c>
      <c r="X450" s="1299">
        <v>2</v>
      </c>
      <c r="Y450" s="809" t="s">
        <v>978</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961</v>
      </c>
      <c r="BM450" s="773" t="s">
        <v>961</v>
      </c>
      <c r="BN450" s="773" t="s">
        <v>961</v>
      </c>
      <c r="BO450" s="773" t="s">
        <v>961</v>
      </c>
      <c r="BP450" s="784" t="s">
        <v>961</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973</v>
      </c>
      <c r="DD450" s="801">
        <v>1</v>
      </c>
      <c r="DE450" s="802"/>
    </row>
    <row r="451" spans="1:109" ht="15.75" customHeight="1">
      <c r="A451" s="760" t="s">
        <v>1003</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984</v>
      </c>
      <c r="S451" s="761" t="s">
        <v>964</v>
      </c>
      <c r="T451" s="784" t="s">
        <v>965</v>
      </c>
      <c r="U451" s="761" t="s">
        <v>1955</v>
      </c>
      <c r="V451" s="761" t="s">
        <v>991</v>
      </c>
      <c r="W451" s="761" t="s">
        <v>3814</v>
      </c>
      <c r="X451" s="1299">
        <v>0</v>
      </c>
      <c r="Y451" s="809" t="s">
        <v>978</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961</v>
      </c>
      <c r="BM451" s="773" t="s">
        <v>961</v>
      </c>
      <c r="BN451" s="773" t="s">
        <v>961</v>
      </c>
      <c r="BO451" s="773" t="s">
        <v>961</v>
      </c>
      <c r="BP451" s="784" t="s">
        <v>961</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1003</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988</v>
      </c>
      <c r="S452" s="761" t="s">
        <v>964</v>
      </c>
      <c r="T452" s="784" t="s">
        <v>965</v>
      </c>
      <c r="U452" s="761" t="s">
        <v>1955</v>
      </c>
      <c r="V452" s="761" t="s">
        <v>991</v>
      </c>
      <c r="W452" s="761" t="s">
        <v>3819</v>
      </c>
      <c r="X452" s="1299">
        <v>0</v>
      </c>
      <c r="Y452" s="809" t="s">
        <v>966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961</v>
      </c>
      <c r="BM452" s="1881" t="s">
        <v>961</v>
      </c>
      <c r="BN452" s="1881" t="s">
        <v>961</v>
      </c>
      <c r="BO452" s="1881" t="s">
        <v>961</v>
      </c>
      <c r="BP452" s="784" t="s">
        <v>961</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1003</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963</v>
      </c>
      <c r="S453" s="761"/>
      <c r="T453" s="784"/>
      <c r="U453" s="761" t="s">
        <v>1923</v>
      </c>
      <c r="V453" s="761" t="s">
        <v>987</v>
      </c>
      <c r="W453" s="761" t="s">
        <v>3824</v>
      </c>
      <c r="X453" s="1299">
        <v>0</v>
      </c>
      <c r="Y453" s="809" t="s">
        <v>978</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1003</v>
      </c>
      <c r="B454" s="761">
        <v>448</v>
      </c>
      <c r="C454" s="777" t="s">
        <v>3830</v>
      </c>
      <c r="D454" s="761" t="s">
        <v>3831</v>
      </c>
      <c r="E454" s="761" t="s">
        <v>1936</v>
      </c>
      <c r="F454" s="773" t="s">
        <v>3832</v>
      </c>
      <c r="G454" s="778" t="s">
        <v>1016</v>
      </c>
      <c r="H454" s="779" t="s">
        <v>3833</v>
      </c>
      <c r="I454" s="780"/>
      <c r="J454" s="781"/>
      <c r="K454" s="781">
        <v>1</v>
      </c>
      <c r="L454" s="781"/>
      <c r="M454" s="781"/>
      <c r="N454" s="781"/>
      <c r="O454" s="781"/>
      <c r="P454" s="782"/>
      <c r="Q454" s="783">
        <f t="shared" si="6"/>
        <v>1</v>
      </c>
      <c r="R454" s="777" t="s">
        <v>984</v>
      </c>
      <c r="S454" s="761" t="s">
        <v>964</v>
      </c>
      <c r="T454" s="784" t="s">
        <v>965</v>
      </c>
      <c r="U454" s="761" t="s">
        <v>2114</v>
      </c>
      <c r="V454" s="761" t="s">
        <v>293</v>
      </c>
      <c r="W454" s="761" t="s">
        <v>3834</v>
      </c>
      <c r="X454" s="1300">
        <v>2</v>
      </c>
      <c r="Y454" s="809" t="s">
        <v>966</v>
      </c>
      <c r="Z454" s="778" t="s">
        <v>1016</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customHeight="1">
      <c r="A455" s="760" t="s">
        <v>1003</v>
      </c>
      <c r="B455" s="761">
        <v>449</v>
      </c>
      <c r="C455" s="777" t="s">
        <v>3835</v>
      </c>
      <c r="D455" s="761" t="s">
        <v>3831</v>
      </c>
      <c r="E455" s="761" t="s">
        <v>1920</v>
      </c>
      <c r="F455" s="773" t="s">
        <v>3836</v>
      </c>
      <c r="G455" s="778" t="s">
        <v>693</v>
      </c>
      <c r="H455" s="779" t="s">
        <v>3837</v>
      </c>
      <c r="I455" s="780"/>
      <c r="J455" s="781"/>
      <c r="K455" s="781">
        <v>1</v>
      </c>
      <c r="L455" s="781"/>
      <c r="M455" s="781"/>
      <c r="N455" s="781"/>
      <c r="O455" s="781"/>
      <c r="P455" s="782"/>
      <c r="Q455" s="783">
        <f t="shared" si="6"/>
        <v>1</v>
      </c>
      <c r="R455" s="777" t="s">
        <v>988</v>
      </c>
      <c r="S455" s="761" t="s">
        <v>964</v>
      </c>
      <c r="T455" s="784" t="s">
        <v>965</v>
      </c>
      <c r="U455" s="761" t="s">
        <v>1949</v>
      </c>
      <c r="V455" s="761" t="s">
        <v>991</v>
      </c>
      <c r="W455" s="761" t="s">
        <v>3783</v>
      </c>
      <c r="X455" s="1300">
        <v>2</v>
      </c>
      <c r="Y455" s="809" t="s">
        <v>978</v>
      </c>
      <c r="Z455" s="778" t="s">
        <v>693</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customHeight="1">
      <c r="A456" s="760" t="s">
        <v>1003</v>
      </c>
      <c r="B456" s="761">
        <v>450</v>
      </c>
      <c r="C456" s="777" t="s">
        <v>3838</v>
      </c>
      <c r="D456" s="761" t="s">
        <v>3831</v>
      </c>
      <c r="E456" s="761" t="s">
        <v>1936</v>
      </c>
      <c r="F456" s="773" t="s">
        <v>3839</v>
      </c>
      <c r="G456" s="778" t="s">
        <v>687</v>
      </c>
      <c r="H456" s="779" t="s">
        <v>3840</v>
      </c>
      <c r="I456" s="780"/>
      <c r="J456" s="781"/>
      <c r="K456" s="781">
        <v>1</v>
      </c>
      <c r="L456" s="781"/>
      <c r="M456" s="781"/>
      <c r="N456" s="781"/>
      <c r="O456" s="781"/>
      <c r="P456" s="782"/>
      <c r="Q456" s="783">
        <f t="shared" si="6"/>
        <v>1</v>
      </c>
      <c r="R456" s="777" t="s">
        <v>988</v>
      </c>
      <c r="S456" s="761" t="s">
        <v>964</v>
      </c>
      <c r="T456" s="784" t="s">
        <v>965</v>
      </c>
      <c r="U456" s="761" t="s">
        <v>2087</v>
      </c>
      <c r="V456" s="761" t="s">
        <v>991</v>
      </c>
      <c r="W456" s="761" t="s">
        <v>3504</v>
      </c>
      <c r="X456" s="1300">
        <v>2</v>
      </c>
      <c r="Y456" s="807" t="s">
        <v>978</v>
      </c>
      <c r="Z456" s="778" t="s">
        <v>687</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customHeight="1">
      <c r="A457" s="760" t="s">
        <v>1003</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988</v>
      </c>
      <c r="S457" s="761" t="s">
        <v>964</v>
      </c>
      <c r="T457" s="784" t="s">
        <v>965</v>
      </c>
      <c r="U457" s="761" t="s">
        <v>2087</v>
      </c>
      <c r="V457" s="761" t="s">
        <v>991</v>
      </c>
      <c r="W457" s="761" t="s">
        <v>410</v>
      </c>
      <c r="X457" s="1299">
        <v>0</v>
      </c>
      <c r="Y457" s="807" t="s">
        <v>978</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961</v>
      </c>
      <c r="BM457" s="773" t="s">
        <v>961</v>
      </c>
      <c r="BN457" s="773" t="s">
        <v>961</v>
      </c>
      <c r="BO457" s="773" t="s">
        <v>961</v>
      </c>
      <c r="BP457" s="784" t="s">
        <v>961</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1003</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984</v>
      </c>
      <c r="S458" s="761" t="s">
        <v>964</v>
      </c>
      <c r="T458" s="784" t="s">
        <v>965</v>
      </c>
      <c r="U458" s="761" t="s">
        <v>2321</v>
      </c>
      <c r="V458" s="761" t="s">
        <v>293</v>
      </c>
      <c r="W458" s="761" t="s">
        <v>3849</v>
      </c>
      <c r="X458" s="1299">
        <v>1</v>
      </c>
      <c r="Y458" s="807" t="s">
        <v>966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961</v>
      </c>
      <c r="BM458" s="773" t="s">
        <v>961</v>
      </c>
      <c r="BN458" s="773" t="s">
        <v>961</v>
      </c>
      <c r="BO458" s="773" t="s">
        <v>961</v>
      </c>
      <c r="BP458" s="784" t="s">
        <v>961</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1003</v>
      </c>
      <c r="B459" s="761">
        <v>453</v>
      </c>
      <c r="C459" s="777" t="s">
        <v>3850</v>
      </c>
      <c r="D459" s="761" t="s">
        <v>3851</v>
      </c>
      <c r="E459" s="761" t="s">
        <v>1936</v>
      </c>
      <c r="F459" s="773" t="s">
        <v>3852</v>
      </c>
      <c r="G459" s="778" t="s">
        <v>778</v>
      </c>
      <c r="H459" s="779" t="s">
        <v>3853</v>
      </c>
      <c r="I459" s="780"/>
      <c r="J459" s="781"/>
      <c r="K459" s="781">
        <v>1</v>
      </c>
      <c r="L459" s="781"/>
      <c r="M459" s="781"/>
      <c r="N459" s="781"/>
      <c r="O459" s="781"/>
      <c r="P459" s="782"/>
      <c r="Q459" s="783">
        <f t="shared" si="7"/>
        <v>1</v>
      </c>
      <c r="R459" s="777" t="s">
        <v>963</v>
      </c>
      <c r="S459" s="761"/>
      <c r="T459" s="784"/>
      <c r="U459" s="761" t="s">
        <v>2087</v>
      </c>
      <c r="V459" s="761" t="s">
        <v>293</v>
      </c>
      <c r="W459" s="761" t="s">
        <v>1061</v>
      </c>
      <c r="X459" s="1299">
        <v>2</v>
      </c>
      <c r="Y459" s="809" t="s">
        <v>978</v>
      </c>
      <c r="Z459" s="778" t="s">
        <v>778</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customHeight="1">
      <c r="A460" s="760" t="s">
        <v>1003</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988</v>
      </c>
      <c r="S460" s="761" t="s">
        <v>964</v>
      </c>
      <c r="T460" s="784" t="s">
        <v>977</v>
      </c>
      <c r="U460" s="761" t="s">
        <v>1939</v>
      </c>
      <c r="V460" s="761" t="s">
        <v>2204</v>
      </c>
      <c r="W460" s="761" t="s">
        <v>3857</v>
      </c>
      <c r="X460" s="1300">
        <v>2</v>
      </c>
      <c r="Y460" s="807" t="s">
        <v>966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961</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1003</v>
      </c>
      <c r="B461" s="761">
        <v>455</v>
      </c>
      <c r="C461" s="777" t="s">
        <v>3858</v>
      </c>
      <c r="D461" s="761" t="s">
        <v>3851</v>
      </c>
      <c r="E461" s="761" t="s">
        <v>1936</v>
      </c>
      <c r="F461" s="773" t="s">
        <v>3859</v>
      </c>
      <c r="G461" s="778" t="s">
        <v>499</v>
      </c>
      <c r="H461" s="779" t="s">
        <v>3860</v>
      </c>
      <c r="I461" s="780">
        <v>0.01</v>
      </c>
      <c r="J461" s="781">
        <v>0.99</v>
      </c>
      <c r="K461" s="781"/>
      <c r="L461" s="781"/>
      <c r="M461" s="781"/>
      <c r="N461" s="781"/>
      <c r="O461" s="781"/>
      <c r="P461" s="782"/>
      <c r="Q461" s="783">
        <f t="shared" si="7"/>
        <v>1</v>
      </c>
      <c r="R461" s="777" t="s">
        <v>963</v>
      </c>
      <c r="S461" s="761"/>
      <c r="T461" s="784"/>
      <c r="U461" s="761" t="s">
        <v>1939</v>
      </c>
      <c r="V461" s="761" t="s">
        <v>293</v>
      </c>
      <c r="W461" s="761" t="s">
        <v>1061</v>
      </c>
      <c r="X461" s="1300">
        <v>1</v>
      </c>
      <c r="Y461" s="809" t="s">
        <v>978</v>
      </c>
      <c r="Z461" s="778" t="s">
        <v>499</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customHeight="1">
      <c r="A462" s="760" t="s">
        <v>1003</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984</v>
      </c>
      <c r="S462" s="761" t="s">
        <v>964</v>
      </c>
      <c r="T462" s="784" t="s">
        <v>965</v>
      </c>
      <c r="U462" s="761" t="s">
        <v>2536</v>
      </c>
      <c r="V462" s="761" t="s">
        <v>1039</v>
      </c>
      <c r="W462" s="761" t="s">
        <v>3865</v>
      </c>
      <c r="X462" s="1299">
        <v>0</v>
      </c>
      <c r="Y462" s="809" t="s">
        <v>966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961</v>
      </c>
      <c r="BM462" s="773" t="s">
        <v>961</v>
      </c>
      <c r="BN462" s="773" t="s">
        <v>961</v>
      </c>
      <c r="BO462" s="773" t="s">
        <v>961</v>
      </c>
      <c r="BP462" s="784" t="s">
        <v>961</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1003</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984</v>
      </c>
      <c r="S463" s="761" t="s">
        <v>964</v>
      </c>
      <c r="T463" s="784" t="s">
        <v>977</v>
      </c>
      <c r="U463" s="761" t="s">
        <v>1939</v>
      </c>
      <c r="V463" s="761" t="s">
        <v>991</v>
      </c>
      <c r="W463" s="761" t="s">
        <v>2701</v>
      </c>
      <c r="X463" s="1299">
        <v>0</v>
      </c>
      <c r="Y463" s="809" t="s">
        <v>966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961</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1003</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984</v>
      </c>
      <c r="S464" s="761" t="s">
        <v>964</v>
      </c>
      <c r="T464" s="784" t="s">
        <v>977</v>
      </c>
      <c r="U464" s="761" t="s">
        <v>3874</v>
      </c>
      <c r="V464" s="761" t="s">
        <v>293</v>
      </c>
      <c r="W464" s="761" t="s">
        <v>3875</v>
      </c>
      <c r="X464" s="1299">
        <v>1</v>
      </c>
      <c r="Y464" s="809" t="s">
        <v>966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961</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973</v>
      </c>
      <c r="DD464" s="801">
        <v>1</v>
      </c>
      <c r="DE464" s="802"/>
    </row>
    <row r="465" spans="1:109" ht="15.75" customHeight="1">
      <c r="A465" s="760" t="s">
        <v>1003</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984</v>
      </c>
      <c r="S465" s="761" t="s">
        <v>964</v>
      </c>
      <c r="T465" s="784" t="s">
        <v>977</v>
      </c>
      <c r="U465" s="761" t="s">
        <v>3874</v>
      </c>
      <c r="V465" s="761" t="s">
        <v>2147</v>
      </c>
      <c r="W465" s="761"/>
      <c r="X465" s="1299">
        <v>1</v>
      </c>
      <c r="Y465" s="809" t="s">
        <v>966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961</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1003</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984</v>
      </c>
      <c r="S466" s="761" t="s">
        <v>964</v>
      </c>
      <c r="T466" s="784" t="s">
        <v>965</v>
      </c>
      <c r="U466" s="761" t="s">
        <v>2781</v>
      </c>
      <c r="V466" s="761" t="s">
        <v>1030</v>
      </c>
      <c r="W466" s="761" t="s">
        <v>3884</v>
      </c>
      <c r="X466" s="1299">
        <v>0</v>
      </c>
      <c r="Y466" s="809" t="s">
        <v>978</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961</v>
      </c>
      <c r="BM466" s="773" t="s">
        <v>961</v>
      </c>
      <c r="BN466" s="773" t="s">
        <v>961</v>
      </c>
      <c r="BO466" s="773" t="s">
        <v>961</v>
      </c>
      <c r="BP466" s="784" t="s">
        <v>961</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973</v>
      </c>
      <c r="DD466" s="801">
        <v>1</v>
      </c>
      <c r="DE466" s="802"/>
    </row>
    <row r="467" spans="1:109" ht="15.75" customHeight="1">
      <c r="A467" s="760" t="s">
        <v>1003</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964</v>
      </c>
      <c r="T467" s="784" t="s">
        <v>965</v>
      </c>
      <c r="U467" s="761" t="s">
        <v>2781</v>
      </c>
      <c r="V467" s="761" t="s">
        <v>293</v>
      </c>
      <c r="W467" s="761" t="s">
        <v>3889</v>
      </c>
      <c r="X467" s="1299">
        <v>2</v>
      </c>
      <c r="Y467" s="814" t="s">
        <v>978</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961</v>
      </c>
      <c r="BM467" s="773" t="s">
        <v>961</v>
      </c>
      <c r="BN467" s="773" t="s">
        <v>961</v>
      </c>
      <c r="BO467" s="773" t="s">
        <v>961</v>
      </c>
      <c r="BP467" s="784" t="s">
        <v>961</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973</v>
      </c>
      <c r="DD467" s="801">
        <v>1</v>
      </c>
      <c r="DE467" s="802"/>
    </row>
    <row r="468" spans="1:109" ht="15.75" customHeight="1">
      <c r="A468" s="760" t="s">
        <v>1003</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963</v>
      </c>
      <c r="S468" s="761"/>
      <c r="T468" s="784"/>
      <c r="U468" s="761" t="s">
        <v>2058</v>
      </c>
      <c r="V468" s="761" t="s">
        <v>991</v>
      </c>
      <c r="W468" s="761" t="s">
        <v>3894</v>
      </c>
      <c r="X468" s="1299">
        <v>0</v>
      </c>
      <c r="Y468" s="807" t="s">
        <v>966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1003</v>
      </c>
      <c r="B469" s="761">
        <v>463</v>
      </c>
      <c r="C469" s="777" t="s">
        <v>3895</v>
      </c>
      <c r="D469" s="761" t="s">
        <v>3880</v>
      </c>
      <c r="E469" s="761" t="s">
        <v>1920</v>
      </c>
      <c r="F469" s="773" t="s">
        <v>3896</v>
      </c>
      <c r="G469" s="778" t="s">
        <v>689</v>
      </c>
      <c r="H469" s="779" t="s">
        <v>3897</v>
      </c>
      <c r="I469" s="780"/>
      <c r="J469" s="781"/>
      <c r="K469" s="781">
        <v>1</v>
      </c>
      <c r="L469" s="781"/>
      <c r="M469" s="781"/>
      <c r="N469" s="781"/>
      <c r="O469" s="781"/>
      <c r="P469" s="782"/>
      <c r="Q469" s="783">
        <f t="shared" si="7"/>
        <v>1</v>
      </c>
      <c r="R469" s="777" t="s">
        <v>984</v>
      </c>
      <c r="S469" s="761" t="s">
        <v>964</v>
      </c>
      <c r="T469" s="784" t="s">
        <v>965</v>
      </c>
      <c r="U469" s="761" t="s">
        <v>689</v>
      </c>
      <c r="V469" s="761" t="s">
        <v>991</v>
      </c>
      <c r="W469" s="761" t="s">
        <v>3898</v>
      </c>
      <c r="X469" s="1300">
        <v>2</v>
      </c>
      <c r="Y469" s="807" t="s">
        <v>978</v>
      </c>
      <c r="Z469" s="778" t="s">
        <v>689</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customHeight="1">
      <c r="A470" s="760" t="s">
        <v>1003</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984</v>
      </c>
      <c r="S470" s="761" t="s">
        <v>964</v>
      </c>
      <c r="T470" s="784" t="s">
        <v>965</v>
      </c>
      <c r="U470" s="761"/>
      <c r="V470" s="1237" t="s">
        <v>991</v>
      </c>
      <c r="W470" s="761"/>
      <c r="X470" s="1299">
        <v>0</v>
      </c>
      <c r="Y470" s="786" t="s">
        <v>966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961</v>
      </c>
      <c r="BM470" s="915" t="s">
        <v>961</v>
      </c>
      <c r="BN470" s="915" t="s">
        <v>961</v>
      </c>
      <c r="BO470" s="915" t="s">
        <v>961</v>
      </c>
      <c r="BP470" s="784" t="s">
        <v>961</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1003</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984</v>
      </c>
      <c r="S471" s="761" t="s">
        <v>964</v>
      </c>
      <c r="T471" s="784" t="s">
        <v>965</v>
      </c>
      <c r="U471" s="761" t="s">
        <v>711</v>
      </c>
      <c r="V471" s="761" t="s">
        <v>293</v>
      </c>
      <c r="W471" s="761" t="s">
        <v>1061</v>
      </c>
      <c r="X471" s="1299">
        <v>1</v>
      </c>
      <c r="Y471" s="786" t="s">
        <v>966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961</v>
      </c>
      <c r="BM471" s="773" t="s">
        <v>961</v>
      </c>
      <c r="BN471" s="773" t="s">
        <v>961</v>
      </c>
      <c r="BO471" s="773" t="s">
        <v>961</v>
      </c>
      <c r="BP471" s="784" t="s">
        <v>961</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1003</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984</v>
      </c>
      <c r="S472" s="761" t="s">
        <v>964</v>
      </c>
      <c r="T472" s="784" t="s">
        <v>965</v>
      </c>
      <c r="U472" s="761" t="s">
        <v>1939</v>
      </c>
      <c r="V472" s="1237" t="s">
        <v>991</v>
      </c>
      <c r="W472" s="761" t="s">
        <v>3911</v>
      </c>
      <c r="X472" s="1299">
        <v>0</v>
      </c>
      <c r="Y472" s="786" t="s">
        <v>978</v>
      </c>
      <c r="Z472" s="778"/>
      <c r="AA472" s="773"/>
      <c r="AB472" s="773"/>
      <c r="AC472" s="773"/>
      <c r="AD472" s="773"/>
      <c r="AE472" s="773"/>
      <c r="AF472" s="787"/>
      <c r="AG472" s="788"/>
      <c r="AH472" s="788"/>
      <c r="AI472" s="788"/>
      <c r="AJ472" s="788"/>
      <c r="AK472" s="788"/>
      <c r="AL472" s="788"/>
      <c r="AM472" s="788"/>
      <c r="AN472" s="788"/>
      <c r="AO472" s="788"/>
      <c r="AP472" s="788"/>
      <c r="AQ472" s="796" t="s">
        <v>874</v>
      </c>
      <c r="AR472" s="788" t="s">
        <v>874</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961</v>
      </c>
      <c r="BM472" s="773" t="s">
        <v>961</v>
      </c>
      <c r="BN472" s="773" t="s">
        <v>961</v>
      </c>
      <c r="BO472" s="773" t="s">
        <v>961</v>
      </c>
      <c r="BP472" s="784" t="s">
        <v>961</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973</v>
      </c>
      <c r="DD472" s="801">
        <v>1</v>
      </c>
      <c r="DE472" s="802"/>
    </row>
    <row r="473" spans="1:109" ht="15.75" customHeight="1">
      <c r="A473" s="760" t="s">
        <v>1003</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963</v>
      </c>
      <c r="S473" s="761"/>
      <c r="T473" s="784"/>
      <c r="U473" s="761" t="s">
        <v>2423</v>
      </c>
      <c r="V473" s="761" t="s">
        <v>1039</v>
      </c>
      <c r="W473" s="761" t="s">
        <v>3916</v>
      </c>
      <c r="X473" s="1299">
        <v>1</v>
      </c>
      <c r="Y473" s="786" t="s">
        <v>966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1003</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984</v>
      </c>
      <c r="S474" s="761" t="s">
        <v>964</v>
      </c>
      <c r="T474" s="784" t="s">
        <v>965</v>
      </c>
      <c r="U474" s="761" t="s">
        <v>2264</v>
      </c>
      <c r="V474" s="761" t="s">
        <v>1030</v>
      </c>
      <c r="W474" s="761" t="s">
        <v>3921</v>
      </c>
      <c r="X474" s="1299">
        <v>0</v>
      </c>
      <c r="Y474" s="786" t="s">
        <v>978</v>
      </c>
      <c r="Z474" s="778"/>
      <c r="AA474" s="773"/>
      <c r="AB474" s="773"/>
      <c r="AC474" s="773"/>
      <c r="AD474" s="773"/>
      <c r="AE474" s="773"/>
      <c r="AF474" s="787"/>
      <c r="AG474" s="788"/>
      <c r="AH474" s="788"/>
      <c r="AI474" s="788"/>
      <c r="AJ474" s="788"/>
      <c r="AK474" s="788"/>
      <c r="AL474" s="788"/>
      <c r="AM474" s="788"/>
      <c r="AN474" s="788"/>
      <c r="AO474" s="788"/>
      <c r="AP474" s="788"/>
      <c r="AQ474" s="796" t="s">
        <v>874</v>
      </c>
      <c r="AR474" s="788" t="s">
        <v>874</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961</v>
      </c>
      <c r="BM474" s="773" t="s">
        <v>961</v>
      </c>
      <c r="BN474" s="773" t="s">
        <v>961</v>
      </c>
      <c r="BO474" s="773" t="s">
        <v>961</v>
      </c>
      <c r="BP474" s="784" t="s">
        <v>961</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973</v>
      </c>
      <c r="DD474" s="801">
        <v>1</v>
      </c>
      <c r="DE474" s="802"/>
    </row>
    <row r="475" spans="1:109" ht="15.75" customHeight="1">
      <c r="A475" s="760" t="s">
        <v>1003</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963</v>
      </c>
      <c r="S475" s="761"/>
      <c r="T475" s="784"/>
      <c r="U475" s="761"/>
      <c r="V475" s="761" t="s">
        <v>293</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1003</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963</v>
      </c>
      <c r="S476" s="761"/>
      <c r="T476" s="784"/>
      <c r="U476" s="761"/>
      <c r="V476" s="761" t="s">
        <v>141</v>
      </c>
      <c r="W476" s="761"/>
      <c r="X476" s="1299">
        <v>1</v>
      </c>
      <c r="Y476" s="786" t="s">
        <v>966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961</v>
      </c>
      <c r="BM476" s="773" t="s">
        <v>961</v>
      </c>
      <c r="BN476" s="773" t="s">
        <v>961</v>
      </c>
      <c r="BO476" s="773" t="s">
        <v>961</v>
      </c>
      <c r="BP476" s="784" t="s">
        <v>961</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1003</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988</v>
      </c>
      <c r="S477" s="761" t="s">
        <v>964</v>
      </c>
      <c r="T477" s="784" t="s">
        <v>965</v>
      </c>
      <c r="U477" s="761" t="s">
        <v>2008</v>
      </c>
      <c r="V477" s="761" t="s">
        <v>991</v>
      </c>
      <c r="W477" s="761" t="s">
        <v>2338</v>
      </c>
      <c r="X477" s="1299">
        <v>1</v>
      </c>
      <c r="Y477" s="807" t="s">
        <v>978</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961</v>
      </c>
      <c r="BM477" s="773" t="s">
        <v>961</v>
      </c>
      <c r="BN477" s="773" t="s">
        <v>961</v>
      </c>
      <c r="BO477" s="773" t="s">
        <v>961</v>
      </c>
      <c r="BP477" s="784" t="s">
        <v>961</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1003</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988</v>
      </c>
      <c r="S478" s="761" t="s">
        <v>964</v>
      </c>
      <c r="T478" s="784" t="s">
        <v>977</v>
      </c>
      <c r="U478" s="761" t="s">
        <v>2315</v>
      </c>
      <c r="V478" s="761" t="s">
        <v>991</v>
      </c>
      <c r="W478" s="761" t="s">
        <v>3936</v>
      </c>
      <c r="X478" s="1299">
        <v>0</v>
      </c>
      <c r="Y478" s="807" t="s">
        <v>966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961</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1003</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984</v>
      </c>
      <c r="S479" s="761" t="s">
        <v>964</v>
      </c>
      <c r="T479" s="784" t="s">
        <v>965</v>
      </c>
      <c r="U479" s="761" t="s">
        <v>1996</v>
      </c>
      <c r="V479" s="761" t="s">
        <v>991</v>
      </c>
      <c r="W479" s="761" t="s">
        <v>3941</v>
      </c>
      <c r="X479" s="1299">
        <v>0</v>
      </c>
      <c r="Y479" s="810" t="s">
        <v>966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961</v>
      </c>
      <c r="BM479" s="773" t="s">
        <v>961</v>
      </c>
      <c r="BN479" s="773" t="s">
        <v>961</v>
      </c>
      <c r="BO479" s="773" t="s">
        <v>961</v>
      </c>
      <c r="BP479" s="784" t="s">
        <v>961</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1003</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988</v>
      </c>
      <c r="S480" s="761" t="s">
        <v>964</v>
      </c>
      <c r="T480" s="784" t="s">
        <v>965</v>
      </c>
      <c r="U480" s="761" t="s">
        <v>2161</v>
      </c>
      <c r="V480" s="761" t="s">
        <v>991</v>
      </c>
      <c r="W480" s="761" t="s">
        <v>3946</v>
      </c>
      <c r="X480" s="1299">
        <v>0</v>
      </c>
      <c r="Y480" s="814" t="s">
        <v>966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961</v>
      </c>
      <c r="BM480" s="773" t="s">
        <v>961</v>
      </c>
      <c r="BN480" s="773" t="s">
        <v>961</v>
      </c>
      <c r="BO480" s="773" t="s">
        <v>961</v>
      </c>
      <c r="BP480" s="784" t="s">
        <v>961</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1003</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963</v>
      </c>
      <c r="S481" s="761"/>
      <c r="T481" s="784"/>
      <c r="U481" s="761" t="s">
        <v>2135</v>
      </c>
      <c r="V481" s="761" t="s">
        <v>293</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1003</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975</v>
      </c>
      <c r="S482" s="761" t="s">
        <v>964</v>
      </c>
      <c r="T482" s="784" t="s">
        <v>965</v>
      </c>
      <c r="U482" s="761" t="s">
        <v>2781</v>
      </c>
      <c r="V482" s="761" t="s">
        <v>991</v>
      </c>
      <c r="W482" s="761" t="s">
        <v>3956</v>
      </c>
      <c r="X482" s="1299">
        <v>0</v>
      </c>
      <c r="Y482" s="814" t="s">
        <v>966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961</v>
      </c>
      <c r="BM482" s="773" t="s">
        <v>961</v>
      </c>
      <c r="BN482" s="773" t="s">
        <v>961</v>
      </c>
      <c r="BO482" s="773" t="s">
        <v>961</v>
      </c>
      <c r="BP482" s="784" t="s">
        <v>961</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973</v>
      </c>
      <c r="DD482" s="801"/>
      <c r="DE482" s="802"/>
    </row>
    <row r="483" spans="1:109" ht="15.75" customHeight="1">
      <c r="A483" s="760" t="s">
        <v>1003</v>
      </c>
      <c r="B483" s="761">
        <v>477</v>
      </c>
      <c r="C483" s="777" t="s">
        <v>3957</v>
      </c>
      <c r="D483" s="761" t="s">
        <v>3764</v>
      </c>
      <c r="E483" s="761" t="s">
        <v>1936</v>
      </c>
      <c r="F483" s="773" t="s">
        <v>3958</v>
      </c>
      <c r="G483" s="778" t="s">
        <v>658</v>
      </c>
      <c r="H483" s="779" t="s">
        <v>3959</v>
      </c>
      <c r="I483" s="780"/>
      <c r="J483" s="781"/>
      <c r="K483" s="781"/>
      <c r="L483" s="781"/>
      <c r="M483" s="781">
        <v>1</v>
      </c>
      <c r="N483" s="781"/>
      <c r="O483" s="781"/>
      <c r="P483" s="782"/>
      <c r="Q483" s="783">
        <f t="shared" si="7"/>
        <v>1</v>
      </c>
      <c r="R483" s="777" t="s">
        <v>963</v>
      </c>
      <c r="S483" s="761"/>
      <c r="T483" s="784"/>
      <c r="U483" s="761" t="s">
        <v>2058</v>
      </c>
      <c r="V483" s="761" t="s">
        <v>293</v>
      </c>
      <c r="W483" s="761" t="s">
        <v>3960</v>
      </c>
      <c r="X483" s="1300">
        <v>1</v>
      </c>
      <c r="Y483" s="809" t="s">
        <v>966</v>
      </c>
      <c r="Z483" s="778" t="s">
        <v>658</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customHeight="1">
      <c r="A484" s="760" t="s">
        <v>1003</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963</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1003</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984</v>
      </c>
      <c r="S485" s="761" t="s">
        <v>964</v>
      </c>
      <c r="T485" s="784" t="s">
        <v>977</v>
      </c>
      <c r="U485" s="761"/>
      <c r="V485" s="1237" t="s">
        <v>991</v>
      </c>
      <c r="W485" s="761"/>
      <c r="X485" s="1299">
        <v>0</v>
      </c>
      <c r="Y485" s="809" t="s">
        <v>966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961</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1003</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984</v>
      </c>
      <c r="S486" s="761" t="s">
        <v>964</v>
      </c>
      <c r="T486" s="784" t="s">
        <v>977</v>
      </c>
      <c r="U486" s="761"/>
      <c r="V486" s="1237" t="s">
        <v>991</v>
      </c>
      <c r="W486" s="761"/>
      <c r="X486" s="1299">
        <v>0</v>
      </c>
      <c r="Y486" s="809" t="s">
        <v>966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961</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1003</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963</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1003</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963</v>
      </c>
      <c r="S488" s="761"/>
      <c r="T488" s="784"/>
      <c r="U488" s="761"/>
      <c r="V488" s="761" t="s">
        <v>293</v>
      </c>
      <c r="W488" s="761" t="s">
        <v>2717</v>
      </c>
      <c r="X488" s="1299">
        <v>0</v>
      </c>
      <c r="Y488" s="807" t="s">
        <v>966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1003</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963</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1003</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988</v>
      </c>
      <c r="S490" s="761" t="s">
        <v>964</v>
      </c>
      <c r="T490" s="784" t="s">
        <v>977</v>
      </c>
      <c r="U490" s="761"/>
      <c r="V490" s="761" t="s">
        <v>2721</v>
      </c>
      <c r="W490" s="761"/>
      <c r="X490" s="1299">
        <v>0</v>
      </c>
      <c r="Y490" s="807" t="s">
        <v>966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961</v>
      </c>
      <c r="BM490" s="773" t="s">
        <v>961</v>
      </c>
      <c r="BN490" s="773" t="s">
        <v>961</v>
      </c>
      <c r="BO490" s="773" t="s">
        <v>961</v>
      </c>
      <c r="BP490" s="784" t="s">
        <v>961</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1008</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984</v>
      </c>
      <c r="S491" s="761" t="s">
        <v>964</v>
      </c>
      <c r="T491" s="784" t="s">
        <v>965</v>
      </c>
      <c r="U491" s="761" t="s">
        <v>1955</v>
      </c>
      <c r="V491" s="761" t="s">
        <v>1039</v>
      </c>
      <c r="W491" s="761" t="s">
        <v>3985</v>
      </c>
      <c r="X491" s="817">
        <v>2</v>
      </c>
      <c r="Y491" s="807" t="s">
        <v>978</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customHeight="1">
      <c r="A492" s="760" t="s">
        <v>1008</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988</v>
      </c>
      <c r="S492" s="761" t="s">
        <v>964</v>
      </c>
      <c r="T492" s="784" t="s">
        <v>965</v>
      </c>
      <c r="U492" s="761" t="s">
        <v>2178</v>
      </c>
      <c r="V492" s="761" t="s">
        <v>991</v>
      </c>
      <c r="W492" s="761" t="s">
        <v>3990</v>
      </c>
      <c r="X492" s="817">
        <v>1</v>
      </c>
      <c r="Y492" s="807" t="s">
        <v>978</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961</v>
      </c>
      <c r="BM492" s="773" t="s">
        <v>961</v>
      </c>
      <c r="BN492" s="773" t="s">
        <v>961</v>
      </c>
      <c r="BO492" s="773" t="s">
        <v>961</v>
      </c>
      <c r="BP492" s="784" t="s">
        <v>961</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1008</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988</v>
      </c>
      <c r="S493" s="761" t="s">
        <v>964</v>
      </c>
      <c r="T493" s="784" t="s">
        <v>965</v>
      </c>
      <c r="U493" s="761" t="s">
        <v>1955</v>
      </c>
      <c r="V493" s="761" t="s">
        <v>991</v>
      </c>
      <c r="W493" s="761" t="s">
        <v>3995</v>
      </c>
      <c r="X493" s="817">
        <v>0</v>
      </c>
      <c r="Y493" s="807" t="s">
        <v>966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961</v>
      </c>
      <c r="BM493" s="773" t="s">
        <v>961</v>
      </c>
      <c r="BN493" s="773" t="s">
        <v>961</v>
      </c>
      <c r="BO493" s="773" t="s">
        <v>961</v>
      </c>
      <c r="BP493" s="784" t="s">
        <v>961</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1982"/>
      <c r="CL493" s="1983"/>
      <c r="CM493" s="1983"/>
      <c r="CN493" s="1983"/>
      <c r="CO493" s="1984">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973</v>
      </c>
      <c r="DD493" s="801">
        <v>1</v>
      </c>
      <c r="DE493" s="802" t="s">
        <v>3996</v>
      </c>
    </row>
    <row r="494" spans="1:109" ht="15.75" customHeight="1">
      <c r="A494" s="760" t="s">
        <v>1008</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988</v>
      </c>
      <c r="S494" s="761" t="s">
        <v>964</v>
      </c>
      <c r="T494" s="784" t="s">
        <v>965</v>
      </c>
      <c r="U494" s="761" t="s">
        <v>2423</v>
      </c>
      <c r="V494" s="761" t="s">
        <v>293</v>
      </c>
      <c r="W494" s="761" t="s">
        <v>4001</v>
      </c>
      <c r="X494" s="817">
        <v>1</v>
      </c>
      <c r="Y494" s="809" t="s">
        <v>966</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961</v>
      </c>
      <c r="BM494" s="773" t="s">
        <v>961</v>
      </c>
      <c r="BN494" s="773" t="s">
        <v>961</v>
      </c>
      <c r="BO494" s="773" t="s">
        <v>961</v>
      </c>
      <c r="BP494" s="784" t="s">
        <v>961</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1008</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975</v>
      </c>
      <c r="S495" s="761" t="s">
        <v>964</v>
      </c>
      <c r="T495" s="784" t="s">
        <v>965</v>
      </c>
      <c r="U495" s="761" t="s">
        <v>2178</v>
      </c>
      <c r="V495" s="761" t="s">
        <v>991</v>
      </c>
      <c r="W495" s="761" t="s">
        <v>4006</v>
      </c>
      <c r="X495" s="817">
        <v>2</v>
      </c>
      <c r="Y495" s="809" t="s">
        <v>966</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961</v>
      </c>
      <c r="BM495" s="773" t="s">
        <v>961</v>
      </c>
      <c r="BN495" s="773" t="s">
        <v>961</v>
      </c>
      <c r="BO495" s="773" t="s">
        <v>961</v>
      </c>
      <c r="BP495" s="784" t="s">
        <v>961</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1008</v>
      </c>
      <c r="B496" s="761">
        <v>490</v>
      </c>
      <c r="C496" s="916" t="s">
        <v>4007</v>
      </c>
      <c r="D496" s="761" t="s">
        <v>4008</v>
      </c>
      <c r="E496" s="761" t="s">
        <v>1920</v>
      </c>
      <c r="F496" s="773" t="s">
        <v>4009</v>
      </c>
      <c r="G496" s="778" t="s">
        <v>629</v>
      </c>
      <c r="H496" s="779" t="s">
        <v>3984</v>
      </c>
      <c r="I496" s="780"/>
      <c r="J496" s="781">
        <v>1</v>
      </c>
      <c r="K496" s="781"/>
      <c r="L496" s="781"/>
      <c r="M496" s="781"/>
      <c r="N496" s="781"/>
      <c r="O496" s="781"/>
      <c r="P496" s="782"/>
      <c r="Q496" s="783">
        <f t="shared" si="7"/>
        <v>1</v>
      </c>
      <c r="R496" s="777" t="s">
        <v>988</v>
      </c>
      <c r="S496" s="761" t="s">
        <v>964</v>
      </c>
      <c r="T496" s="784" t="s">
        <v>965</v>
      </c>
      <c r="U496" s="761" t="s">
        <v>629</v>
      </c>
      <c r="V496" s="761" t="s">
        <v>293</v>
      </c>
      <c r="W496" s="761" t="s">
        <v>4010</v>
      </c>
      <c r="X496" s="817">
        <v>1</v>
      </c>
      <c r="Y496" s="809" t="s">
        <v>978</v>
      </c>
      <c r="Z496" s="778" t="s">
        <v>629</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customHeight="1">
      <c r="A497" s="760" t="s">
        <v>1008</v>
      </c>
      <c r="B497" s="761">
        <v>491</v>
      </c>
      <c r="C497" s="777" t="s">
        <v>4011</v>
      </c>
      <c r="D497" s="761" t="s">
        <v>4008</v>
      </c>
      <c r="E497" s="761" t="s">
        <v>1920</v>
      </c>
      <c r="F497" s="773" t="s">
        <v>4012</v>
      </c>
      <c r="G497" s="778" t="s">
        <v>178</v>
      </c>
      <c r="H497" s="779" t="s">
        <v>3984</v>
      </c>
      <c r="I497" s="780"/>
      <c r="J497" s="781">
        <v>1</v>
      </c>
      <c r="K497" s="781"/>
      <c r="L497" s="781"/>
      <c r="M497" s="781"/>
      <c r="N497" s="781"/>
      <c r="O497" s="781"/>
      <c r="P497" s="782"/>
      <c r="Q497" s="783">
        <f t="shared" si="7"/>
        <v>1</v>
      </c>
      <c r="R497" s="777" t="s">
        <v>988</v>
      </c>
      <c r="S497" s="761" t="s">
        <v>964</v>
      </c>
      <c r="T497" s="784" t="s">
        <v>965</v>
      </c>
      <c r="U497" s="761" t="s">
        <v>2103</v>
      </c>
      <c r="V497" s="761" t="s">
        <v>991</v>
      </c>
      <c r="W497" s="761" t="s">
        <v>4013</v>
      </c>
      <c r="X497" s="1263">
        <v>1</v>
      </c>
      <c r="Y497" s="809" t="s">
        <v>978</v>
      </c>
      <c r="Z497" s="778" t="s">
        <v>178</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customHeight="1">
      <c r="A498" s="760" t="s">
        <v>1008</v>
      </c>
      <c r="B498" s="761">
        <v>492</v>
      </c>
      <c r="C498" s="916" t="s">
        <v>4014</v>
      </c>
      <c r="D498" s="761" t="s">
        <v>4008</v>
      </c>
      <c r="E498" s="761" t="s">
        <v>1920</v>
      </c>
      <c r="F498" s="773" t="s">
        <v>4015</v>
      </c>
      <c r="G498" s="778" t="s">
        <v>154</v>
      </c>
      <c r="H498" s="779" t="s">
        <v>3984</v>
      </c>
      <c r="I498" s="780"/>
      <c r="J498" s="781">
        <v>1</v>
      </c>
      <c r="K498" s="781"/>
      <c r="L498" s="781"/>
      <c r="M498" s="781"/>
      <c r="N498" s="781"/>
      <c r="O498" s="781"/>
      <c r="P498" s="782"/>
      <c r="Q498" s="783">
        <f t="shared" si="7"/>
        <v>1</v>
      </c>
      <c r="R498" s="777" t="s">
        <v>988</v>
      </c>
      <c r="S498" s="761" t="s">
        <v>964</v>
      </c>
      <c r="T498" s="784" t="s">
        <v>965</v>
      </c>
      <c r="U498" s="761" t="s">
        <v>1923</v>
      </c>
      <c r="V498" s="761" t="s">
        <v>987</v>
      </c>
      <c r="W498" s="761" t="s">
        <v>4016</v>
      </c>
      <c r="X498" s="1263">
        <v>0</v>
      </c>
      <c r="Y498" s="809" t="s">
        <v>978</v>
      </c>
      <c r="Z498" s="778" t="s">
        <v>154</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customHeight="1">
      <c r="A499" s="760" t="s">
        <v>1008</v>
      </c>
      <c r="B499" s="761">
        <v>493</v>
      </c>
      <c r="C499" s="777" t="s">
        <v>4017</v>
      </c>
      <c r="D499" s="761" t="s">
        <v>4008</v>
      </c>
      <c r="E499" s="761" t="s">
        <v>1936</v>
      </c>
      <c r="F499" s="773" t="s">
        <v>4018</v>
      </c>
      <c r="G499" s="778" t="s">
        <v>184</v>
      </c>
      <c r="H499" s="779" t="s">
        <v>3984</v>
      </c>
      <c r="I499" s="780">
        <v>0.05</v>
      </c>
      <c r="J499" s="781">
        <v>0.95</v>
      </c>
      <c r="K499" s="781"/>
      <c r="L499" s="781"/>
      <c r="M499" s="781"/>
      <c r="N499" s="781"/>
      <c r="O499" s="781"/>
      <c r="P499" s="782"/>
      <c r="Q499" s="783">
        <f t="shared" si="7"/>
        <v>1</v>
      </c>
      <c r="R499" s="777" t="s">
        <v>984</v>
      </c>
      <c r="S499" s="761" t="s">
        <v>964</v>
      </c>
      <c r="T499" s="784" t="s">
        <v>965</v>
      </c>
      <c r="U499" s="761" t="s">
        <v>1944</v>
      </c>
      <c r="V499" s="761" t="s">
        <v>293</v>
      </c>
      <c r="W499" s="761" t="s">
        <v>4019</v>
      </c>
      <c r="X499" s="817">
        <v>2</v>
      </c>
      <c r="Y499" s="809" t="s">
        <v>978</v>
      </c>
      <c r="Z499" s="778" t="s">
        <v>184</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customHeight="1">
      <c r="A500" s="760" t="s">
        <v>1008</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988</v>
      </c>
      <c r="S500" s="761" t="s">
        <v>964</v>
      </c>
      <c r="T500" s="1414" t="s">
        <v>977</v>
      </c>
      <c r="U500" s="761" t="s">
        <v>2083</v>
      </c>
      <c r="V500" s="761" t="s">
        <v>293</v>
      </c>
      <c r="W500" s="761" t="s">
        <v>4010</v>
      </c>
      <c r="X500" s="1263">
        <v>1</v>
      </c>
      <c r="Y500" s="809" t="s">
        <v>978</v>
      </c>
      <c r="Z500" s="778" t="s">
        <v>1124</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customHeight="1">
      <c r="A501" s="760" t="s">
        <v>1008</v>
      </c>
      <c r="B501" s="761">
        <v>495</v>
      </c>
      <c r="C501" s="777" t="s">
        <v>4021</v>
      </c>
      <c r="D501" s="761" t="s">
        <v>4008</v>
      </c>
      <c r="E501" s="761" t="s">
        <v>1936</v>
      </c>
      <c r="F501" s="773" t="s">
        <v>4022</v>
      </c>
      <c r="G501" s="778" t="s">
        <v>499</v>
      </c>
      <c r="H501" s="779" t="s">
        <v>3984</v>
      </c>
      <c r="I501" s="780">
        <v>0.5</v>
      </c>
      <c r="J501" s="781">
        <v>0.5</v>
      </c>
      <c r="K501" s="781"/>
      <c r="L501" s="781"/>
      <c r="M501" s="781"/>
      <c r="N501" s="781"/>
      <c r="O501" s="781"/>
      <c r="P501" s="782"/>
      <c r="Q501" s="783">
        <f t="shared" si="7"/>
        <v>1</v>
      </c>
      <c r="R501" s="777" t="s">
        <v>963</v>
      </c>
      <c r="S501" s="761"/>
      <c r="T501" s="784" t="s">
        <v>1971</v>
      </c>
      <c r="U501" s="761" t="s">
        <v>1939</v>
      </c>
      <c r="V501" s="761" t="s">
        <v>293</v>
      </c>
      <c r="W501" s="761" t="s">
        <v>4023</v>
      </c>
      <c r="X501" s="817">
        <v>1</v>
      </c>
      <c r="Y501" s="809" t="s">
        <v>978</v>
      </c>
      <c r="Z501" s="778" t="s">
        <v>499</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customHeight="1">
      <c r="A502" s="760" t="s">
        <v>1008</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988</v>
      </c>
      <c r="S502" s="761" t="s">
        <v>964</v>
      </c>
      <c r="T502" s="784" t="s">
        <v>965</v>
      </c>
      <c r="U502" s="761" t="s">
        <v>2014</v>
      </c>
      <c r="V502" s="761" t="s">
        <v>991</v>
      </c>
      <c r="W502" s="761" t="s">
        <v>4028</v>
      </c>
      <c r="X502" s="1340">
        <v>3</v>
      </c>
      <c r="Y502" s="809" t="s">
        <v>978</v>
      </c>
      <c r="Z502" s="778" t="s">
        <v>2016</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961</v>
      </c>
      <c r="BM502" s="773" t="s">
        <v>961</v>
      </c>
      <c r="BN502" s="773" t="s">
        <v>961</v>
      </c>
      <c r="BO502" s="773" t="s">
        <v>961</v>
      </c>
      <c r="BP502" s="784" t="s">
        <v>961</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1008</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988</v>
      </c>
      <c r="S503" s="761" t="s">
        <v>964</v>
      </c>
      <c r="T503" s="784" t="s">
        <v>965</v>
      </c>
      <c r="U503" s="761" t="s">
        <v>1949</v>
      </c>
      <c r="V503" s="761" t="s">
        <v>991</v>
      </c>
      <c r="W503" s="761" t="s">
        <v>4033</v>
      </c>
      <c r="X503" s="817">
        <v>0</v>
      </c>
      <c r="Y503" s="809" t="s">
        <v>966</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961</v>
      </c>
      <c r="BM503" s="773" t="s">
        <v>961</v>
      </c>
      <c r="BN503" s="773" t="s">
        <v>961</v>
      </c>
      <c r="BO503" s="773" t="s">
        <v>961</v>
      </c>
      <c r="BP503" s="784" t="s">
        <v>961</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1985">
        <v>0</v>
      </c>
      <c r="CL503" s="1986">
        <v>1023</v>
      </c>
      <c r="CM503" s="1986">
        <v>2046</v>
      </c>
      <c r="CN503" s="1986">
        <v>3068</v>
      </c>
      <c r="CO503" s="1987">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973</v>
      </c>
      <c r="DD503" s="801">
        <v>1</v>
      </c>
      <c r="DE503" s="802" t="s">
        <v>1971</v>
      </c>
    </row>
    <row r="504" spans="1:109" ht="15.75" customHeight="1">
      <c r="A504" s="760" t="s">
        <v>1008</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964</v>
      </c>
      <c r="T504" s="784" t="s">
        <v>977</v>
      </c>
      <c r="U504" s="761" t="s">
        <v>1939</v>
      </c>
      <c r="V504" s="761" t="s">
        <v>4037</v>
      </c>
      <c r="W504" s="761" t="s">
        <v>4038</v>
      </c>
      <c r="X504" s="817">
        <v>0</v>
      </c>
      <c r="Y504" s="809" t="s">
        <v>966</v>
      </c>
      <c r="Z504" s="778" t="s">
        <v>1971</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961</v>
      </c>
      <c r="BM504" s="1881" t="s">
        <v>961</v>
      </c>
      <c r="BN504" s="1881" t="s">
        <v>961</v>
      </c>
      <c r="BO504" s="1881" t="s">
        <v>961</v>
      </c>
      <c r="BP504" s="784" t="s">
        <v>961</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1008</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964</v>
      </c>
      <c r="T505" s="784" t="s">
        <v>977</v>
      </c>
      <c r="U505" s="761" t="s">
        <v>2825</v>
      </c>
      <c r="V505" s="761" t="s">
        <v>4043</v>
      </c>
      <c r="W505" s="761" t="s">
        <v>4044</v>
      </c>
      <c r="X505" s="817">
        <v>5</v>
      </c>
      <c r="Y505" s="807" t="s">
        <v>966</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961</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973</v>
      </c>
      <c r="DD505" s="801">
        <v>1</v>
      </c>
      <c r="DE505" s="802" t="s">
        <v>1971</v>
      </c>
    </row>
    <row r="506" spans="1:109" ht="15.75" customHeight="1">
      <c r="A506" s="760" t="s">
        <v>1008</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988</v>
      </c>
      <c r="S506" s="761" t="s">
        <v>964</v>
      </c>
      <c r="T506" s="784" t="s">
        <v>965</v>
      </c>
      <c r="U506" s="761" t="s">
        <v>2536</v>
      </c>
      <c r="V506" s="761" t="s">
        <v>293</v>
      </c>
      <c r="W506" s="761" t="s">
        <v>4049</v>
      </c>
      <c r="X506" s="1263">
        <v>0</v>
      </c>
      <c r="Y506" s="807" t="s">
        <v>966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961</v>
      </c>
      <c r="BM506" s="773" t="s">
        <v>961</v>
      </c>
      <c r="BN506" s="773" t="s">
        <v>961</v>
      </c>
      <c r="BO506" s="773" t="s">
        <v>961</v>
      </c>
      <c r="BP506" s="784" t="s">
        <v>961</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41">
        <v>-2.34</v>
      </c>
      <c r="CV506" s="1272" t="s">
        <v>1971</v>
      </c>
      <c r="CW506" s="1272" t="s">
        <v>1971</v>
      </c>
      <c r="CX506" s="1274" t="s">
        <v>1971</v>
      </c>
      <c r="CY506" s="1342">
        <v>1.17</v>
      </c>
      <c r="CZ506" s="1272" t="s">
        <v>1971</v>
      </c>
      <c r="DA506" s="1272" t="s">
        <v>1971</v>
      </c>
      <c r="DB506" s="1274" t="s">
        <v>1971</v>
      </c>
      <c r="DC506" s="773"/>
      <c r="DD506" s="801">
        <v>1</v>
      </c>
      <c r="DE506" s="802"/>
    </row>
    <row r="507" spans="1:109" ht="15.75" customHeight="1">
      <c r="A507" s="760" t="s">
        <v>1008</v>
      </c>
      <c r="B507" s="761">
        <v>501</v>
      </c>
      <c r="C507" s="777" t="s">
        <v>4050</v>
      </c>
      <c r="D507" s="761" t="s">
        <v>4051</v>
      </c>
      <c r="E507" s="761" t="s">
        <v>1920</v>
      </c>
      <c r="F507" s="773" t="s">
        <v>4052</v>
      </c>
      <c r="G507" s="778" t="s">
        <v>689</v>
      </c>
      <c r="H507" s="779" t="s">
        <v>3984</v>
      </c>
      <c r="I507" s="780"/>
      <c r="J507" s="781"/>
      <c r="K507" s="781">
        <v>1</v>
      </c>
      <c r="L507" s="781"/>
      <c r="M507" s="781"/>
      <c r="N507" s="781"/>
      <c r="O507" s="781"/>
      <c r="P507" s="782"/>
      <c r="Q507" s="783">
        <f t="shared" si="7"/>
        <v>1</v>
      </c>
      <c r="R507" s="777" t="s">
        <v>988</v>
      </c>
      <c r="S507" s="761" t="s">
        <v>964</v>
      </c>
      <c r="T507" s="784" t="s">
        <v>965</v>
      </c>
      <c r="U507" s="761" t="s">
        <v>689</v>
      </c>
      <c r="V507" s="761" t="s">
        <v>991</v>
      </c>
      <c r="W507" s="761" t="s">
        <v>4053</v>
      </c>
      <c r="X507" s="1263">
        <v>2</v>
      </c>
      <c r="Y507" s="814" t="s">
        <v>978</v>
      </c>
      <c r="Z507" s="778" t="s">
        <v>689</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customHeight="1">
      <c r="A508" s="760" t="s">
        <v>1008</v>
      </c>
      <c r="B508" s="761">
        <v>502</v>
      </c>
      <c r="C508" s="777" t="s">
        <v>4054</v>
      </c>
      <c r="D508" s="761" t="s">
        <v>4051</v>
      </c>
      <c r="E508" s="761" t="s">
        <v>1920</v>
      </c>
      <c r="F508" s="773" t="s">
        <v>4055</v>
      </c>
      <c r="G508" s="778" t="s">
        <v>1016</v>
      </c>
      <c r="H508" s="779" t="s">
        <v>3984</v>
      </c>
      <c r="I508" s="780"/>
      <c r="J508" s="781">
        <v>0.06</v>
      </c>
      <c r="K508" s="781">
        <v>0.94</v>
      </c>
      <c r="L508" s="781"/>
      <c r="M508" s="781"/>
      <c r="N508" s="781"/>
      <c r="O508" s="781"/>
      <c r="P508" s="782"/>
      <c r="Q508" s="783">
        <f t="shared" si="7"/>
        <v>1</v>
      </c>
      <c r="R508" s="777" t="s">
        <v>984</v>
      </c>
      <c r="S508" s="761" t="s">
        <v>964</v>
      </c>
      <c r="T508" s="784" t="s">
        <v>965</v>
      </c>
      <c r="U508" s="761" t="s">
        <v>2114</v>
      </c>
      <c r="V508" s="761" t="s">
        <v>293</v>
      </c>
      <c r="W508" s="761" t="s">
        <v>4056</v>
      </c>
      <c r="X508" s="1263">
        <v>2</v>
      </c>
      <c r="Y508" s="809" t="s">
        <v>966</v>
      </c>
      <c r="Z508" s="778" t="s">
        <v>1016</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customHeight="1">
      <c r="A509" s="760" t="s">
        <v>1008</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988</v>
      </c>
      <c r="S509" s="761" t="s">
        <v>964</v>
      </c>
      <c r="T509" s="784" t="s">
        <v>965</v>
      </c>
      <c r="U509" s="761" t="s">
        <v>2008</v>
      </c>
      <c r="V509" s="844" t="s">
        <v>2009</v>
      </c>
      <c r="W509" s="761" t="s">
        <v>2338</v>
      </c>
      <c r="X509" s="817">
        <v>1</v>
      </c>
      <c r="Y509" s="809" t="s">
        <v>978</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961</v>
      </c>
      <c r="BM509" s="773" t="s">
        <v>961</v>
      </c>
      <c r="BN509" s="773" t="s">
        <v>961</v>
      </c>
      <c r="BO509" s="773" t="s">
        <v>961</v>
      </c>
      <c r="BP509" s="784" t="s">
        <v>961</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973</v>
      </c>
      <c r="DD509" s="801">
        <v>1</v>
      </c>
      <c r="DE509" s="802" t="s">
        <v>1971</v>
      </c>
    </row>
    <row r="510" spans="1:109" ht="15.75" customHeight="1">
      <c r="A510" s="760" t="s">
        <v>1008</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984</v>
      </c>
      <c r="S510" s="761" t="s">
        <v>964</v>
      </c>
      <c r="T510" s="784" t="s">
        <v>965</v>
      </c>
      <c r="U510" s="761" t="s">
        <v>2135</v>
      </c>
      <c r="V510" s="761" t="s">
        <v>991</v>
      </c>
      <c r="W510" s="761" t="s">
        <v>4065</v>
      </c>
      <c r="X510" s="817">
        <v>0</v>
      </c>
      <c r="Y510" s="809" t="s">
        <v>966</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961</v>
      </c>
      <c r="BM510" s="1881" t="s">
        <v>961</v>
      </c>
      <c r="BN510" s="1881" t="s">
        <v>961</v>
      </c>
      <c r="BO510" s="1881" t="s">
        <v>961</v>
      </c>
      <c r="BP510" s="784" t="s">
        <v>961</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973</v>
      </c>
      <c r="DD510" s="801">
        <v>1</v>
      </c>
      <c r="DE510" s="802" t="s">
        <v>1971</v>
      </c>
    </row>
    <row r="511" spans="1:109" ht="15.75" customHeight="1">
      <c r="A511" s="760" t="s">
        <v>1008</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984</v>
      </c>
      <c r="S511" s="761" t="s">
        <v>964</v>
      </c>
      <c r="T511" s="784" t="s">
        <v>965</v>
      </c>
      <c r="U511" s="761" t="s">
        <v>2135</v>
      </c>
      <c r="V511" s="761" t="s">
        <v>991</v>
      </c>
      <c r="W511" s="761" t="s">
        <v>4069</v>
      </c>
      <c r="X511" s="817">
        <v>0</v>
      </c>
      <c r="Y511" s="809" t="s">
        <v>966</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961</v>
      </c>
      <c r="BM511" s="1881" t="s">
        <v>961</v>
      </c>
      <c r="BN511" s="1881" t="s">
        <v>961</v>
      </c>
      <c r="BO511" s="1881" t="s">
        <v>961</v>
      </c>
      <c r="BP511" s="784" t="s">
        <v>961</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1008</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988</v>
      </c>
      <c r="S512" s="761" t="s">
        <v>964</v>
      </c>
      <c r="T512" s="784" t="s">
        <v>977</v>
      </c>
      <c r="U512" s="761" t="s">
        <v>2135</v>
      </c>
      <c r="V512" s="761" t="s">
        <v>991</v>
      </c>
      <c r="W512" s="761" t="s">
        <v>4072</v>
      </c>
      <c r="X512" s="817">
        <v>0</v>
      </c>
      <c r="Y512" s="809" t="s">
        <v>966</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961</v>
      </c>
      <c r="BM512" s="773" t="s">
        <v>961</v>
      </c>
      <c r="BN512" s="773" t="s">
        <v>961</v>
      </c>
      <c r="BO512" s="773" t="s">
        <v>961</v>
      </c>
      <c r="BP512" s="784" t="s">
        <v>961</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1008</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988</v>
      </c>
      <c r="S513" s="761" t="s">
        <v>964</v>
      </c>
      <c r="T513" s="784" t="s">
        <v>965</v>
      </c>
      <c r="U513" s="761" t="s">
        <v>2135</v>
      </c>
      <c r="V513" s="761" t="s">
        <v>141</v>
      </c>
      <c r="W513" s="761" t="s">
        <v>4077</v>
      </c>
      <c r="X513" s="817">
        <v>3</v>
      </c>
      <c r="Y513" s="809" t="s">
        <v>966</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961</v>
      </c>
      <c r="BM513" s="773" t="s">
        <v>961</v>
      </c>
      <c r="BN513" s="773" t="s">
        <v>961</v>
      </c>
      <c r="BO513" s="773" t="s">
        <v>961</v>
      </c>
      <c r="BP513" s="784" t="s">
        <v>961</v>
      </c>
      <c r="BQ513" s="796" t="s">
        <v>1971</v>
      </c>
      <c r="BR513" s="788" t="s">
        <v>1971</v>
      </c>
      <c r="BS513" s="788" t="s">
        <v>1971</v>
      </c>
      <c r="BT513" s="788" t="s">
        <v>1971</v>
      </c>
      <c r="BU513" s="793" t="s">
        <v>1971</v>
      </c>
      <c r="BV513" s="1395"/>
      <c r="BW513" s="1348"/>
      <c r="BX513" s="1348"/>
      <c r="BY513" s="1348"/>
      <c r="BZ513" s="1348"/>
      <c r="CA513" s="796" t="s">
        <v>1971</v>
      </c>
      <c r="CB513" s="788" t="s">
        <v>1971</v>
      </c>
      <c r="CC513" s="788" t="s">
        <v>1971</v>
      </c>
      <c r="CD513" s="788" t="s">
        <v>1971</v>
      </c>
      <c r="CE513" s="793" t="s">
        <v>1971</v>
      </c>
      <c r="CF513" s="788" t="s">
        <v>1971</v>
      </c>
      <c r="CG513" s="788" t="s">
        <v>1971</v>
      </c>
      <c r="CH513" s="788" t="s">
        <v>1971</v>
      </c>
      <c r="CI513" s="788" t="s">
        <v>1971</v>
      </c>
      <c r="CJ513" s="788" t="s">
        <v>1971</v>
      </c>
      <c r="CK513" s="1982">
        <v>9</v>
      </c>
      <c r="CL513" s="1983">
        <v>5.75</v>
      </c>
      <c r="CM513" s="1983">
        <v>4</v>
      </c>
      <c r="CN513" s="1983">
        <v>4</v>
      </c>
      <c r="CO513" s="1984">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973</v>
      </c>
      <c r="DD513" s="801">
        <v>1</v>
      </c>
      <c r="DE513" s="802" t="s">
        <v>1971</v>
      </c>
    </row>
    <row r="514" spans="1:109" ht="15.75" customHeight="1">
      <c r="A514" s="760" t="s">
        <v>1008</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988</v>
      </c>
      <c r="S514" s="761" t="s">
        <v>964</v>
      </c>
      <c r="T514" s="784" t="s">
        <v>965</v>
      </c>
      <c r="U514" s="761" t="s">
        <v>711</v>
      </c>
      <c r="V514" s="761" t="s">
        <v>293</v>
      </c>
      <c r="W514" s="761" t="s">
        <v>4082</v>
      </c>
      <c r="X514" s="817">
        <v>2</v>
      </c>
      <c r="Y514" s="809" t="s">
        <v>966</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961</v>
      </c>
      <c r="BM514" s="773" t="s">
        <v>961</v>
      </c>
      <c r="BN514" s="773" t="s">
        <v>961</v>
      </c>
      <c r="BO514" s="773" t="s">
        <v>961</v>
      </c>
      <c r="BP514" s="784" t="s">
        <v>961</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973</v>
      </c>
      <c r="DD514" s="801">
        <v>1</v>
      </c>
      <c r="DE514" s="802" t="s">
        <v>1971</v>
      </c>
    </row>
    <row r="515" spans="1:109" ht="15.75" customHeight="1">
      <c r="A515" s="760" t="s">
        <v>1008</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988</v>
      </c>
      <c r="S515" s="761" t="s">
        <v>964</v>
      </c>
      <c r="T515" s="784" t="s">
        <v>965</v>
      </c>
      <c r="U515" s="761" t="s">
        <v>2161</v>
      </c>
      <c r="V515" s="761" t="s">
        <v>991</v>
      </c>
      <c r="W515" s="761" t="s">
        <v>4087</v>
      </c>
      <c r="X515" s="817">
        <v>2</v>
      </c>
      <c r="Y515" s="809" t="s">
        <v>978</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961</v>
      </c>
      <c r="BM515" s="773" t="s">
        <v>961</v>
      </c>
      <c r="BN515" s="773" t="s">
        <v>961</v>
      </c>
      <c r="BO515" s="773" t="s">
        <v>961</v>
      </c>
      <c r="BP515" s="784" t="s">
        <v>961</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1008</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988</v>
      </c>
      <c r="S516" s="761" t="s">
        <v>964</v>
      </c>
      <c r="T516" s="784" t="s">
        <v>965</v>
      </c>
      <c r="U516" s="761" t="s">
        <v>1027</v>
      </c>
      <c r="V516" s="761" t="s">
        <v>1039</v>
      </c>
      <c r="W516" s="761" t="s">
        <v>2068</v>
      </c>
      <c r="X516" s="1263">
        <v>2</v>
      </c>
      <c r="Y516" s="809" t="s">
        <v>966</v>
      </c>
      <c r="Z516" s="778" t="s">
        <v>1960</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customHeight="1">
      <c r="A517" s="760" t="s">
        <v>1008</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988</v>
      </c>
      <c r="S517" s="761" t="s">
        <v>964</v>
      </c>
      <c r="T517" s="784" t="s">
        <v>965</v>
      </c>
      <c r="U517" s="761" t="s">
        <v>1031</v>
      </c>
      <c r="V517" s="761" t="s">
        <v>1039</v>
      </c>
      <c r="W517" s="761" t="s">
        <v>431</v>
      </c>
      <c r="X517" s="1263">
        <v>2</v>
      </c>
      <c r="Y517" s="809" t="s">
        <v>966</v>
      </c>
      <c r="Z517" s="778" t="s">
        <v>1964</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customHeight="1">
      <c r="A518" s="760" t="s">
        <v>1008</v>
      </c>
      <c r="B518" s="761">
        <v>512</v>
      </c>
      <c r="C518" s="777" t="s">
        <v>4094</v>
      </c>
      <c r="D518" s="761" t="s">
        <v>4090</v>
      </c>
      <c r="E518" s="761" t="s">
        <v>1936</v>
      </c>
      <c r="F518" s="773" t="s">
        <v>4095</v>
      </c>
      <c r="G518" s="778" t="s">
        <v>658</v>
      </c>
      <c r="H518" s="779" t="s">
        <v>4096</v>
      </c>
      <c r="I518" s="780"/>
      <c r="J518" s="781"/>
      <c r="K518" s="781"/>
      <c r="L518" s="781"/>
      <c r="M518" s="781">
        <v>1</v>
      </c>
      <c r="N518" s="781"/>
      <c r="O518" s="781"/>
      <c r="P518" s="782"/>
      <c r="Q518" s="783">
        <f t="shared" si="7"/>
        <v>1</v>
      </c>
      <c r="R518" s="777" t="s">
        <v>963</v>
      </c>
      <c r="S518" s="761"/>
      <c r="T518" s="784"/>
      <c r="U518" s="761" t="s">
        <v>2146</v>
      </c>
      <c r="V518" s="761" t="s">
        <v>293</v>
      </c>
      <c r="W518" s="761" t="s">
        <v>4097</v>
      </c>
      <c r="X518" s="817">
        <v>1</v>
      </c>
      <c r="Y518" s="809" t="s">
        <v>966</v>
      </c>
      <c r="Z518" s="778" t="s">
        <v>658</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customHeight="1">
      <c r="A519" s="760" t="s">
        <v>1008</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963</v>
      </c>
      <c r="S519" s="761"/>
      <c r="T519" s="784"/>
      <c r="U519" s="761" t="s">
        <v>4102</v>
      </c>
      <c r="V519" s="761" t="s">
        <v>293</v>
      </c>
      <c r="W519" s="761" t="s">
        <v>4103</v>
      </c>
      <c r="X519" s="817">
        <v>2</v>
      </c>
      <c r="Y519" s="809" t="s">
        <v>978</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1008</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963</v>
      </c>
      <c r="S520" s="761"/>
      <c r="T520" s="784"/>
      <c r="U520" s="761" t="s">
        <v>2146</v>
      </c>
      <c r="V520" s="761" t="s">
        <v>1030</v>
      </c>
      <c r="W520" s="761" t="s">
        <v>2040</v>
      </c>
      <c r="X520" s="817">
        <v>0</v>
      </c>
      <c r="Y520" s="809" t="s">
        <v>966</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1008</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988</v>
      </c>
      <c r="S521" s="761" t="s">
        <v>964</v>
      </c>
      <c r="T521" s="784" t="s">
        <v>965</v>
      </c>
      <c r="U521" s="761" t="s">
        <v>2146</v>
      </c>
      <c r="V521" s="761" t="s">
        <v>991</v>
      </c>
      <c r="W521" s="761" t="s">
        <v>4113</v>
      </c>
      <c r="X521" s="817">
        <v>0</v>
      </c>
      <c r="Y521" s="807" t="s">
        <v>966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961</v>
      </c>
      <c r="BM521" s="773" t="s">
        <v>961</v>
      </c>
      <c r="BN521" s="773" t="s">
        <v>961</v>
      </c>
      <c r="BO521" s="773" t="s">
        <v>961</v>
      </c>
      <c r="BP521" s="784" t="s">
        <v>961</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1008</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988</v>
      </c>
      <c r="S522" s="761" t="s">
        <v>964</v>
      </c>
      <c r="T522" s="784" t="s">
        <v>965</v>
      </c>
      <c r="U522" s="761" t="s">
        <v>2146</v>
      </c>
      <c r="V522" s="761" t="s">
        <v>293</v>
      </c>
      <c r="W522" s="761" t="s">
        <v>4116</v>
      </c>
      <c r="X522" s="817">
        <v>2</v>
      </c>
      <c r="Y522" s="809" t="s">
        <v>978</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961</v>
      </c>
      <c r="BM522" s="773" t="s">
        <v>961</v>
      </c>
      <c r="BN522" s="773" t="s">
        <v>961</v>
      </c>
      <c r="BO522" s="773" t="s">
        <v>961</v>
      </c>
      <c r="BP522" s="784" t="s">
        <v>961</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1008</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975</v>
      </c>
      <c r="S523" s="761" t="s">
        <v>964</v>
      </c>
      <c r="T523" s="784" t="s">
        <v>965</v>
      </c>
      <c r="U523" s="761" t="s">
        <v>2781</v>
      </c>
      <c r="V523" s="761" t="s">
        <v>991</v>
      </c>
      <c r="W523" s="761" t="s">
        <v>4121</v>
      </c>
      <c r="X523" s="817">
        <v>0</v>
      </c>
      <c r="Y523" s="786" t="s">
        <v>966</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961</v>
      </c>
      <c r="BM523" s="773" t="s">
        <v>961</v>
      </c>
      <c r="BN523" s="773" t="s">
        <v>961</v>
      </c>
      <c r="BO523" s="773" t="s">
        <v>961</v>
      </c>
      <c r="BP523" s="784" t="s">
        <v>961</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1008</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975</v>
      </c>
      <c r="S524" s="761" t="s">
        <v>964</v>
      </c>
      <c r="T524" s="784" t="s">
        <v>965</v>
      </c>
      <c r="U524" s="761" t="s">
        <v>2146</v>
      </c>
      <c r="V524" s="761" t="s">
        <v>991</v>
      </c>
      <c r="W524" s="761" t="s">
        <v>4126</v>
      </c>
      <c r="X524" s="817">
        <v>0</v>
      </c>
      <c r="Y524" s="786" t="s">
        <v>966</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961</v>
      </c>
      <c r="BM524" s="773" t="s">
        <v>961</v>
      </c>
      <c r="BN524" s="773" t="s">
        <v>961</v>
      </c>
      <c r="BO524" s="773" t="s">
        <v>961</v>
      </c>
      <c r="BP524" s="784" t="s">
        <v>961</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1008</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975</v>
      </c>
      <c r="S525" s="761" t="s">
        <v>964</v>
      </c>
      <c r="T525" s="784" t="s">
        <v>965</v>
      </c>
      <c r="U525" s="761" t="s">
        <v>2146</v>
      </c>
      <c r="V525" s="761" t="s">
        <v>991</v>
      </c>
      <c r="W525" s="761" t="s">
        <v>4131</v>
      </c>
      <c r="X525" s="817">
        <v>0</v>
      </c>
      <c r="Y525" s="786" t="s">
        <v>966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961</v>
      </c>
      <c r="BM525" s="773" t="s">
        <v>961</v>
      </c>
      <c r="BN525" s="773" t="s">
        <v>961</v>
      </c>
      <c r="BO525" s="773" t="s">
        <v>961</v>
      </c>
      <c r="BP525" s="784" t="s">
        <v>961</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1008</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963</v>
      </c>
      <c r="S526" s="761"/>
      <c r="T526" s="784"/>
      <c r="U526" s="761" t="s">
        <v>1933</v>
      </c>
      <c r="V526" s="761" t="s">
        <v>991</v>
      </c>
      <c r="W526" s="761" t="s">
        <v>4136</v>
      </c>
      <c r="X526" s="817">
        <v>0</v>
      </c>
      <c r="Y526" s="807" t="s">
        <v>966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973</v>
      </c>
      <c r="DD526" s="801">
        <v>1</v>
      </c>
      <c r="DE526" s="802" t="s">
        <v>1971</v>
      </c>
    </row>
    <row r="527" spans="1:109" ht="15.75" customHeight="1">
      <c r="A527" s="760" t="s">
        <v>1008</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964</v>
      </c>
      <c r="T527" s="784" t="s">
        <v>977</v>
      </c>
      <c r="U527" s="761" t="s">
        <v>1939</v>
      </c>
      <c r="V527" s="761" t="s">
        <v>991</v>
      </c>
      <c r="W527" s="761" t="s">
        <v>4139</v>
      </c>
      <c r="X527" s="817">
        <v>0</v>
      </c>
      <c r="Y527" s="807" t="s">
        <v>966</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082">
        <v>1</v>
      </c>
      <c r="AU527" s="925" t="s">
        <v>1971</v>
      </c>
      <c r="AV527" s="924"/>
      <c r="AW527" s="923"/>
      <c r="AX527" s="923"/>
      <c r="AY527" s="923"/>
      <c r="AZ527" s="923"/>
      <c r="BA527" s="923"/>
      <c r="BB527" s="923"/>
      <c r="BC527" s="923"/>
      <c r="BD527" s="923"/>
      <c r="BE527" s="923"/>
      <c r="BF527" s="923"/>
      <c r="BG527" s="923"/>
      <c r="BH527" s="923"/>
      <c r="BI527" s="923"/>
      <c r="BJ527" s="923"/>
      <c r="BK527" s="925"/>
      <c r="BL527" s="1880" t="s">
        <v>961</v>
      </c>
      <c r="BM527" s="1881" t="s">
        <v>961</v>
      </c>
      <c r="BN527" s="1881" t="s">
        <v>961</v>
      </c>
      <c r="BO527" s="1881" t="s">
        <v>961</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1008</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963</v>
      </c>
      <c r="S528" s="761"/>
      <c r="T528" s="784"/>
      <c r="U528" s="761" t="s">
        <v>2698</v>
      </c>
      <c r="V528" s="761" t="s">
        <v>293</v>
      </c>
      <c r="W528" s="761" t="s">
        <v>4144</v>
      </c>
      <c r="X528" s="817">
        <v>0</v>
      </c>
      <c r="Y528" s="809" t="s">
        <v>966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1008</v>
      </c>
      <c r="B529" s="761">
        <v>523</v>
      </c>
      <c r="C529" s="777" t="s">
        <v>4145</v>
      </c>
      <c r="D529" s="761" t="s">
        <v>4146</v>
      </c>
      <c r="E529" s="761" t="s">
        <v>1920</v>
      </c>
      <c r="F529" s="773" t="s">
        <v>4147</v>
      </c>
      <c r="G529" s="778" t="s">
        <v>693</v>
      </c>
      <c r="H529" s="779" t="s">
        <v>3984</v>
      </c>
      <c r="I529" s="780"/>
      <c r="J529" s="781"/>
      <c r="K529" s="781">
        <v>1</v>
      </c>
      <c r="L529" s="781"/>
      <c r="M529" s="781"/>
      <c r="N529" s="781"/>
      <c r="O529" s="781"/>
      <c r="P529" s="782"/>
      <c r="Q529" s="783">
        <f t="shared" si="8"/>
        <v>1</v>
      </c>
      <c r="R529" s="777" t="s">
        <v>984</v>
      </c>
      <c r="S529" s="761" t="s">
        <v>964</v>
      </c>
      <c r="T529" s="784" t="s">
        <v>965</v>
      </c>
      <c r="U529" s="761" t="s">
        <v>2110</v>
      </c>
      <c r="V529" s="761" t="s">
        <v>991</v>
      </c>
      <c r="W529" s="761" t="s">
        <v>4148</v>
      </c>
      <c r="X529" s="1263">
        <v>2</v>
      </c>
      <c r="Y529" s="807" t="s">
        <v>978</v>
      </c>
      <c r="Z529" s="778" t="s">
        <v>693</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customHeight="1">
      <c r="A530" s="760" t="s">
        <v>1008</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988</v>
      </c>
      <c r="S530" s="761" t="s">
        <v>964</v>
      </c>
      <c r="T530" s="784" t="s">
        <v>965</v>
      </c>
      <c r="U530" s="761" t="s">
        <v>2110</v>
      </c>
      <c r="V530" s="761" t="s">
        <v>991</v>
      </c>
      <c r="W530" s="761" t="s">
        <v>4152</v>
      </c>
      <c r="X530" s="817">
        <v>0</v>
      </c>
      <c r="Y530" s="810" t="s">
        <v>978</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961</v>
      </c>
      <c r="BM530" s="773" t="s">
        <v>961</v>
      </c>
      <c r="BN530" s="773" t="s">
        <v>961</v>
      </c>
      <c r="BO530" s="773" t="s">
        <v>961</v>
      </c>
      <c r="BP530" s="784" t="s">
        <v>961</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1008</v>
      </c>
      <c r="B531" s="761">
        <v>525</v>
      </c>
      <c r="C531" s="777" t="s">
        <v>4153</v>
      </c>
      <c r="D531" s="761" t="s">
        <v>4154</v>
      </c>
      <c r="E531" s="761" t="s">
        <v>1936</v>
      </c>
      <c r="F531" s="773" t="s">
        <v>4155</v>
      </c>
      <c r="G531" s="778" t="s">
        <v>778</v>
      </c>
      <c r="H531" s="779" t="s">
        <v>3984</v>
      </c>
      <c r="I531" s="780"/>
      <c r="J531" s="781"/>
      <c r="K531" s="781">
        <v>1</v>
      </c>
      <c r="L531" s="781"/>
      <c r="M531" s="781"/>
      <c r="N531" s="781"/>
      <c r="O531" s="781"/>
      <c r="P531" s="782"/>
      <c r="Q531" s="783">
        <f t="shared" si="8"/>
        <v>1</v>
      </c>
      <c r="R531" s="777" t="s">
        <v>963</v>
      </c>
      <c r="S531" s="761"/>
      <c r="T531" s="784" t="s">
        <v>1971</v>
      </c>
      <c r="U531" s="761" t="s">
        <v>2087</v>
      </c>
      <c r="V531" s="761" t="s">
        <v>293</v>
      </c>
      <c r="W531" s="761" t="s">
        <v>4156</v>
      </c>
      <c r="X531" s="817">
        <v>2</v>
      </c>
      <c r="Y531" s="814" t="s">
        <v>978</v>
      </c>
      <c r="Z531" s="778" t="s">
        <v>778</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customHeight="1">
      <c r="A532" s="760" t="s">
        <v>1008</v>
      </c>
      <c r="B532" s="761">
        <v>526</v>
      </c>
      <c r="C532" s="777" t="s">
        <v>4157</v>
      </c>
      <c r="D532" s="761" t="s">
        <v>4154</v>
      </c>
      <c r="E532" s="761" t="s">
        <v>1920</v>
      </c>
      <c r="F532" s="773" t="s">
        <v>4158</v>
      </c>
      <c r="G532" s="778" t="s">
        <v>687</v>
      </c>
      <c r="H532" s="779" t="s">
        <v>3984</v>
      </c>
      <c r="I532" s="780"/>
      <c r="J532" s="781"/>
      <c r="K532" s="781">
        <v>1</v>
      </c>
      <c r="L532" s="781"/>
      <c r="M532" s="781"/>
      <c r="N532" s="781"/>
      <c r="O532" s="781"/>
      <c r="P532" s="782"/>
      <c r="Q532" s="783">
        <f t="shared" si="8"/>
        <v>1</v>
      </c>
      <c r="R532" s="777" t="s">
        <v>988</v>
      </c>
      <c r="S532" s="761" t="s">
        <v>964</v>
      </c>
      <c r="T532" s="784" t="s">
        <v>965</v>
      </c>
      <c r="U532" s="761" t="s">
        <v>2087</v>
      </c>
      <c r="V532" s="761" t="s">
        <v>991</v>
      </c>
      <c r="W532" s="761" t="s">
        <v>4159</v>
      </c>
      <c r="X532" s="1263">
        <v>2</v>
      </c>
      <c r="Y532" s="809" t="s">
        <v>978</v>
      </c>
      <c r="Z532" s="778" t="s">
        <v>687</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customHeight="1">
      <c r="A533" s="760" t="s">
        <v>1008</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988</v>
      </c>
      <c r="S533" s="761" t="s">
        <v>964</v>
      </c>
      <c r="T533" s="784" t="s">
        <v>965</v>
      </c>
      <c r="U533" s="761" t="s">
        <v>2087</v>
      </c>
      <c r="V533" s="761" t="s">
        <v>991</v>
      </c>
      <c r="W533" s="761" t="s">
        <v>4164</v>
      </c>
      <c r="X533" s="817">
        <v>0</v>
      </c>
      <c r="Y533" s="814" t="s">
        <v>978</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961</v>
      </c>
      <c r="BM533" s="773" t="s">
        <v>961</v>
      </c>
      <c r="BN533" s="773" t="s">
        <v>961</v>
      </c>
      <c r="BO533" s="773" t="s">
        <v>961</v>
      </c>
      <c r="BP533" s="784" t="s">
        <v>961</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1008</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988</v>
      </c>
      <c r="S534" s="761" t="s">
        <v>964</v>
      </c>
      <c r="T534" s="784" t="s">
        <v>965</v>
      </c>
      <c r="U534" s="761" t="s">
        <v>2423</v>
      </c>
      <c r="V534" s="761" t="s">
        <v>293</v>
      </c>
      <c r="W534" s="761" t="s">
        <v>4169</v>
      </c>
      <c r="X534" s="817">
        <v>1</v>
      </c>
      <c r="Y534" s="809" t="s">
        <v>966</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961</v>
      </c>
      <c r="BM534" s="773" t="s">
        <v>961</v>
      </c>
      <c r="BN534" s="773" t="s">
        <v>961</v>
      </c>
      <c r="BO534" s="773" t="s">
        <v>961</v>
      </c>
      <c r="BP534" s="784" t="s">
        <v>961</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1008</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988</v>
      </c>
      <c r="S535" s="761" t="s">
        <v>964</v>
      </c>
      <c r="T535" s="784" t="s">
        <v>965</v>
      </c>
      <c r="U535" s="761" t="s">
        <v>2087</v>
      </c>
      <c r="V535" s="761" t="s">
        <v>991</v>
      </c>
      <c r="W535" s="761" t="s">
        <v>4174</v>
      </c>
      <c r="X535" s="817">
        <v>2</v>
      </c>
      <c r="Y535" s="807" t="s">
        <v>978</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961</v>
      </c>
      <c r="BM535" s="773" t="s">
        <v>961</v>
      </c>
      <c r="BN535" s="773" t="s">
        <v>961</v>
      </c>
      <c r="BO535" s="773" t="s">
        <v>961</v>
      </c>
      <c r="BP535" s="784" t="s">
        <v>961</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1008</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988</v>
      </c>
      <c r="S536" s="761" t="s">
        <v>964</v>
      </c>
      <c r="T536" s="784" t="s">
        <v>965</v>
      </c>
      <c r="U536" s="761" t="s">
        <v>2087</v>
      </c>
      <c r="V536" s="761" t="s">
        <v>991</v>
      </c>
      <c r="W536" s="761" t="s">
        <v>4174</v>
      </c>
      <c r="X536" s="817">
        <v>2</v>
      </c>
      <c r="Y536" s="807" t="s">
        <v>978</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961</v>
      </c>
      <c r="BM536" s="773" t="s">
        <v>961</v>
      </c>
      <c r="BN536" s="773" t="s">
        <v>961</v>
      </c>
      <c r="BO536" s="773" t="s">
        <v>961</v>
      </c>
      <c r="BP536" s="784" t="s">
        <v>961</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982</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984</v>
      </c>
      <c r="S537" s="761" t="s">
        <v>964</v>
      </c>
      <c r="T537" s="784" t="s">
        <v>965</v>
      </c>
      <c r="U537" s="761" t="s">
        <v>1955</v>
      </c>
      <c r="V537" s="761" t="s">
        <v>991</v>
      </c>
      <c r="W537" s="761"/>
      <c r="X537" s="817">
        <v>2</v>
      </c>
      <c r="Y537" s="809" t="s">
        <v>978</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customHeight="1">
      <c r="A538" s="760" t="s">
        <v>982</v>
      </c>
      <c r="B538" s="761">
        <v>532</v>
      </c>
      <c r="C538" s="777" t="s">
        <v>4183</v>
      </c>
      <c r="D538" s="761" t="s">
        <v>4180</v>
      </c>
      <c r="E538" s="761" t="s">
        <v>1927</v>
      </c>
      <c r="F538" s="773" t="s">
        <v>4184</v>
      </c>
      <c r="G538" s="778" t="s">
        <v>154</v>
      </c>
      <c r="H538" s="779" t="s">
        <v>4185</v>
      </c>
      <c r="I538" s="780"/>
      <c r="J538" s="781">
        <v>1</v>
      </c>
      <c r="K538" s="781"/>
      <c r="L538" s="781"/>
      <c r="M538" s="781"/>
      <c r="N538" s="781"/>
      <c r="O538" s="781"/>
      <c r="P538" s="782"/>
      <c r="Q538" s="783">
        <f t="shared" si="8"/>
        <v>1</v>
      </c>
      <c r="R538" s="777" t="s">
        <v>988</v>
      </c>
      <c r="S538" s="761" t="s">
        <v>964</v>
      </c>
      <c r="T538" s="784" t="s">
        <v>965</v>
      </c>
      <c r="U538" s="761" t="s">
        <v>1923</v>
      </c>
      <c r="V538" s="761" t="s">
        <v>991</v>
      </c>
      <c r="W538" s="761" t="s">
        <v>2377</v>
      </c>
      <c r="X538" s="1263">
        <v>0</v>
      </c>
      <c r="Y538" s="809" t="s">
        <v>978</v>
      </c>
      <c r="Z538" s="778" t="s">
        <v>154</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customHeight="1">
      <c r="A539" s="760" t="s">
        <v>982</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988</v>
      </c>
      <c r="S539" s="761" t="s">
        <v>964</v>
      </c>
      <c r="T539" s="784" t="s">
        <v>965</v>
      </c>
      <c r="U539" s="761" t="s">
        <v>2178</v>
      </c>
      <c r="V539" s="761" t="s">
        <v>991</v>
      </c>
      <c r="W539" s="761" t="s">
        <v>4190</v>
      </c>
      <c r="X539" s="817">
        <v>2</v>
      </c>
      <c r="Y539" s="809" t="s">
        <v>978</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961</v>
      </c>
      <c r="BM539" s="773" t="s">
        <v>961</v>
      </c>
      <c r="BN539" s="773" t="s">
        <v>961</v>
      </c>
      <c r="BO539" s="773" t="s">
        <v>961</v>
      </c>
      <c r="BP539" s="784" t="s">
        <v>961</v>
      </c>
      <c r="BQ539" s="796" t="s">
        <v>1971</v>
      </c>
      <c r="BR539" s="788" t="s">
        <v>1971</v>
      </c>
      <c r="BS539" s="788" t="s">
        <v>1971</v>
      </c>
      <c r="BT539" s="788" t="s">
        <v>1971</v>
      </c>
      <c r="BU539" s="793" t="s">
        <v>1971</v>
      </c>
      <c r="BV539" s="1394">
        <v>4.4800000000000004</v>
      </c>
      <c r="BW539" s="1343">
        <v>4.4800000000000004</v>
      </c>
      <c r="BX539" s="1343">
        <v>4.4800000000000004</v>
      </c>
      <c r="BY539" s="1343">
        <v>4.4800000000000004</v>
      </c>
      <c r="BZ539" s="1344">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982</v>
      </c>
      <c r="B540" s="761">
        <v>534</v>
      </c>
      <c r="C540" s="777" t="s">
        <v>4191</v>
      </c>
      <c r="D540" s="761" t="s">
        <v>4180</v>
      </c>
      <c r="E540" s="761" t="s">
        <v>1936</v>
      </c>
      <c r="F540" s="773" t="s">
        <v>4192</v>
      </c>
      <c r="G540" s="778" t="s">
        <v>178</v>
      </c>
      <c r="H540" s="779" t="s">
        <v>4193</v>
      </c>
      <c r="I540" s="780"/>
      <c r="J540" s="781">
        <v>1</v>
      </c>
      <c r="K540" s="781"/>
      <c r="L540" s="781"/>
      <c r="M540" s="781"/>
      <c r="N540" s="781"/>
      <c r="O540" s="781"/>
      <c r="P540" s="782"/>
      <c r="Q540" s="783">
        <f t="shared" si="8"/>
        <v>1</v>
      </c>
      <c r="R540" s="777" t="s">
        <v>984</v>
      </c>
      <c r="S540" s="761" t="s">
        <v>964</v>
      </c>
      <c r="T540" s="784" t="s">
        <v>965</v>
      </c>
      <c r="U540" s="761" t="s">
        <v>2103</v>
      </c>
      <c r="V540" s="761" t="s">
        <v>991</v>
      </c>
      <c r="W540" s="761" t="s">
        <v>4194</v>
      </c>
      <c r="X540" s="817">
        <v>1</v>
      </c>
      <c r="Y540" s="809" t="s">
        <v>978</v>
      </c>
      <c r="Z540" s="778" t="s">
        <v>178</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customHeight="1">
      <c r="A541" s="760" t="s">
        <v>982</v>
      </c>
      <c r="B541" s="761">
        <v>535</v>
      </c>
      <c r="C541" s="777" t="s">
        <v>4195</v>
      </c>
      <c r="D541" s="761" t="s">
        <v>4180</v>
      </c>
      <c r="E541" s="761" t="s">
        <v>1936</v>
      </c>
      <c r="F541" s="773" t="s">
        <v>4196</v>
      </c>
      <c r="G541" s="778" t="s">
        <v>184</v>
      </c>
      <c r="H541" s="779" t="s">
        <v>4197</v>
      </c>
      <c r="I541" s="780"/>
      <c r="J541" s="781">
        <v>1</v>
      </c>
      <c r="K541" s="781"/>
      <c r="L541" s="781"/>
      <c r="M541" s="781"/>
      <c r="N541" s="781"/>
      <c r="O541" s="781"/>
      <c r="P541" s="782"/>
      <c r="Q541" s="783">
        <f t="shared" si="8"/>
        <v>1</v>
      </c>
      <c r="R541" s="777" t="s">
        <v>984</v>
      </c>
      <c r="S541" s="761" t="s">
        <v>964</v>
      </c>
      <c r="T541" s="784" t="s">
        <v>965</v>
      </c>
      <c r="U541" s="761" t="s">
        <v>1944</v>
      </c>
      <c r="V541" s="761" t="s">
        <v>293</v>
      </c>
      <c r="W541" s="761"/>
      <c r="X541" s="817">
        <v>2</v>
      </c>
      <c r="Y541" s="809" t="s">
        <v>978</v>
      </c>
      <c r="Z541" s="778" t="s">
        <v>184</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customHeight="1">
      <c r="A542" s="760" t="s">
        <v>982</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963</v>
      </c>
      <c r="S542" s="761"/>
      <c r="T542" s="784"/>
      <c r="U542" s="761" t="s">
        <v>1955</v>
      </c>
      <c r="V542" s="761" t="s">
        <v>991</v>
      </c>
      <c r="W542" s="761"/>
      <c r="X542" s="817">
        <v>3</v>
      </c>
      <c r="Y542" s="809" t="s">
        <v>978</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982</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963</v>
      </c>
      <c r="S543" s="761"/>
      <c r="T543" s="784"/>
      <c r="U543" s="761" t="s">
        <v>1996</v>
      </c>
      <c r="V543" s="761" t="s">
        <v>991</v>
      </c>
      <c r="W543" s="761"/>
      <c r="X543" s="817">
        <v>0</v>
      </c>
      <c r="Y543" s="809" t="s">
        <v>978</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982</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988</v>
      </c>
      <c r="S544" s="761" t="s">
        <v>964</v>
      </c>
      <c r="T544" s="784" t="s">
        <v>965</v>
      </c>
      <c r="U544" s="761" t="s">
        <v>1955</v>
      </c>
      <c r="V544" s="761" t="s">
        <v>991</v>
      </c>
      <c r="W544" s="761"/>
      <c r="X544" s="817">
        <v>0</v>
      </c>
      <c r="Y544" s="809" t="s">
        <v>966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961</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982</v>
      </c>
      <c r="B545" s="761">
        <v>539</v>
      </c>
      <c r="C545" s="777" t="s">
        <v>4210</v>
      </c>
      <c r="D545" s="761" t="s">
        <v>4211</v>
      </c>
      <c r="E545" s="761" t="s">
        <v>1920</v>
      </c>
      <c r="F545" s="773" t="s">
        <v>4212</v>
      </c>
      <c r="G545" s="778" t="s">
        <v>1016</v>
      </c>
      <c r="H545" s="779" t="s">
        <v>4213</v>
      </c>
      <c r="I545" s="780"/>
      <c r="J545" s="781"/>
      <c r="K545" s="781">
        <v>1</v>
      </c>
      <c r="L545" s="781"/>
      <c r="M545" s="781"/>
      <c r="N545" s="781"/>
      <c r="O545" s="781"/>
      <c r="P545" s="782"/>
      <c r="Q545" s="783">
        <f t="shared" si="8"/>
        <v>1</v>
      </c>
      <c r="R545" s="777" t="s">
        <v>984</v>
      </c>
      <c r="S545" s="761" t="s">
        <v>964</v>
      </c>
      <c r="T545" s="784" t="s">
        <v>965</v>
      </c>
      <c r="U545" s="761" t="s">
        <v>3638</v>
      </c>
      <c r="V545" s="761" t="s">
        <v>293</v>
      </c>
      <c r="W545" s="761"/>
      <c r="X545" s="817">
        <v>2</v>
      </c>
      <c r="Y545" s="809" t="s">
        <v>966</v>
      </c>
      <c r="Z545" s="778" t="s">
        <v>1016</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customHeight="1">
      <c r="A546" s="760" t="s">
        <v>982</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963</v>
      </c>
      <c r="S546" s="761"/>
      <c r="T546" s="784"/>
      <c r="U546" s="761"/>
      <c r="V546" s="844" t="s">
        <v>293</v>
      </c>
      <c r="W546" s="761"/>
      <c r="X546" s="817">
        <v>2</v>
      </c>
      <c r="Y546" s="809" t="s">
        <v>966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982</v>
      </c>
      <c r="B547" s="761">
        <v>541</v>
      </c>
      <c r="C547" s="777" t="s">
        <v>4217</v>
      </c>
      <c r="D547" s="761" t="s">
        <v>4211</v>
      </c>
      <c r="E547" s="761" t="s">
        <v>1920</v>
      </c>
      <c r="F547" s="773" t="s">
        <v>4218</v>
      </c>
      <c r="G547" s="778" t="s">
        <v>689</v>
      </c>
      <c r="H547" s="779" t="s">
        <v>4219</v>
      </c>
      <c r="I547" s="780"/>
      <c r="J547" s="781">
        <v>0</v>
      </c>
      <c r="K547" s="781">
        <v>1</v>
      </c>
      <c r="L547" s="781"/>
      <c r="M547" s="781"/>
      <c r="N547" s="781"/>
      <c r="O547" s="781"/>
      <c r="P547" s="782"/>
      <c r="Q547" s="783">
        <f t="shared" si="8"/>
        <v>1</v>
      </c>
      <c r="R547" s="777" t="s">
        <v>988</v>
      </c>
      <c r="S547" s="761" t="s">
        <v>964</v>
      </c>
      <c r="T547" s="784" t="s">
        <v>965</v>
      </c>
      <c r="U547" s="761" t="s">
        <v>689</v>
      </c>
      <c r="V547" s="761" t="s">
        <v>991</v>
      </c>
      <c r="W547" s="761" t="s">
        <v>4220</v>
      </c>
      <c r="X547" s="1263">
        <v>2</v>
      </c>
      <c r="Y547" s="809" t="s">
        <v>978</v>
      </c>
      <c r="Z547" s="778" t="s">
        <v>689</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customHeight="1">
      <c r="A548" s="760" t="s">
        <v>982</v>
      </c>
      <c r="B548" s="761">
        <v>542</v>
      </c>
      <c r="C548" s="777" t="s">
        <v>4221</v>
      </c>
      <c r="D548" s="761" t="s">
        <v>4211</v>
      </c>
      <c r="E548" s="761" t="s">
        <v>1920</v>
      </c>
      <c r="F548" s="773" t="s">
        <v>4222</v>
      </c>
      <c r="G548" s="778" t="s">
        <v>629</v>
      </c>
      <c r="H548" s="779" t="s">
        <v>4223</v>
      </c>
      <c r="I548" s="780"/>
      <c r="J548" s="781">
        <v>1</v>
      </c>
      <c r="K548" s="781"/>
      <c r="L548" s="781"/>
      <c r="M548" s="781"/>
      <c r="N548" s="781"/>
      <c r="O548" s="781"/>
      <c r="P548" s="782"/>
      <c r="Q548" s="783">
        <f t="shared" si="8"/>
        <v>1</v>
      </c>
      <c r="R548" s="777" t="s">
        <v>988</v>
      </c>
      <c r="S548" s="761" t="s">
        <v>964</v>
      </c>
      <c r="T548" s="784" t="s">
        <v>965</v>
      </c>
      <c r="U548" s="761" t="s">
        <v>629</v>
      </c>
      <c r="V548" s="761" t="s">
        <v>991</v>
      </c>
      <c r="W548" s="761" t="s">
        <v>4224</v>
      </c>
      <c r="X548" s="817">
        <v>1</v>
      </c>
      <c r="Y548" s="809" t="s">
        <v>978</v>
      </c>
      <c r="Z548" s="778" t="s">
        <v>629</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customHeight="1">
      <c r="A549" s="760" t="s">
        <v>982</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984</v>
      </c>
      <c r="S549" s="761" t="s">
        <v>964</v>
      </c>
      <c r="T549" s="1414" t="s">
        <v>977</v>
      </c>
      <c r="U549" s="761" t="s">
        <v>2083</v>
      </c>
      <c r="V549" s="761" t="s">
        <v>991</v>
      </c>
      <c r="W549" s="761" t="s">
        <v>2383</v>
      </c>
      <c r="X549" s="1263">
        <v>1</v>
      </c>
      <c r="Y549" s="809" t="s">
        <v>978</v>
      </c>
      <c r="Z549" s="778" t="s">
        <v>1124</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customHeight="1">
      <c r="A550" s="760" t="s">
        <v>982</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988</v>
      </c>
      <c r="S550" s="761" t="s">
        <v>964</v>
      </c>
      <c r="T550" s="784" t="s">
        <v>977</v>
      </c>
      <c r="U550" s="761" t="s">
        <v>2135</v>
      </c>
      <c r="V550" s="761" t="s">
        <v>994</v>
      </c>
      <c r="W550" s="761" t="s">
        <v>4229</v>
      </c>
      <c r="X550" s="817">
        <v>0</v>
      </c>
      <c r="Y550" s="807" t="s">
        <v>966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961</v>
      </c>
      <c r="BM550" s="773" t="s">
        <v>961</v>
      </c>
      <c r="BN550" s="773" t="s">
        <v>961</v>
      </c>
      <c r="BO550" s="773" t="s">
        <v>961</v>
      </c>
      <c r="BP550" s="784" t="s">
        <v>961</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982</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988</v>
      </c>
      <c r="S551" s="761" t="s">
        <v>964</v>
      </c>
      <c r="T551" s="784" t="s">
        <v>965</v>
      </c>
      <c r="U551" s="761" t="s">
        <v>711</v>
      </c>
      <c r="V551" s="761" t="s">
        <v>293</v>
      </c>
      <c r="W551" s="761"/>
      <c r="X551" s="817">
        <v>1</v>
      </c>
      <c r="Y551" s="807" t="s">
        <v>966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961</v>
      </c>
      <c r="BM551" s="823" t="s">
        <v>961</v>
      </c>
      <c r="BN551" s="823" t="s">
        <v>961</v>
      </c>
      <c r="BO551" s="823" t="s">
        <v>961</v>
      </c>
      <c r="BP551" s="824" t="s">
        <v>961</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982</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984</v>
      </c>
      <c r="S552" s="761" t="s">
        <v>964</v>
      </c>
      <c r="T552" s="784" t="s">
        <v>965</v>
      </c>
      <c r="U552" s="761" t="s">
        <v>711</v>
      </c>
      <c r="V552" s="761" t="s">
        <v>293</v>
      </c>
      <c r="W552" s="761"/>
      <c r="X552" s="1263">
        <v>2</v>
      </c>
      <c r="Y552" s="814" t="s">
        <v>966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961</v>
      </c>
      <c r="BM552" s="823" t="s">
        <v>961</v>
      </c>
      <c r="BN552" s="823" t="s">
        <v>961</v>
      </c>
      <c r="BO552" s="823" t="s">
        <v>961</v>
      </c>
      <c r="BP552" s="824" t="s">
        <v>961</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982</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988</v>
      </c>
      <c r="S553" s="761" t="s">
        <v>964</v>
      </c>
      <c r="T553" s="784" t="s">
        <v>965</v>
      </c>
      <c r="U553" s="761" t="s">
        <v>1027</v>
      </c>
      <c r="V553" s="761" t="s">
        <v>1039</v>
      </c>
      <c r="W553" s="761" t="s">
        <v>2068</v>
      </c>
      <c r="X553" s="1263">
        <v>2</v>
      </c>
      <c r="Y553" s="809" t="s">
        <v>966</v>
      </c>
      <c r="Z553" s="778" t="s">
        <v>1960</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customHeight="1">
      <c r="A554" s="760" t="s">
        <v>982</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988</v>
      </c>
      <c r="S554" s="761" t="s">
        <v>964</v>
      </c>
      <c r="T554" s="784" t="s">
        <v>965</v>
      </c>
      <c r="U554" s="761" t="s">
        <v>1031</v>
      </c>
      <c r="V554" s="761" t="s">
        <v>1039</v>
      </c>
      <c r="W554" s="761" t="s">
        <v>431</v>
      </c>
      <c r="X554" s="1263">
        <v>2</v>
      </c>
      <c r="Y554" s="809" t="s">
        <v>966</v>
      </c>
      <c r="Z554" s="778" t="s">
        <v>1964</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customHeight="1">
      <c r="A555" s="760" t="s">
        <v>982</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963</v>
      </c>
      <c r="S555" s="761"/>
      <c r="T555" s="784"/>
      <c r="U555" s="761" t="s">
        <v>1976</v>
      </c>
      <c r="V555" s="761" t="s">
        <v>1039</v>
      </c>
      <c r="W555" s="761" t="s">
        <v>2059</v>
      </c>
      <c r="X555" s="817">
        <v>2</v>
      </c>
      <c r="Y555" s="809" t="s">
        <v>966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982</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988</v>
      </c>
      <c r="S556" s="761" t="s">
        <v>964</v>
      </c>
      <c r="T556" s="784" t="s">
        <v>965</v>
      </c>
      <c r="U556" s="761" t="s">
        <v>1976</v>
      </c>
      <c r="V556" s="761" t="s">
        <v>1039</v>
      </c>
      <c r="W556" s="761" t="s">
        <v>4252</v>
      </c>
      <c r="X556" s="817">
        <v>1</v>
      </c>
      <c r="Y556" s="809" t="s">
        <v>966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961</v>
      </c>
      <c r="BM556" s="773" t="s">
        <v>961</v>
      </c>
      <c r="BN556" s="773" t="s">
        <v>961</v>
      </c>
      <c r="BO556" s="773" t="s">
        <v>961</v>
      </c>
      <c r="BP556" s="784" t="s">
        <v>961</v>
      </c>
      <c r="BQ556" s="796" t="s">
        <v>1971</v>
      </c>
      <c r="BR556" s="788" t="s">
        <v>1971</v>
      </c>
      <c r="BS556" s="788" t="s">
        <v>1971</v>
      </c>
      <c r="BT556" s="788" t="s">
        <v>1971</v>
      </c>
      <c r="BU556" s="793" t="s">
        <v>1971</v>
      </c>
      <c r="BV556" s="1492">
        <v>4</v>
      </c>
      <c r="BW556" s="1697">
        <v>4</v>
      </c>
      <c r="BX556" s="1697">
        <v>4</v>
      </c>
      <c r="BY556" s="1697">
        <v>4</v>
      </c>
      <c r="BZ556" s="1498">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982</v>
      </c>
      <c r="B557" s="761">
        <v>551</v>
      </c>
      <c r="C557" s="777" t="s">
        <v>4253</v>
      </c>
      <c r="D557" s="761"/>
      <c r="E557" s="761"/>
      <c r="F557" s="773" t="s">
        <v>4254</v>
      </c>
      <c r="G557" s="778" t="s">
        <v>658</v>
      </c>
      <c r="H557" s="779"/>
      <c r="I557" s="780"/>
      <c r="J557" s="781"/>
      <c r="K557" s="781"/>
      <c r="L557" s="781"/>
      <c r="M557" s="781"/>
      <c r="N557" s="781"/>
      <c r="O557" s="781"/>
      <c r="P557" s="782"/>
      <c r="Q557" s="783">
        <f t="shared" si="8"/>
        <v>0</v>
      </c>
      <c r="R557" s="777" t="s">
        <v>963</v>
      </c>
      <c r="S557" s="761"/>
      <c r="T557" s="784"/>
      <c r="U557" s="761"/>
      <c r="V557" s="761"/>
      <c r="W557" s="761"/>
      <c r="X557" s="1263">
        <v>1</v>
      </c>
      <c r="Y557" s="809"/>
      <c r="Z557" s="778" t="s">
        <v>658</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customHeight="1">
      <c r="A558" s="760" t="s">
        <v>982</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963</v>
      </c>
      <c r="S558" s="761"/>
      <c r="T558" s="784"/>
      <c r="U558" s="761" t="s">
        <v>2332</v>
      </c>
      <c r="V558" s="761" t="s">
        <v>991</v>
      </c>
      <c r="W558" s="761"/>
      <c r="X558" s="817">
        <v>0</v>
      </c>
      <c r="Y558" s="809" t="s">
        <v>966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982</v>
      </c>
      <c r="B559" s="761">
        <v>553</v>
      </c>
      <c r="C559" s="777" t="s">
        <v>4259</v>
      </c>
      <c r="D559" s="761" t="s">
        <v>4260</v>
      </c>
      <c r="E559" s="761" t="s">
        <v>1920</v>
      </c>
      <c r="F559" s="773" t="s">
        <v>4261</v>
      </c>
      <c r="G559" s="778" t="s">
        <v>687</v>
      </c>
      <c r="H559" s="779" t="s">
        <v>4262</v>
      </c>
      <c r="I559" s="780"/>
      <c r="J559" s="781"/>
      <c r="K559" s="781">
        <v>1</v>
      </c>
      <c r="L559" s="781"/>
      <c r="M559" s="781"/>
      <c r="N559" s="781"/>
      <c r="O559" s="781"/>
      <c r="P559" s="782"/>
      <c r="Q559" s="783">
        <f t="shared" si="8"/>
        <v>1</v>
      </c>
      <c r="R559" s="777" t="s">
        <v>988</v>
      </c>
      <c r="S559" s="761" t="s">
        <v>964</v>
      </c>
      <c r="T559" s="784" t="s">
        <v>965</v>
      </c>
      <c r="U559" s="761" t="s">
        <v>2087</v>
      </c>
      <c r="V559" s="761" t="s">
        <v>991</v>
      </c>
      <c r="W559" s="761" t="s">
        <v>3618</v>
      </c>
      <c r="X559" s="1263">
        <v>2</v>
      </c>
      <c r="Y559" s="809" t="s">
        <v>978</v>
      </c>
      <c r="Z559" s="778" t="s">
        <v>687</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customHeight="1">
      <c r="A560" s="760" t="s">
        <v>982</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988</v>
      </c>
      <c r="S560" s="761" t="s">
        <v>964</v>
      </c>
      <c r="T560" s="784" t="s">
        <v>965</v>
      </c>
      <c r="U560" s="761" t="s">
        <v>2087</v>
      </c>
      <c r="V560" s="761" t="s">
        <v>991</v>
      </c>
      <c r="W560" s="761" t="s">
        <v>3618</v>
      </c>
      <c r="X560" s="1263">
        <v>2</v>
      </c>
      <c r="Y560" s="809" t="s">
        <v>978</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961</v>
      </c>
      <c r="BM560" s="773" t="s">
        <v>961</v>
      </c>
      <c r="BN560" s="773" t="s">
        <v>961</v>
      </c>
      <c r="BO560" s="773" t="s">
        <v>961</v>
      </c>
      <c r="BP560" s="784" t="s">
        <v>961</v>
      </c>
      <c r="BQ560" s="796" t="s">
        <v>1971</v>
      </c>
      <c r="BR560" s="788" t="s">
        <v>1971</v>
      </c>
      <c r="BS560" s="788" t="s">
        <v>1971</v>
      </c>
      <c r="BT560" s="788" t="s">
        <v>1971</v>
      </c>
      <c r="BU560" s="793" t="s">
        <v>1971</v>
      </c>
      <c r="BV560" s="1394">
        <v>40.049999999999997</v>
      </c>
      <c r="BW560" s="1343">
        <v>40.049999999999997</v>
      </c>
      <c r="BX560" s="1343">
        <v>40.049999999999997</v>
      </c>
      <c r="BY560" s="1343">
        <v>40.049999999999997</v>
      </c>
      <c r="BZ560" s="1344">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982</v>
      </c>
      <c r="B561" s="761">
        <v>555</v>
      </c>
      <c r="C561" s="777" t="s">
        <v>4267</v>
      </c>
      <c r="D561" s="761" t="s">
        <v>4260</v>
      </c>
      <c r="E561" s="761" t="s">
        <v>1936</v>
      </c>
      <c r="F561" s="773" t="s">
        <v>4268</v>
      </c>
      <c r="G561" s="778" t="s">
        <v>693</v>
      </c>
      <c r="H561" s="779" t="s">
        <v>4269</v>
      </c>
      <c r="I561" s="780"/>
      <c r="J561" s="781"/>
      <c r="K561" s="781">
        <v>1</v>
      </c>
      <c r="L561" s="781"/>
      <c r="M561" s="781"/>
      <c r="N561" s="781"/>
      <c r="O561" s="781"/>
      <c r="P561" s="782"/>
      <c r="Q561" s="783">
        <f t="shared" si="8"/>
        <v>1</v>
      </c>
      <c r="R561" s="777" t="s">
        <v>984</v>
      </c>
      <c r="S561" s="761" t="s">
        <v>964</v>
      </c>
      <c r="T561" s="784" t="s">
        <v>965</v>
      </c>
      <c r="U561" s="761" t="s">
        <v>1949</v>
      </c>
      <c r="V561" s="761" t="s">
        <v>991</v>
      </c>
      <c r="W561" s="761" t="s">
        <v>4270</v>
      </c>
      <c r="X561" s="1263">
        <v>2</v>
      </c>
      <c r="Y561" s="809" t="s">
        <v>978</v>
      </c>
      <c r="Z561" s="778" t="s">
        <v>693</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customHeight="1">
      <c r="A562" s="760" t="s">
        <v>982</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988</v>
      </c>
      <c r="S562" s="761" t="s">
        <v>964</v>
      </c>
      <c r="T562" s="784" t="s">
        <v>965</v>
      </c>
      <c r="U562" s="761" t="s">
        <v>3677</v>
      </c>
      <c r="V562" s="761" t="s">
        <v>991</v>
      </c>
      <c r="W562" s="761" t="s">
        <v>4275</v>
      </c>
      <c r="X562" s="817">
        <v>1</v>
      </c>
      <c r="Y562" s="809" t="s">
        <v>978</v>
      </c>
      <c r="Z562" s="778"/>
      <c r="AA562" s="773"/>
      <c r="AB562" s="773"/>
      <c r="AC562" s="773"/>
      <c r="AD562" s="773"/>
      <c r="AE562" s="773"/>
      <c r="AF562" s="787"/>
      <c r="AG562" s="788"/>
      <c r="AH562" s="788"/>
      <c r="AI562" s="788"/>
      <c r="AJ562" s="788"/>
      <c r="AK562" s="788"/>
      <c r="AL562" s="788"/>
      <c r="AM562" s="788"/>
      <c r="AN562" s="788"/>
      <c r="AO562" s="788"/>
      <c r="AP562" s="788"/>
      <c r="AQ562" s="1394" t="s">
        <v>2352</v>
      </c>
      <c r="AR562" s="1343" t="s">
        <v>2353</v>
      </c>
      <c r="AS562" s="1343" t="s">
        <v>2354</v>
      </c>
      <c r="AT562" s="1343" t="s">
        <v>2355</v>
      </c>
      <c r="AU562" s="1344" t="s">
        <v>2356</v>
      </c>
      <c r="AV562" s="796"/>
      <c r="AW562" s="788"/>
      <c r="AX562" s="788"/>
      <c r="AY562" s="788"/>
      <c r="AZ562" s="788"/>
      <c r="BA562" s="788"/>
      <c r="BB562" s="788"/>
      <c r="BC562" s="788"/>
      <c r="BD562" s="788"/>
      <c r="BE562" s="788"/>
      <c r="BF562" s="788"/>
      <c r="BG562" s="788"/>
      <c r="BH562" s="788"/>
      <c r="BI562" s="788"/>
      <c r="BJ562" s="788"/>
      <c r="BK562" s="793"/>
      <c r="BL562" s="777" t="s">
        <v>961</v>
      </c>
      <c r="BM562" s="773" t="s">
        <v>961</v>
      </c>
      <c r="BN562" s="773" t="s">
        <v>961</v>
      </c>
      <c r="BO562" s="773" t="s">
        <v>961</v>
      </c>
      <c r="BP562" s="784" t="s">
        <v>961</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982</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963</v>
      </c>
      <c r="S563" s="761"/>
      <c r="T563" s="784"/>
      <c r="U563" s="761" t="s">
        <v>1923</v>
      </c>
      <c r="V563" s="761" t="s">
        <v>991</v>
      </c>
      <c r="W563" s="761" t="s">
        <v>2857</v>
      </c>
      <c r="X563" s="817">
        <v>0</v>
      </c>
      <c r="Y563" s="809" t="s">
        <v>978</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982</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963</v>
      </c>
      <c r="S564" s="761"/>
      <c r="T564" s="784"/>
      <c r="U564" s="761" t="s">
        <v>2087</v>
      </c>
      <c r="V564" s="761" t="s">
        <v>991</v>
      </c>
      <c r="W564" s="761"/>
      <c r="X564" s="817">
        <v>0</v>
      </c>
      <c r="Y564" s="809" t="s">
        <v>978</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982</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963</v>
      </c>
      <c r="S565" s="761"/>
      <c r="T565" s="784"/>
      <c r="U565" s="761" t="s">
        <v>2146</v>
      </c>
      <c r="V565" s="761" t="s">
        <v>293</v>
      </c>
      <c r="W565" s="761"/>
      <c r="X565" s="817">
        <v>1</v>
      </c>
      <c r="Y565" s="809" t="s">
        <v>978</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982</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963</v>
      </c>
      <c r="S566" s="761"/>
      <c r="T566" s="784"/>
      <c r="U566" s="761" t="s">
        <v>2146</v>
      </c>
      <c r="V566" s="761" t="s">
        <v>991</v>
      </c>
      <c r="W566" s="761"/>
      <c r="X566" s="817">
        <v>0</v>
      </c>
      <c r="Y566" s="807" t="s">
        <v>966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982</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963</v>
      </c>
      <c r="S567" s="761"/>
      <c r="T567" s="784"/>
      <c r="U567" s="761" t="s">
        <v>2146</v>
      </c>
      <c r="V567" s="761" t="s">
        <v>293</v>
      </c>
      <c r="W567" s="761"/>
      <c r="X567" s="817">
        <v>1</v>
      </c>
      <c r="Y567" s="807" t="s">
        <v>978</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982</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988</v>
      </c>
      <c r="S568" s="761" t="s">
        <v>964</v>
      </c>
      <c r="T568" s="784" t="s">
        <v>965</v>
      </c>
      <c r="U568" s="761" t="s">
        <v>2146</v>
      </c>
      <c r="V568" s="761" t="s">
        <v>293</v>
      </c>
      <c r="W568" s="761"/>
      <c r="X568" s="1263">
        <v>2</v>
      </c>
      <c r="Y568" s="807" t="s">
        <v>978</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961</v>
      </c>
      <c r="BM568" s="773" t="s">
        <v>961</v>
      </c>
      <c r="BN568" s="773" t="s">
        <v>961</v>
      </c>
      <c r="BO568" s="773" t="s">
        <v>961</v>
      </c>
      <c r="BP568" s="784" t="s">
        <v>961</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982</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963</v>
      </c>
      <c r="S569" s="761"/>
      <c r="T569" s="784"/>
      <c r="U569" s="761" t="s">
        <v>1939</v>
      </c>
      <c r="V569" s="761" t="s">
        <v>1041</v>
      </c>
      <c r="W569" s="761"/>
      <c r="X569" s="1263">
        <v>0</v>
      </c>
      <c r="Y569" s="786" t="s">
        <v>966</v>
      </c>
      <c r="Z569" s="778"/>
      <c r="AA569" s="773"/>
      <c r="AB569" s="773"/>
      <c r="AC569" s="773"/>
      <c r="AD569" s="773"/>
      <c r="AE569" s="773"/>
      <c r="AF569" s="787"/>
      <c r="AG569" s="788"/>
      <c r="AH569" s="788"/>
      <c r="AI569" s="788"/>
      <c r="AJ569" s="785"/>
      <c r="AK569" s="785"/>
      <c r="AL569" s="785"/>
      <c r="AM569" s="785"/>
      <c r="AN569" s="785"/>
      <c r="AO569" s="785"/>
      <c r="AP569" s="785"/>
      <c r="AQ569" s="815" t="s">
        <v>776</v>
      </c>
      <c r="AR569" s="785" t="s">
        <v>776</v>
      </c>
      <c r="AS569" s="785" t="s">
        <v>776</v>
      </c>
      <c r="AT569" s="785" t="s">
        <v>776</v>
      </c>
      <c r="AU569" s="829" t="s">
        <v>776</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982</v>
      </c>
      <c r="B570" s="761">
        <v>564</v>
      </c>
      <c r="C570" s="777" t="s">
        <v>4306</v>
      </c>
      <c r="D570" s="761" t="s">
        <v>4307</v>
      </c>
      <c r="E570" s="761" t="s">
        <v>1936</v>
      </c>
      <c r="F570" s="773" t="s">
        <v>4308</v>
      </c>
      <c r="G570" s="778" t="s">
        <v>499</v>
      </c>
      <c r="H570" s="779" t="s">
        <v>4309</v>
      </c>
      <c r="I570" s="780">
        <v>0.115</v>
      </c>
      <c r="J570" s="781">
        <v>0.88500000000000001</v>
      </c>
      <c r="K570" s="781"/>
      <c r="L570" s="781"/>
      <c r="M570" s="781"/>
      <c r="N570" s="781"/>
      <c r="O570" s="781"/>
      <c r="P570" s="782"/>
      <c r="Q570" s="783">
        <f t="shared" si="8"/>
        <v>1</v>
      </c>
      <c r="R570" s="777" t="s">
        <v>963</v>
      </c>
      <c r="S570" s="761"/>
      <c r="T570" s="784"/>
      <c r="U570" s="761" t="s">
        <v>1939</v>
      </c>
      <c r="V570" s="761" t="s">
        <v>293</v>
      </c>
      <c r="W570" s="761"/>
      <c r="X570" s="1263">
        <v>1</v>
      </c>
      <c r="Y570" s="786" t="s">
        <v>978</v>
      </c>
      <c r="Z570" s="778" t="s">
        <v>499</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customHeight="1">
      <c r="A571" s="760" t="s">
        <v>982</v>
      </c>
      <c r="B571" s="761">
        <v>565</v>
      </c>
      <c r="C571" s="777" t="s">
        <v>4310</v>
      </c>
      <c r="D571" s="761" t="s">
        <v>4307</v>
      </c>
      <c r="E571" s="761" t="s">
        <v>1936</v>
      </c>
      <c r="F571" s="773" t="s">
        <v>4311</v>
      </c>
      <c r="G571" s="778" t="s">
        <v>778</v>
      </c>
      <c r="H571" s="779" t="s">
        <v>4312</v>
      </c>
      <c r="I571" s="780"/>
      <c r="J571" s="781"/>
      <c r="K571" s="781">
        <v>1</v>
      </c>
      <c r="L571" s="781"/>
      <c r="M571" s="781"/>
      <c r="N571" s="781"/>
      <c r="O571" s="781"/>
      <c r="P571" s="782"/>
      <c r="Q571" s="783">
        <f t="shared" si="8"/>
        <v>1</v>
      </c>
      <c r="R571" s="777" t="s">
        <v>963</v>
      </c>
      <c r="S571" s="761"/>
      <c r="T571" s="784"/>
      <c r="U571" s="761" t="s">
        <v>1939</v>
      </c>
      <c r="V571" s="761" t="s">
        <v>293</v>
      </c>
      <c r="W571" s="761" t="s">
        <v>4313</v>
      </c>
      <c r="X571" s="817">
        <v>2</v>
      </c>
      <c r="Y571" s="786" t="s">
        <v>978</v>
      </c>
      <c r="Z571" s="778" t="s">
        <v>778</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customHeight="1">
      <c r="A572" s="760" t="s">
        <v>982</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963</v>
      </c>
      <c r="S572" s="761"/>
      <c r="T572" s="784"/>
      <c r="U572" s="761" t="s">
        <v>2161</v>
      </c>
      <c r="V572" s="761" t="s">
        <v>293</v>
      </c>
      <c r="W572" s="761"/>
      <c r="X572" s="817">
        <v>0</v>
      </c>
      <c r="Y572" s="786" t="s">
        <v>966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982</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988</v>
      </c>
      <c r="S573" s="761" t="s">
        <v>964</v>
      </c>
      <c r="T573" s="784" t="s">
        <v>965</v>
      </c>
      <c r="U573" s="761" t="s">
        <v>2135</v>
      </c>
      <c r="V573" s="761" t="s">
        <v>991</v>
      </c>
      <c r="W573" s="761" t="s">
        <v>4322</v>
      </c>
      <c r="X573" s="817">
        <v>0</v>
      </c>
      <c r="Y573" s="807" t="s">
        <v>966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961</v>
      </c>
      <c r="BM573" s="773" t="s">
        <v>961</v>
      </c>
      <c r="BN573" s="773" t="s">
        <v>961</v>
      </c>
      <c r="BO573" s="773" t="s">
        <v>961</v>
      </c>
      <c r="BP573" s="773" t="s">
        <v>961</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982</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963</v>
      </c>
      <c r="S574" s="761"/>
      <c r="T574" s="784"/>
      <c r="U574" s="761" t="s">
        <v>1939</v>
      </c>
      <c r="V574" s="761" t="s">
        <v>293</v>
      </c>
      <c r="W574" s="761"/>
      <c r="X574" s="817">
        <v>1</v>
      </c>
      <c r="Y574" s="807" t="s">
        <v>966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982</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963</v>
      </c>
      <c r="S575" s="761"/>
      <c r="T575" s="784"/>
      <c r="U575" s="761" t="s">
        <v>1939</v>
      </c>
      <c r="V575" s="761" t="s">
        <v>293</v>
      </c>
      <c r="W575" s="761"/>
      <c r="X575" s="817">
        <v>1</v>
      </c>
      <c r="Y575" s="807" t="s">
        <v>966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982</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963</v>
      </c>
      <c r="S576" s="761"/>
      <c r="T576" s="784"/>
      <c r="U576" s="761" t="s">
        <v>1939</v>
      </c>
      <c r="V576" s="761" t="s">
        <v>293</v>
      </c>
      <c r="W576" s="761"/>
      <c r="X576" s="817">
        <v>1</v>
      </c>
      <c r="Y576" s="809" t="s">
        <v>966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982</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963</v>
      </c>
      <c r="S577" s="761"/>
      <c r="T577" s="784"/>
      <c r="U577" s="761" t="s">
        <v>1939</v>
      </c>
      <c r="V577" s="761" t="s">
        <v>293</v>
      </c>
      <c r="W577" s="761"/>
      <c r="X577" s="817">
        <v>1</v>
      </c>
      <c r="Y577" s="807" t="s">
        <v>966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982</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963</v>
      </c>
      <c r="S578" s="761"/>
      <c r="T578" s="784"/>
      <c r="U578" s="761" t="s">
        <v>1939</v>
      </c>
      <c r="V578" s="761" t="s">
        <v>293</v>
      </c>
      <c r="W578" s="761"/>
      <c r="X578" s="817">
        <v>1</v>
      </c>
      <c r="Y578" s="810" t="s">
        <v>966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982</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988</v>
      </c>
      <c r="S579" s="1493" t="s">
        <v>964</v>
      </c>
      <c r="T579" s="784" t="s">
        <v>965</v>
      </c>
      <c r="U579" s="761" t="s">
        <v>2423</v>
      </c>
      <c r="V579" s="761" t="s">
        <v>991</v>
      </c>
      <c r="W579" s="761"/>
      <c r="X579" s="817">
        <v>0</v>
      </c>
      <c r="Y579" s="814" t="s">
        <v>966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961</v>
      </c>
      <c r="BM579" s="773" t="s">
        <v>961</v>
      </c>
      <c r="BN579" s="773" t="s">
        <v>961</v>
      </c>
      <c r="BO579" s="773" t="s">
        <v>961</v>
      </c>
      <c r="BP579" s="773" t="s">
        <v>961</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07">
        <v>98000</v>
      </c>
      <c r="CL579" s="1708">
        <v>100800</v>
      </c>
      <c r="CM579" s="1708">
        <v>102200</v>
      </c>
      <c r="CN579" s="1708">
        <v>103600</v>
      </c>
      <c r="CO579" s="1716">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982</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964</v>
      </c>
      <c r="T580" s="784" t="s">
        <v>965</v>
      </c>
      <c r="U580" s="761" t="s">
        <v>2423</v>
      </c>
      <c r="V580" s="761" t="s">
        <v>991</v>
      </c>
      <c r="W580" s="761"/>
      <c r="X580" s="817">
        <v>0</v>
      </c>
      <c r="Y580" s="809" t="s">
        <v>966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961</v>
      </c>
      <c r="BM580" s="773" t="s">
        <v>961</v>
      </c>
      <c r="BN580" s="773" t="s">
        <v>961</v>
      </c>
      <c r="BO580" s="773" t="s">
        <v>961</v>
      </c>
      <c r="BP580" s="773" t="s">
        <v>961</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982</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963</v>
      </c>
      <c r="S581" s="761"/>
      <c r="T581" s="784"/>
      <c r="U581" s="761" t="s">
        <v>2825</v>
      </c>
      <c r="V581" s="761" t="s">
        <v>991</v>
      </c>
      <c r="W581" s="761"/>
      <c r="X581" s="817">
        <v>0</v>
      </c>
      <c r="Y581" s="814" t="s">
        <v>978</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982</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963</v>
      </c>
      <c r="S582" s="761"/>
      <c r="T582" s="784"/>
      <c r="U582" s="761" t="s">
        <v>2371</v>
      </c>
      <c r="V582" s="761" t="s">
        <v>293</v>
      </c>
      <c r="W582" s="761"/>
      <c r="X582" s="817">
        <v>1</v>
      </c>
      <c r="Y582" s="809" t="s">
        <v>966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982</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963</v>
      </c>
      <c r="S583" s="761"/>
      <c r="T583" s="784"/>
      <c r="U583" s="761" t="s">
        <v>2371</v>
      </c>
      <c r="V583" s="761" t="s">
        <v>293</v>
      </c>
      <c r="W583" s="761"/>
      <c r="X583" s="817">
        <v>0</v>
      </c>
      <c r="Y583" s="807" t="s">
        <v>966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982</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984</v>
      </c>
      <c r="S584" s="761" t="s">
        <v>964</v>
      </c>
      <c r="T584" s="784" t="s">
        <v>965</v>
      </c>
      <c r="U584" s="761" t="s">
        <v>2146</v>
      </c>
      <c r="V584" s="844" t="s">
        <v>991</v>
      </c>
      <c r="W584" s="761"/>
      <c r="X584" s="1263">
        <v>0</v>
      </c>
      <c r="Y584" s="807" t="s">
        <v>966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961</v>
      </c>
      <c r="BM584" s="1881" t="s">
        <v>961</v>
      </c>
      <c r="BN584" s="1881" t="s">
        <v>961</v>
      </c>
      <c r="BO584" s="1881" t="s">
        <v>961</v>
      </c>
      <c r="BP584" s="773" t="s">
        <v>961</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982</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984</v>
      </c>
      <c r="S585" s="761" t="s">
        <v>964</v>
      </c>
      <c r="T585" s="784" t="s">
        <v>977</v>
      </c>
      <c r="U585" s="761" t="s">
        <v>2146</v>
      </c>
      <c r="V585" s="844" t="s">
        <v>991</v>
      </c>
      <c r="W585" s="761"/>
      <c r="X585" s="1263">
        <v>0</v>
      </c>
      <c r="Y585" s="807" t="s">
        <v>966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961</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982</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984</v>
      </c>
      <c r="S586" s="761" t="s">
        <v>964</v>
      </c>
      <c r="T586" s="784" t="s">
        <v>977</v>
      </c>
      <c r="U586" s="761"/>
      <c r="V586" s="1237" t="s">
        <v>1004</v>
      </c>
      <c r="W586" s="761" t="s">
        <v>4376</v>
      </c>
      <c r="X586" s="817">
        <v>0</v>
      </c>
      <c r="Y586" s="807" t="s">
        <v>966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961</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982</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963</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982</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984</v>
      </c>
      <c r="S588" s="761" t="s">
        <v>964</v>
      </c>
      <c r="T588" s="784" t="s">
        <v>977</v>
      </c>
      <c r="U588" s="761"/>
      <c r="V588" s="761" t="s">
        <v>293</v>
      </c>
      <c r="W588" s="761" t="s">
        <v>4381</v>
      </c>
      <c r="X588" s="817">
        <v>0</v>
      </c>
      <c r="Y588" s="807" t="s">
        <v>966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961</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982</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963</v>
      </c>
      <c r="S589" s="761"/>
      <c r="T589" s="784"/>
      <c r="U589" s="761"/>
      <c r="V589" s="761" t="s">
        <v>293</v>
      </c>
      <c r="W589" s="761" t="s">
        <v>2717</v>
      </c>
      <c r="X589" s="1263">
        <v>0</v>
      </c>
      <c r="Y589" s="807" t="s">
        <v>966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982</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984</v>
      </c>
      <c r="S590" s="761" t="s">
        <v>964</v>
      </c>
      <c r="T590" s="784" t="s">
        <v>977</v>
      </c>
      <c r="U590" s="761"/>
      <c r="V590" s="1237" t="s">
        <v>1030</v>
      </c>
      <c r="W590" s="761"/>
      <c r="X590" s="1263">
        <v>0</v>
      </c>
      <c r="Y590" s="807" t="s">
        <v>978</v>
      </c>
      <c r="Z590" s="778"/>
      <c r="AA590" s="773"/>
      <c r="AB590" s="773"/>
      <c r="AC590" s="773"/>
      <c r="AD590" s="773"/>
      <c r="AE590" s="773"/>
      <c r="AF590" s="787"/>
      <c r="AG590" s="788"/>
      <c r="AH590" s="788"/>
      <c r="AI590" s="788"/>
      <c r="AJ590" s="788"/>
      <c r="AK590" s="788"/>
      <c r="AL590" s="788"/>
      <c r="AM590" s="788"/>
      <c r="AN590" s="788"/>
      <c r="AO590" s="788"/>
      <c r="AP590" s="788"/>
      <c r="AQ590" s="796" t="s">
        <v>874</v>
      </c>
      <c r="AR590" s="788" t="s">
        <v>874</v>
      </c>
      <c r="AS590" s="788" t="s">
        <v>874</v>
      </c>
      <c r="AT590" s="788" t="s">
        <v>874</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961</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982</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984</v>
      </c>
      <c r="S591" s="761" t="s">
        <v>964</v>
      </c>
      <c r="T591" s="784" t="s">
        <v>977</v>
      </c>
      <c r="U591" s="761"/>
      <c r="V591" s="1237" t="s">
        <v>991</v>
      </c>
      <c r="W591" s="761" t="s">
        <v>4390</v>
      </c>
      <c r="X591" s="917">
        <v>0</v>
      </c>
      <c r="Y591" s="807" t="s">
        <v>1010</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961</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982</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975</v>
      </c>
      <c r="S592" s="761" t="s">
        <v>964</v>
      </c>
      <c r="T592" s="784" t="s">
        <v>977</v>
      </c>
      <c r="U592" s="761"/>
      <c r="V592" s="1237" t="s">
        <v>1030</v>
      </c>
      <c r="W592" s="761" t="s">
        <v>4394</v>
      </c>
      <c r="X592" s="1263">
        <v>0</v>
      </c>
      <c r="Y592" s="807" t="s">
        <v>1010</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961</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1012</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988</v>
      </c>
      <c r="S593" s="761" t="s">
        <v>964</v>
      </c>
      <c r="T593" s="784" t="s">
        <v>965</v>
      </c>
      <c r="U593" s="761" t="s">
        <v>2058</v>
      </c>
      <c r="V593" s="761" t="s">
        <v>991</v>
      </c>
      <c r="W593" s="761" t="s">
        <v>4399</v>
      </c>
      <c r="X593" s="817">
        <v>0</v>
      </c>
      <c r="Y593" s="809" t="s">
        <v>966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961</v>
      </c>
      <c r="BM593" s="773" t="s">
        <v>961</v>
      </c>
      <c r="BN593" s="773" t="s">
        <v>961</v>
      </c>
      <c r="BO593" s="773" t="s">
        <v>961</v>
      </c>
      <c r="BP593" s="773" t="s">
        <v>961</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1012</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963</v>
      </c>
      <c r="S594" s="761"/>
      <c r="T594" s="784"/>
      <c r="U594" s="761" t="s">
        <v>2058</v>
      </c>
      <c r="V594" s="761" t="s">
        <v>991</v>
      </c>
      <c r="W594" s="761" t="s">
        <v>4403</v>
      </c>
      <c r="X594" s="817">
        <v>0</v>
      </c>
      <c r="Y594" s="809" t="s">
        <v>966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1012</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988</v>
      </c>
      <c r="S595" s="761" t="s">
        <v>964</v>
      </c>
      <c r="T595" s="784" t="s">
        <v>965</v>
      </c>
      <c r="U595" s="761" t="s">
        <v>2781</v>
      </c>
      <c r="V595" s="761" t="s">
        <v>293</v>
      </c>
      <c r="W595" s="761" t="s">
        <v>4407</v>
      </c>
      <c r="X595" s="817">
        <v>2</v>
      </c>
      <c r="Y595" s="809" t="s">
        <v>978</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961</v>
      </c>
      <c r="BM595" s="773" t="s">
        <v>961</v>
      </c>
      <c r="BN595" s="773" t="s">
        <v>961</v>
      </c>
      <c r="BO595" s="773" t="s">
        <v>961</v>
      </c>
      <c r="BP595" s="773" t="s">
        <v>961</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1012</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988</v>
      </c>
      <c r="S596" s="761" t="s">
        <v>964</v>
      </c>
      <c r="T596" s="784" t="s">
        <v>965</v>
      </c>
      <c r="U596" s="761" t="s">
        <v>2781</v>
      </c>
      <c r="V596" s="761" t="s">
        <v>991</v>
      </c>
      <c r="W596" s="761" t="s">
        <v>4411</v>
      </c>
      <c r="X596" s="817">
        <v>0</v>
      </c>
      <c r="Y596" s="809" t="s">
        <v>966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961</v>
      </c>
      <c r="BM596" s="773" t="s">
        <v>961</v>
      </c>
      <c r="BN596" s="773" t="s">
        <v>961</v>
      </c>
      <c r="BO596" s="773" t="s">
        <v>961</v>
      </c>
      <c r="BP596" s="784" t="s">
        <v>961</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1012</v>
      </c>
      <c r="B597" s="761">
        <v>591</v>
      </c>
      <c r="C597" s="777" t="s">
        <v>4412</v>
      </c>
      <c r="D597" s="761" t="s">
        <v>4413</v>
      </c>
      <c r="E597" s="761" t="s">
        <v>1936</v>
      </c>
      <c r="F597" s="773" t="s">
        <v>4414</v>
      </c>
      <c r="G597" s="778" t="s">
        <v>1960</v>
      </c>
      <c r="H597" s="779" t="s">
        <v>1027</v>
      </c>
      <c r="I597" s="780"/>
      <c r="J597" s="781"/>
      <c r="K597" s="781"/>
      <c r="L597" s="781"/>
      <c r="M597" s="781">
        <v>1</v>
      </c>
      <c r="N597" s="781"/>
      <c r="O597" s="781"/>
      <c r="P597" s="782"/>
      <c r="Q597" s="783">
        <f t="shared" si="9"/>
        <v>1</v>
      </c>
      <c r="R597" s="777" t="s">
        <v>988</v>
      </c>
      <c r="S597" s="761" t="s">
        <v>964</v>
      </c>
      <c r="T597" s="784" t="s">
        <v>965</v>
      </c>
      <c r="U597" s="761" t="s">
        <v>1027</v>
      </c>
      <c r="V597" s="761" t="s">
        <v>1039</v>
      </c>
      <c r="W597" s="761" t="s">
        <v>2068</v>
      </c>
      <c r="X597" s="1263">
        <v>2</v>
      </c>
      <c r="Y597" s="809" t="s">
        <v>966</v>
      </c>
      <c r="Z597" s="778" t="s">
        <v>1960</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customHeight="1">
      <c r="A598" s="760" t="s">
        <v>1012</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988</v>
      </c>
      <c r="S598" s="761" t="s">
        <v>964</v>
      </c>
      <c r="T598" s="784" t="s">
        <v>965</v>
      </c>
      <c r="U598" s="761" t="s">
        <v>1031</v>
      </c>
      <c r="V598" s="761" t="s">
        <v>1039</v>
      </c>
      <c r="W598" s="761" t="s">
        <v>4417</v>
      </c>
      <c r="X598" s="1263">
        <v>2</v>
      </c>
      <c r="Y598" s="809" t="s">
        <v>966</v>
      </c>
      <c r="Z598" s="778" t="s">
        <v>1964</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customHeight="1">
      <c r="A599" s="760" t="s">
        <v>1012</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963</v>
      </c>
      <c r="S599" s="761"/>
      <c r="T599" s="784"/>
      <c r="U599" s="761" t="s">
        <v>2058</v>
      </c>
      <c r="V599" s="761" t="s">
        <v>293</v>
      </c>
      <c r="W599" s="761" t="s">
        <v>4421</v>
      </c>
      <c r="X599" s="817">
        <v>0</v>
      </c>
      <c r="Y599" s="809" t="s">
        <v>966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1012</v>
      </c>
      <c r="B600" s="761">
        <v>594</v>
      </c>
      <c r="C600" s="777" t="s">
        <v>4422</v>
      </c>
      <c r="D600" s="761" t="s">
        <v>4423</v>
      </c>
      <c r="E600" s="761" t="s">
        <v>1936</v>
      </c>
      <c r="F600" s="773" t="s">
        <v>2401</v>
      </c>
      <c r="G600" s="778" t="s">
        <v>658</v>
      </c>
      <c r="H600" s="779" t="s">
        <v>4424</v>
      </c>
      <c r="I600" s="780"/>
      <c r="J600" s="781"/>
      <c r="K600" s="781"/>
      <c r="L600" s="781"/>
      <c r="M600" s="781">
        <v>1</v>
      </c>
      <c r="N600" s="781"/>
      <c r="O600" s="781"/>
      <c r="P600" s="782"/>
      <c r="Q600" s="783">
        <f t="shared" si="9"/>
        <v>1</v>
      </c>
      <c r="R600" s="777" t="s">
        <v>963</v>
      </c>
      <c r="S600" s="761"/>
      <c r="T600" s="784"/>
      <c r="U600" s="761" t="s">
        <v>2058</v>
      </c>
      <c r="V600" s="761" t="s">
        <v>293</v>
      </c>
      <c r="W600" s="761" t="s">
        <v>4425</v>
      </c>
      <c r="X600" s="817">
        <v>1</v>
      </c>
      <c r="Y600" s="809" t="s">
        <v>966</v>
      </c>
      <c r="Z600" s="778" t="s">
        <v>658</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customHeight="1">
      <c r="A601" s="760" t="s">
        <v>1012</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963</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1012</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988</v>
      </c>
      <c r="S602" s="761" t="s">
        <v>964</v>
      </c>
      <c r="T602" s="784" t="s">
        <v>965</v>
      </c>
      <c r="U602" s="761" t="s">
        <v>2423</v>
      </c>
      <c r="V602" s="761" t="s">
        <v>991</v>
      </c>
      <c r="W602" s="761" t="s">
        <v>4431</v>
      </c>
      <c r="X602" s="817">
        <v>0</v>
      </c>
      <c r="Y602" s="809" t="s">
        <v>966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961</v>
      </c>
      <c r="BM602" s="773" t="s">
        <v>961</v>
      </c>
      <c r="BN602" s="773" t="s">
        <v>961</v>
      </c>
      <c r="BO602" s="773" t="s">
        <v>961</v>
      </c>
      <c r="BP602" s="773" t="s">
        <v>961</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1012</v>
      </c>
      <c r="B603" s="761">
        <v>597</v>
      </c>
      <c r="C603" s="777" t="s">
        <v>4433</v>
      </c>
      <c r="D603" s="761" t="s">
        <v>4434</v>
      </c>
      <c r="E603" s="761" t="s">
        <v>1920</v>
      </c>
      <c r="F603" s="773" t="s">
        <v>4435</v>
      </c>
      <c r="G603" s="778" t="s">
        <v>629</v>
      </c>
      <c r="H603" s="779" t="s">
        <v>4436</v>
      </c>
      <c r="I603" s="780"/>
      <c r="J603" s="781">
        <v>1</v>
      </c>
      <c r="K603" s="781"/>
      <c r="L603" s="781"/>
      <c r="M603" s="781"/>
      <c r="N603" s="781"/>
      <c r="O603" s="781"/>
      <c r="P603" s="782"/>
      <c r="Q603" s="783">
        <f t="shared" si="9"/>
        <v>1</v>
      </c>
      <c r="R603" s="777" t="s">
        <v>988</v>
      </c>
      <c r="S603" s="761" t="s">
        <v>964</v>
      </c>
      <c r="T603" s="784" t="s">
        <v>965</v>
      </c>
      <c r="U603" s="761" t="s">
        <v>629</v>
      </c>
      <c r="V603" s="761" t="s">
        <v>293</v>
      </c>
      <c r="W603" s="761" t="s">
        <v>4437</v>
      </c>
      <c r="X603" s="817">
        <v>1</v>
      </c>
      <c r="Y603" s="807" t="s">
        <v>966</v>
      </c>
      <c r="Z603" s="778" t="s">
        <v>629</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customHeight="1">
      <c r="A604" s="760" t="s">
        <v>1012</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988</v>
      </c>
      <c r="S604" s="761" t="s">
        <v>964</v>
      </c>
      <c r="T604" s="1414" t="s">
        <v>977</v>
      </c>
      <c r="U604" s="761" t="s">
        <v>2083</v>
      </c>
      <c r="V604" s="761" t="s">
        <v>991</v>
      </c>
      <c r="W604" s="761" t="s">
        <v>4440</v>
      </c>
      <c r="X604" s="817">
        <v>1</v>
      </c>
      <c r="Y604" s="807" t="s">
        <v>978</v>
      </c>
      <c r="Z604" s="778" t="s">
        <v>1124</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customHeight="1">
      <c r="A605" s="760" t="s">
        <v>1012</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988</v>
      </c>
      <c r="S605" s="761" t="s">
        <v>964</v>
      </c>
      <c r="T605" s="784" t="s">
        <v>965</v>
      </c>
      <c r="U605" s="761" t="s">
        <v>629</v>
      </c>
      <c r="V605" s="761" t="s">
        <v>293</v>
      </c>
      <c r="W605" s="761" t="s">
        <v>4445</v>
      </c>
      <c r="X605" s="817">
        <v>0</v>
      </c>
      <c r="Y605" s="814" t="s">
        <v>966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961</v>
      </c>
      <c r="BM605" s="773" t="s">
        <v>961</v>
      </c>
      <c r="BN605" s="773" t="s">
        <v>961</v>
      </c>
      <c r="BO605" s="773" t="s">
        <v>961</v>
      </c>
      <c r="BP605" s="773" t="s">
        <v>961</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1012</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963</v>
      </c>
      <c r="S606" s="761"/>
      <c r="T606" s="784"/>
      <c r="U606" s="761" t="s">
        <v>2083</v>
      </c>
      <c r="V606" s="761" t="s">
        <v>991</v>
      </c>
      <c r="W606" s="761" t="s">
        <v>4450</v>
      </c>
      <c r="X606" s="817">
        <v>1</v>
      </c>
      <c r="Y606" s="809" t="s">
        <v>966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1012</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984</v>
      </c>
      <c r="S607" s="761" t="s">
        <v>964</v>
      </c>
      <c r="T607" s="784" t="s">
        <v>965</v>
      </c>
      <c r="U607" s="761" t="s">
        <v>1955</v>
      </c>
      <c r="V607" s="761" t="s">
        <v>1039</v>
      </c>
      <c r="W607" s="761" t="s">
        <v>2361</v>
      </c>
      <c r="X607" s="1263">
        <v>2</v>
      </c>
      <c r="Y607" s="809" t="s">
        <v>978</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customHeight="1">
      <c r="A608" s="760" t="s">
        <v>1012</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988</v>
      </c>
      <c r="S608" s="761" t="s">
        <v>964</v>
      </c>
      <c r="T608" s="784" t="s">
        <v>965</v>
      </c>
      <c r="U608" s="761" t="s">
        <v>2178</v>
      </c>
      <c r="V608" s="761" t="s">
        <v>991</v>
      </c>
      <c r="W608" s="761" t="s">
        <v>4459</v>
      </c>
      <c r="X608" s="817">
        <v>2</v>
      </c>
      <c r="Y608" s="809" t="s">
        <v>978</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961</v>
      </c>
      <c r="BM608" s="773" t="s">
        <v>961</v>
      </c>
      <c r="BN608" s="773" t="s">
        <v>961</v>
      </c>
      <c r="BO608" s="773" t="s">
        <v>961</v>
      </c>
      <c r="BP608" s="773" t="s">
        <v>961</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1012</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988</v>
      </c>
      <c r="S609" s="761" t="s">
        <v>964</v>
      </c>
      <c r="T609" s="784" t="s">
        <v>965</v>
      </c>
      <c r="U609" s="761" t="s">
        <v>1955</v>
      </c>
      <c r="V609" s="761" t="s">
        <v>1039</v>
      </c>
      <c r="W609" s="761" t="s">
        <v>4464</v>
      </c>
      <c r="X609" s="817">
        <v>0</v>
      </c>
      <c r="Y609" s="809" t="s">
        <v>966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961</v>
      </c>
      <c r="BM609" s="773" t="s">
        <v>961</v>
      </c>
      <c r="BN609" s="773" t="s">
        <v>961</v>
      </c>
      <c r="BO609" s="773" t="s">
        <v>961</v>
      </c>
      <c r="BP609" s="773" t="s">
        <v>961</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1012</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988</v>
      </c>
      <c r="S610" s="761" t="s">
        <v>964</v>
      </c>
      <c r="T610" s="784" t="s">
        <v>965</v>
      </c>
      <c r="U610" s="761" t="s">
        <v>1955</v>
      </c>
      <c r="V610" s="761" t="s">
        <v>991</v>
      </c>
      <c r="W610" s="761" t="s">
        <v>4469</v>
      </c>
      <c r="X610" s="817">
        <v>0</v>
      </c>
      <c r="Y610" s="809" t="s">
        <v>966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961</v>
      </c>
      <c r="BM610" s="1881" t="s">
        <v>961</v>
      </c>
      <c r="BN610" s="1881" t="s">
        <v>961</v>
      </c>
      <c r="BO610" s="1881" t="s">
        <v>961</v>
      </c>
      <c r="BP610" s="773" t="s">
        <v>961</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1012</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963</v>
      </c>
      <c r="S611" s="761"/>
      <c r="T611" s="784"/>
      <c r="U611" s="761" t="s">
        <v>1955</v>
      </c>
      <c r="V611" s="761" t="s">
        <v>1039</v>
      </c>
      <c r="W611" s="761" t="s">
        <v>2361</v>
      </c>
      <c r="X611" s="817">
        <v>3</v>
      </c>
      <c r="Y611" s="809" t="s">
        <v>978</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961</v>
      </c>
      <c r="BM611" s="773" t="s">
        <v>961</v>
      </c>
      <c r="BN611" s="773" t="s">
        <v>961</v>
      </c>
      <c r="BO611" s="773" t="s">
        <v>961</v>
      </c>
      <c r="BP611" s="773" t="s">
        <v>961</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1012</v>
      </c>
      <c r="B612" s="761">
        <v>606</v>
      </c>
      <c r="C612" s="777" t="s">
        <v>4474</v>
      </c>
      <c r="D612" s="761" t="s">
        <v>4475</v>
      </c>
      <c r="E612" s="761" t="s">
        <v>1920</v>
      </c>
      <c r="F612" s="773" t="s">
        <v>2450</v>
      </c>
      <c r="G612" s="778" t="s">
        <v>687</v>
      </c>
      <c r="H612" s="779" t="s">
        <v>4476</v>
      </c>
      <c r="I612" s="780"/>
      <c r="J612" s="781"/>
      <c r="K612" s="781">
        <v>1</v>
      </c>
      <c r="L612" s="781"/>
      <c r="M612" s="781"/>
      <c r="N612" s="781"/>
      <c r="O612" s="781"/>
      <c r="P612" s="782"/>
      <c r="Q612" s="783">
        <f t="shared" si="9"/>
        <v>1</v>
      </c>
      <c r="R612" s="777" t="s">
        <v>988</v>
      </c>
      <c r="S612" s="761" t="s">
        <v>964</v>
      </c>
      <c r="T612" s="784" t="s">
        <v>965</v>
      </c>
      <c r="U612" s="761" t="s">
        <v>2087</v>
      </c>
      <c r="V612" s="761" t="s">
        <v>991</v>
      </c>
      <c r="W612" s="761" t="s">
        <v>4477</v>
      </c>
      <c r="X612" s="817">
        <v>2</v>
      </c>
      <c r="Y612" s="809" t="s">
        <v>978</v>
      </c>
      <c r="Z612" s="778" t="s">
        <v>687</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customHeight="1">
      <c r="A613" s="760" t="s">
        <v>1012</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988</v>
      </c>
      <c r="S613" s="761" t="s">
        <v>964</v>
      </c>
      <c r="T613" s="784" t="s">
        <v>965</v>
      </c>
      <c r="U613" s="761" t="s">
        <v>2087</v>
      </c>
      <c r="V613" s="761" t="s">
        <v>991</v>
      </c>
      <c r="W613" s="761" t="s">
        <v>4477</v>
      </c>
      <c r="X613" s="817">
        <v>2</v>
      </c>
      <c r="Y613" s="809" t="s">
        <v>978</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961</v>
      </c>
      <c r="BM613" s="773" t="s">
        <v>961</v>
      </c>
      <c r="BN613" s="773" t="s">
        <v>961</v>
      </c>
      <c r="BO613" s="773" t="s">
        <v>961</v>
      </c>
      <c r="BP613" s="773" t="s">
        <v>961</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1012</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984</v>
      </c>
      <c r="S614" s="761" t="s">
        <v>964</v>
      </c>
      <c r="T614" s="784" t="s">
        <v>965</v>
      </c>
      <c r="U614" s="761" t="s">
        <v>2087</v>
      </c>
      <c r="V614" s="761" t="s">
        <v>1039</v>
      </c>
      <c r="W614" s="761" t="s">
        <v>2361</v>
      </c>
      <c r="X614" s="817">
        <v>0</v>
      </c>
      <c r="Y614" s="809" t="s">
        <v>978</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961</v>
      </c>
      <c r="BM614" s="773" t="s">
        <v>961</v>
      </c>
      <c r="BN614" s="773" t="s">
        <v>961</v>
      </c>
      <c r="BO614" s="773" t="s">
        <v>961</v>
      </c>
      <c r="BP614" s="773" t="s">
        <v>961</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1012</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984</v>
      </c>
      <c r="S615" s="761" t="s">
        <v>964</v>
      </c>
      <c r="T615" s="784" t="s">
        <v>965</v>
      </c>
      <c r="U615" s="761" t="s">
        <v>1939</v>
      </c>
      <c r="V615" s="761" t="s">
        <v>991</v>
      </c>
      <c r="W615" s="761" t="s">
        <v>4489</v>
      </c>
      <c r="X615" s="817">
        <v>0</v>
      </c>
      <c r="Y615" s="809" t="s">
        <v>978</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961</v>
      </c>
      <c r="BM615" s="1881" t="s">
        <v>961</v>
      </c>
      <c r="BN615" s="1881" t="s">
        <v>961</v>
      </c>
      <c r="BO615" s="1881" t="s">
        <v>961</v>
      </c>
      <c r="BP615" s="773" t="s">
        <v>961</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973</v>
      </c>
      <c r="DD615" s="801">
        <v>1</v>
      </c>
      <c r="DE615" s="802"/>
    </row>
    <row r="616" spans="1:109" ht="15.75" customHeight="1">
      <c r="A616" s="760" t="s">
        <v>1012</v>
      </c>
      <c r="B616" s="761">
        <v>610</v>
      </c>
      <c r="C616" s="777" t="s">
        <v>4490</v>
      </c>
      <c r="D616" s="761" t="s">
        <v>4491</v>
      </c>
      <c r="E616" s="761" t="s">
        <v>1920</v>
      </c>
      <c r="F616" s="773" t="s">
        <v>4492</v>
      </c>
      <c r="G616" s="778" t="s">
        <v>154</v>
      </c>
      <c r="H616" s="779" t="s">
        <v>4493</v>
      </c>
      <c r="I616" s="780"/>
      <c r="J616" s="781">
        <v>1</v>
      </c>
      <c r="K616" s="781"/>
      <c r="L616" s="781"/>
      <c r="M616" s="781"/>
      <c r="N616" s="781"/>
      <c r="O616" s="781"/>
      <c r="P616" s="782"/>
      <c r="Q616" s="783">
        <f t="shared" si="9"/>
        <v>1</v>
      </c>
      <c r="R616" s="777" t="s">
        <v>988</v>
      </c>
      <c r="S616" s="761" t="s">
        <v>964</v>
      </c>
      <c r="T616" s="784" t="s">
        <v>965</v>
      </c>
      <c r="U616" s="761" t="s">
        <v>1923</v>
      </c>
      <c r="V616" s="761" t="s">
        <v>987</v>
      </c>
      <c r="W616" s="761" t="s">
        <v>2510</v>
      </c>
      <c r="X616" s="1263">
        <v>0</v>
      </c>
      <c r="Y616" s="786" t="s">
        <v>978</v>
      </c>
      <c r="Z616" s="778" t="s">
        <v>154</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customHeight="1">
      <c r="A617" s="760" t="s">
        <v>1012</v>
      </c>
      <c r="B617" s="761">
        <v>611</v>
      </c>
      <c r="C617" s="777" t="s">
        <v>4494</v>
      </c>
      <c r="D617" s="761" t="s">
        <v>4491</v>
      </c>
      <c r="E617" s="761" t="s">
        <v>1936</v>
      </c>
      <c r="F617" s="773" t="s">
        <v>4495</v>
      </c>
      <c r="G617" s="778" t="s">
        <v>499</v>
      </c>
      <c r="H617" s="779" t="s">
        <v>4496</v>
      </c>
      <c r="I617" s="780">
        <v>1</v>
      </c>
      <c r="J617" s="781"/>
      <c r="K617" s="781"/>
      <c r="L617" s="781"/>
      <c r="M617" s="781"/>
      <c r="N617" s="781"/>
      <c r="O617" s="781"/>
      <c r="P617" s="782"/>
      <c r="Q617" s="783">
        <f t="shared" si="9"/>
        <v>1</v>
      </c>
      <c r="R617" s="777" t="s">
        <v>963</v>
      </c>
      <c r="S617" s="761"/>
      <c r="T617" s="784"/>
      <c r="U617" s="761" t="s">
        <v>2960</v>
      </c>
      <c r="V617" s="761" t="s">
        <v>293</v>
      </c>
      <c r="W617" s="761" t="s">
        <v>2961</v>
      </c>
      <c r="X617" s="1263">
        <v>1</v>
      </c>
      <c r="Y617" s="786" t="s">
        <v>978</v>
      </c>
      <c r="Z617" s="778" t="s">
        <v>499</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customHeight="1">
      <c r="A618" s="760" t="s">
        <v>1012</v>
      </c>
      <c r="B618" s="761">
        <v>612</v>
      </c>
      <c r="C618" s="777" t="s">
        <v>4497</v>
      </c>
      <c r="D618" s="761" t="s">
        <v>4491</v>
      </c>
      <c r="E618" s="761" t="s">
        <v>1936</v>
      </c>
      <c r="F618" s="773" t="s">
        <v>4498</v>
      </c>
      <c r="G618" s="778" t="s">
        <v>778</v>
      </c>
      <c r="H618" s="779" t="s">
        <v>4499</v>
      </c>
      <c r="I618" s="780"/>
      <c r="J618" s="781"/>
      <c r="K618" s="781">
        <v>1</v>
      </c>
      <c r="L618" s="781"/>
      <c r="M618" s="781"/>
      <c r="N618" s="781"/>
      <c r="O618" s="781"/>
      <c r="P618" s="782"/>
      <c r="Q618" s="783">
        <f t="shared" si="9"/>
        <v>1</v>
      </c>
      <c r="R618" s="777" t="s">
        <v>963</v>
      </c>
      <c r="S618" s="761"/>
      <c r="T618" s="784"/>
      <c r="U618" s="761" t="s">
        <v>2087</v>
      </c>
      <c r="V618" s="761" t="s">
        <v>293</v>
      </c>
      <c r="W618" s="761" t="s">
        <v>2961</v>
      </c>
      <c r="X618" s="817">
        <v>2</v>
      </c>
      <c r="Y618" s="786" t="s">
        <v>978</v>
      </c>
      <c r="Z618" s="778" t="s">
        <v>778</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customHeight="1">
      <c r="A619" s="760" t="s">
        <v>1012</v>
      </c>
      <c r="B619" s="761">
        <v>613</v>
      </c>
      <c r="C619" s="777" t="s">
        <v>4500</v>
      </c>
      <c r="D619" s="761" t="s">
        <v>4491</v>
      </c>
      <c r="E619" s="761" t="s">
        <v>1927</v>
      </c>
      <c r="F619" s="773" t="s">
        <v>4501</v>
      </c>
      <c r="G619" s="778" t="s">
        <v>178</v>
      </c>
      <c r="H619" s="779" t="s">
        <v>4502</v>
      </c>
      <c r="I619" s="780"/>
      <c r="J619" s="781">
        <v>1</v>
      </c>
      <c r="K619" s="781"/>
      <c r="L619" s="781"/>
      <c r="M619" s="781"/>
      <c r="N619" s="781"/>
      <c r="O619" s="781"/>
      <c r="P619" s="782"/>
      <c r="Q619" s="783">
        <f t="shared" si="9"/>
        <v>1</v>
      </c>
      <c r="R619" s="777" t="s">
        <v>984</v>
      </c>
      <c r="S619" s="761" t="s">
        <v>964</v>
      </c>
      <c r="T619" s="784" t="s">
        <v>965</v>
      </c>
      <c r="U619" s="761" t="s">
        <v>2103</v>
      </c>
      <c r="V619" s="761" t="s">
        <v>991</v>
      </c>
      <c r="W619" s="761" t="s">
        <v>4503</v>
      </c>
      <c r="X619" s="1263">
        <v>1</v>
      </c>
      <c r="Y619" s="786" t="s">
        <v>978</v>
      </c>
      <c r="Z619" s="778" t="s">
        <v>178</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customHeight="1">
      <c r="A620" s="760" t="s">
        <v>1012</v>
      </c>
      <c r="B620" s="761">
        <v>614</v>
      </c>
      <c r="C620" s="777" t="s">
        <v>4504</v>
      </c>
      <c r="D620" s="761" t="s">
        <v>4491</v>
      </c>
      <c r="E620" s="761" t="s">
        <v>1936</v>
      </c>
      <c r="F620" s="773" t="s">
        <v>4505</v>
      </c>
      <c r="G620" s="778" t="s">
        <v>184</v>
      </c>
      <c r="H620" s="779" t="s">
        <v>4506</v>
      </c>
      <c r="I620" s="780"/>
      <c r="J620" s="781">
        <v>1</v>
      </c>
      <c r="K620" s="781"/>
      <c r="L620" s="781"/>
      <c r="M620" s="781"/>
      <c r="N620" s="781"/>
      <c r="O620" s="781"/>
      <c r="P620" s="782"/>
      <c r="Q620" s="783">
        <f t="shared" si="9"/>
        <v>1</v>
      </c>
      <c r="R620" s="777" t="s">
        <v>984</v>
      </c>
      <c r="S620" s="761" t="s">
        <v>964</v>
      </c>
      <c r="T620" s="784" t="s">
        <v>965</v>
      </c>
      <c r="U620" s="761" t="s">
        <v>1944</v>
      </c>
      <c r="V620" s="761" t="s">
        <v>293</v>
      </c>
      <c r="W620" s="761" t="s">
        <v>4507</v>
      </c>
      <c r="X620" s="817">
        <v>2</v>
      </c>
      <c r="Y620" s="807" t="s">
        <v>978</v>
      </c>
      <c r="Z620" s="778" t="s">
        <v>184</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customHeight="1">
      <c r="A621" s="760" t="s">
        <v>1012</v>
      </c>
      <c r="B621" s="761">
        <v>615</v>
      </c>
      <c r="C621" s="777" t="s">
        <v>4508</v>
      </c>
      <c r="D621" s="761" t="s">
        <v>4491</v>
      </c>
      <c r="E621" s="761" t="s">
        <v>1927</v>
      </c>
      <c r="F621" s="773" t="s">
        <v>4509</v>
      </c>
      <c r="G621" s="778" t="s">
        <v>693</v>
      </c>
      <c r="H621" s="779" t="s">
        <v>4510</v>
      </c>
      <c r="I621" s="780"/>
      <c r="J621" s="781"/>
      <c r="K621" s="781">
        <v>1</v>
      </c>
      <c r="L621" s="781"/>
      <c r="M621" s="781"/>
      <c r="N621" s="781"/>
      <c r="O621" s="781"/>
      <c r="P621" s="782"/>
      <c r="Q621" s="783">
        <f t="shared" si="9"/>
        <v>1</v>
      </c>
      <c r="R621" s="777" t="s">
        <v>984</v>
      </c>
      <c r="S621" s="761" t="s">
        <v>964</v>
      </c>
      <c r="T621" s="784" t="s">
        <v>965</v>
      </c>
      <c r="U621" s="761" t="s">
        <v>1939</v>
      </c>
      <c r="V621" s="761" t="s">
        <v>991</v>
      </c>
      <c r="W621" s="761" t="s">
        <v>4511</v>
      </c>
      <c r="X621" s="1263">
        <v>2</v>
      </c>
      <c r="Y621" s="807" t="s">
        <v>978</v>
      </c>
      <c r="Z621" s="778" t="s">
        <v>693</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customHeight="1">
      <c r="A622" s="760" t="s">
        <v>1012</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984</v>
      </c>
      <c r="S622" s="761" t="s">
        <v>964</v>
      </c>
      <c r="T622" s="784" t="s">
        <v>965</v>
      </c>
      <c r="U622" s="761" t="s">
        <v>2960</v>
      </c>
      <c r="V622" s="761" t="s">
        <v>991</v>
      </c>
      <c r="W622" s="761" t="s">
        <v>4516</v>
      </c>
      <c r="X622" s="817">
        <v>0</v>
      </c>
      <c r="Y622" s="807" t="s">
        <v>978</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961</v>
      </c>
      <c r="BM622" s="773" t="s">
        <v>961</v>
      </c>
      <c r="BN622" s="773" t="s">
        <v>961</v>
      </c>
      <c r="BO622" s="773" t="s">
        <v>961</v>
      </c>
      <c r="BP622" s="784" t="s">
        <v>961</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1012</v>
      </c>
      <c r="B623" s="761">
        <v>617</v>
      </c>
      <c r="C623" s="777" t="s">
        <v>4517</v>
      </c>
      <c r="D623" s="761" t="s">
        <v>4518</v>
      </c>
      <c r="E623" s="761" t="s">
        <v>1920</v>
      </c>
      <c r="F623" s="773" t="s">
        <v>2427</v>
      </c>
      <c r="G623" s="778" t="s">
        <v>1016</v>
      </c>
      <c r="H623" s="779" t="s">
        <v>4519</v>
      </c>
      <c r="I623" s="780"/>
      <c r="J623" s="781"/>
      <c r="K623" s="781">
        <v>1</v>
      </c>
      <c r="L623" s="781"/>
      <c r="M623" s="781"/>
      <c r="N623" s="781"/>
      <c r="O623" s="781"/>
      <c r="P623" s="782"/>
      <c r="Q623" s="783">
        <f t="shared" si="9"/>
        <v>1</v>
      </c>
      <c r="R623" s="777" t="s">
        <v>984</v>
      </c>
      <c r="S623" s="761" t="s">
        <v>964</v>
      </c>
      <c r="T623" s="784" t="s">
        <v>965</v>
      </c>
      <c r="U623" s="761" t="s">
        <v>2135</v>
      </c>
      <c r="V623" s="761" t="s">
        <v>293</v>
      </c>
      <c r="W623" s="761" t="s">
        <v>4520</v>
      </c>
      <c r="X623" s="1263">
        <v>2</v>
      </c>
      <c r="Y623" s="809" t="s">
        <v>966</v>
      </c>
      <c r="Z623" s="778" t="s">
        <v>1016</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customHeight="1">
      <c r="A624" s="760" t="s">
        <v>1012</v>
      </c>
      <c r="B624" s="761">
        <v>618</v>
      </c>
      <c r="C624" s="777" t="s">
        <v>4521</v>
      </c>
      <c r="D624" s="761" t="s">
        <v>4518</v>
      </c>
      <c r="E624" s="761" t="s">
        <v>1920</v>
      </c>
      <c r="F624" s="773" t="s">
        <v>2431</v>
      </c>
      <c r="G624" s="778" t="s">
        <v>689</v>
      </c>
      <c r="H624" s="779" t="s">
        <v>4522</v>
      </c>
      <c r="I624" s="780"/>
      <c r="J624" s="781"/>
      <c r="K624" s="781">
        <v>1</v>
      </c>
      <c r="L624" s="781"/>
      <c r="M624" s="781"/>
      <c r="N624" s="781"/>
      <c r="O624" s="781"/>
      <c r="P624" s="782"/>
      <c r="Q624" s="783">
        <f t="shared" si="9"/>
        <v>1</v>
      </c>
      <c r="R624" s="777" t="s">
        <v>988</v>
      </c>
      <c r="S624" s="761" t="s">
        <v>964</v>
      </c>
      <c r="T624" s="784" t="s">
        <v>965</v>
      </c>
      <c r="U624" s="761" t="s">
        <v>689</v>
      </c>
      <c r="V624" s="761" t="s">
        <v>991</v>
      </c>
      <c r="W624" s="761" t="s">
        <v>4523</v>
      </c>
      <c r="X624" s="1263">
        <v>2</v>
      </c>
      <c r="Y624" s="807" t="s">
        <v>978</v>
      </c>
      <c r="Z624" s="778" t="s">
        <v>689</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customHeight="1">
      <c r="A625" s="760" t="s">
        <v>1012</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988</v>
      </c>
      <c r="S625" s="761" t="s">
        <v>964</v>
      </c>
      <c r="T625" s="784" t="s">
        <v>965</v>
      </c>
      <c r="U625" s="761" t="s">
        <v>2008</v>
      </c>
      <c r="V625" s="761" t="s">
        <v>991</v>
      </c>
      <c r="W625" s="761" t="s">
        <v>4527</v>
      </c>
      <c r="X625" s="817">
        <v>0</v>
      </c>
      <c r="Y625" s="810" t="s">
        <v>978</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961</v>
      </c>
      <c r="BM625" s="773" t="s">
        <v>961</v>
      </c>
      <c r="BN625" s="773" t="s">
        <v>961</v>
      </c>
      <c r="BO625" s="773" t="s">
        <v>961</v>
      </c>
      <c r="BP625" s="784" t="s">
        <v>961</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1012</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988</v>
      </c>
      <c r="S626" s="761" t="s">
        <v>964</v>
      </c>
      <c r="T626" s="784" t="s">
        <v>965</v>
      </c>
      <c r="U626" s="761" t="s">
        <v>2315</v>
      </c>
      <c r="V626" s="761" t="s">
        <v>293</v>
      </c>
      <c r="W626" s="761" t="s">
        <v>4531</v>
      </c>
      <c r="X626" s="817">
        <v>0</v>
      </c>
      <c r="Y626" s="814" t="s">
        <v>966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961</v>
      </c>
      <c r="BM626" s="773" t="s">
        <v>961</v>
      </c>
      <c r="BN626" s="773" t="s">
        <v>961</v>
      </c>
      <c r="BO626" s="773" t="s">
        <v>961</v>
      </c>
      <c r="BP626" s="784" t="s">
        <v>961</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1012</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984</v>
      </c>
      <c r="S627" s="761" t="s">
        <v>964</v>
      </c>
      <c r="T627" s="784" t="s">
        <v>965</v>
      </c>
      <c r="U627" s="761" t="s">
        <v>2161</v>
      </c>
      <c r="V627" s="761" t="s">
        <v>991</v>
      </c>
      <c r="W627" s="761" t="s">
        <v>4534</v>
      </c>
      <c r="X627" s="817">
        <v>0</v>
      </c>
      <c r="Y627" s="809" t="s">
        <v>978</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961</v>
      </c>
      <c r="BM627" s="773" t="s">
        <v>961</v>
      </c>
      <c r="BN627" s="773" t="s">
        <v>961</v>
      </c>
      <c r="BO627" s="773" t="s">
        <v>961</v>
      </c>
      <c r="BP627" s="784" t="s">
        <v>961</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1012</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988</v>
      </c>
      <c r="S628" s="761" t="s">
        <v>964</v>
      </c>
      <c r="T628" s="784" t="s">
        <v>965</v>
      </c>
      <c r="U628" s="761" t="s">
        <v>2332</v>
      </c>
      <c r="V628" s="761" t="s">
        <v>991</v>
      </c>
      <c r="W628" s="761" t="s">
        <v>4539</v>
      </c>
      <c r="X628" s="817">
        <v>0</v>
      </c>
      <c r="Y628" s="814" t="s">
        <v>966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961</v>
      </c>
      <c r="BM628" s="773" t="s">
        <v>961</v>
      </c>
      <c r="BN628" s="773" t="s">
        <v>961</v>
      </c>
      <c r="BO628" s="773" t="s">
        <v>961</v>
      </c>
      <c r="BP628" s="784" t="s">
        <v>961</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1012</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988</v>
      </c>
      <c r="S629" s="761" t="s">
        <v>964</v>
      </c>
      <c r="T629" s="784" t="s">
        <v>965</v>
      </c>
      <c r="U629" s="761" t="s">
        <v>2332</v>
      </c>
      <c r="V629" s="761" t="s">
        <v>991</v>
      </c>
      <c r="W629" s="761" t="s">
        <v>4544</v>
      </c>
      <c r="X629" s="817">
        <v>0</v>
      </c>
      <c r="Y629" s="814" t="s">
        <v>966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961</v>
      </c>
      <c r="BM629" s="773" t="s">
        <v>961</v>
      </c>
      <c r="BN629" s="773" t="s">
        <v>961</v>
      </c>
      <c r="BO629" s="773" t="s">
        <v>961</v>
      </c>
      <c r="BP629" s="784" t="s">
        <v>961</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1012</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984</v>
      </c>
      <c r="S630" s="761" t="s">
        <v>964</v>
      </c>
      <c r="T630" s="784" t="s">
        <v>965</v>
      </c>
      <c r="U630" s="761" t="s">
        <v>711</v>
      </c>
      <c r="V630" s="761" t="s">
        <v>293</v>
      </c>
      <c r="W630" s="761" t="s">
        <v>4548</v>
      </c>
      <c r="X630" s="817">
        <v>2</v>
      </c>
      <c r="Y630" s="814" t="s">
        <v>966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961</v>
      </c>
      <c r="BM630" s="773" t="s">
        <v>961</v>
      </c>
      <c r="BN630" s="773" t="s">
        <v>961</v>
      </c>
      <c r="BO630" s="773" t="s">
        <v>961</v>
      </c>
      <c r="BP630" s="784" t="s">
        <v>961</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1012</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975</v>
      </c>
      <c r="S631" s="761" t="s">
        <v>964</v>
      </c>
      <c r="T631" s="784" t="s">
        <v>965</v>
      </c>
      <c r="U631" s="761" t="s">
        <v>2135</v>
      </c>
      <c r="V631" s="761" t="s">
        <v>991</v>
      </c>
      <c r="W631" s="761" t="s">
        <v>2205</v>
      </c>
      <c r="X631" s="817">
        <v>0</v>
      </c>
      <c r="Y631" s="814" t="s">
        <v>966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961</v>
      </c>
      <c r="BM631" s="773" t="s">
        <v>961</v>
      </c>
      <c r="BN631" s="773" t="s">
        <v>961</v>
      </c>
      <c r="BO631" s="773" t="s">
        <v>961</v>
      </c>
      <c r="BP631" s="784" t="s">
        <v>961</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1012</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984</v>
      </c>
      <c r="S632" s="761" t="s">
        <v>964</v>
      </c>
      <c r="T632" s="784" t="s">
        <v>965</v>
      </c>
      <c r="U632" s="761" t="s">
        <v>2135</v>
      </c>
      <c r="V632" s="844" t="s">
        <v>994</v>
      </c>
      <c r="W632" s="761" t="s">
        <v>4556</v>
      </c>
      <c r="X632" s="817">
        <v>1</v>
      </c>
      <c r="Y632" s="814" t="s">
        <v>966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961</v>
      </c>
      <c r="BM632" s="773" t="s">
        <v>961</v>
      </c>
      <c r="BN632" s="773" t="s">
        <v>961</v>
      </c>
      <c r="BO632" s="773" t="s">
        <v>961</v>
      </c>
      <c r="BP632" s="784" t="s">
        <v>961</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1012</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975</v>
      </c>
      <c r="S633" s="761" t="s">
        <v>964</v>
      </c>
      <c r="T633" s="784" t="s">
        <v>965</v>
      </c>
      <c r="U633" s="761" t="s">
        <v>2135</v>
      </c>
      <c r="V633" s="844" t="s">
        <v>994</v>
      </c>
      <c r="W633" s="761" t="s">
        <v>4561</v>
      </c>
      <c r="X633" s="817">
        <v>1</v>
      </c>
      <c r="Y633" s="814" t="s">
        <v>966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961</v>
      </c>
      <c r="BM633" s="773" t="s">
        <v>961</v>
      </c>
      <c r="BN633" s="773" t="s">
        <v>961</v>
      </c>
      <c r="BO633" s="773" t="s">
        <v>961</v>
      </c>
      <c r="BP633" s="784" t="s">
        <v>961</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1012</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988</v>
      </c>
      <c r="S634" s="761" t="s">
        <v>964</v>
      </c>
      <c r="T634" s="784" t="s">
        <v>965</v>
      </c>
      <c r="U634" s="761" t="s">
        <v>2008</v>
      </c>
      <c r="V634" s="844" t="s">
        <v>4566</v>
      </c>
      <c r="W634" s="761" t="s">
        <v>4527</v>
      </c>
      <c r="X634" s="817">
        <v>0</v>
      </c>
      <c r="Y634" s="814" t="s">
        <v>978</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961</v>
      </c>
      <c r="BM634" s="773" t="s">
        <v>961</v>
      </c>
      <c r="BN634" s="773" t="s">
        <v>961</v>
      </c>
      <c r="BO634" s="773" t="s">
        <v>961</v>
      </c>
      <c r="BP634" s="784" t="s">
        <v>961</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1012</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963</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1012</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984</v>
      </c>
      <c r="S636" s="761" t="s">
        <v>964</v>
      </c>
      <c r="T636" s="784" t="s">
        <v>965</v>
      </c>
      <c r="U636" s="761"/>
      <c r="V636" s="1237" t="s">
        <v>2721</v>
      </c>
      <c r="W636" s="761" t="s">
        <v>4571</v>
      </c>
      <c r="X636" s="817">
        <v>0</v>
      </c>
      <c r="Y636" s="1292" t="s">
        <v>978</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961</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1012</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963</v>
      </c>
      <c r="S637" s="761"/>
      <c r="T637" s="784"/>
      <c r="U637" s="761"/>
      <c r="V637" s="761" t="s">
        <v>293</v>
      </c>
      <c r="W637" s="761" t="s">
        <v>2717</v>
      </c>
      <c r="X637" s="1265">
        <v>0</v>
      </c>
      <c r="Y637" s="807" t="s">
        <v>966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1012</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984</v>
      </c>
      <c r="S638" s="761" t="s">
        <v>964</v>
      </c>
      <c r="T638" s="784" t="s">
        <v>977</v>
      </c>
      <c r="U638" s="761"/>
      <c r="V638" s="761" t="s">
        <v>2721</v>
      </c>
      <c r="W638" s="761"/>
      <c r="X638" s="817">
        <v>0</v>
      </c>
      <c r="Y638" s="807" t="s">
        <v>978</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961</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1015</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975</v>
      </c>
      <c r="S639" s="761" t="s">
        <v>964</v>
      </c>
      <c r="T639" s="784" t="s">
        <v>977</v>
      </c>
      <c r="U639" s="761" t="s">
        <v>2332</v>
      </c>
      <c r="V639" s="761" t="s">
        <v>991</v>
      </c>
      <c r="W639" s="761" t="s">
        <v>4580</v>
      </c>
      <c r="X639" s="817">
        <v>0</v>
      </c>
      <c r="Y639" s="814" t="s">
        <v>966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961</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973</v>
      </c>
      <c r="DD639" s="801">
        <v>1</v>
      </c>
      <c r="DE639" s="802"/>
    </row>
    <row r="640" spans="1:109" ht="15.75" customHeight="1">
      <c r="A640" s="760" t="s">
        <v>1015</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988</v>
      </c>
      <c r="S640" s="761" t="s">
        <v>964</v>
      </c>
      <c r="T640" s="784" t="s">
        <v>977</v>
      </c>
      <c r="U640" s="761" t="s">
        <v>2135</v>
      </c>
      <c r="V640" s="761" t="s">
        <v>991</v>
      </c>
      <c r="W640" s="761" t="s">
        <v>4585</v>
      </c>
      <c r="X640" s="817">
        <v>0</v>
      </c>
      <c r="Y640" s="814" t="s">
        <v>966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973</v>
      </c>
      <c r="BM640" s="773" t="s">
        <v>973</v>
      </c>
      <c r="BN640" s="773" t="s">
        <v>973</v>
      </c>
      <c r="BO640" s="773" t="s">
        <v>973</v>
      </c>
      <c r="BP640" s="784" t="s">
        <v>961</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1015</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963</v>
      </c>
      <c r="S641" s="761"/>
      <c r="T641" s="784"/>
      <c r="U641" s="761" t="s">
        <v>1996</v>
      </c>
      <c r="V641" s="761" t="s">
        <v>293</v>
      </c>
      <c r="W641" s="761" t="s">
        <v>4589</v>
      </c>
      <c r="X641" s="1298">
        <v>1</v>
      </c>
      <c r="Y641" s="814" t="s">
        <v>966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1015</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988</v>
      </c>
      <c r="S642" s="761" t="s">
        <v>964</v>
      </c>
      <c r="T642" s="784" t="s">
        <v>977</v>
      </c>
      <c r="U642" s="761" t="s">
        <v>2135</v>
      </c>
      <c r="V642" s="761" t="s">
        <v>994</v>
      </c>
      <c r="W642" s="761" t="s">
        <v>4593</v>
      </c>
      <c r="X642" s="1263">
        <v>2</v>
      </c>
      <c r="Y642" s="814" t="s">
        <v>966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973</v>
      </c>
      <c r="BM642" s="773" t="s">
        <v>973</v>
      </c>
      <c r="BN642" s="773" t="s">
        <v>973</v>
      </c>
      <c r="BO642" s="773" t="s">
        <v>973</v>
      </c>
      <c r="BP642" s="784" t="s">
        <v>961</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1015</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963</v>
      </c>
      <c r="S643" s="761"/>
      <c r="T643" s="784"/>
      <c r="U643" s="761" t="s">
        <v>2135</v>
      </c>
      <c r="V643" s="761" t="s">
        <v>991</v>
      </c>
      <c r="W643" s="761" t="s">
        <v>4597</v>
      </c>
      <c r="X643" s="1298">
        <v>0</v>
      </c>
      <c r="Y643" s="814" t="s">
        <v>966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1015</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988</v>
      </c>
      <c r="S644" s="761" t="s">
        <v>964</v>
      </c>
      <c r="T644" s="784" t="s">
        <v>965</v>
      </c>
      <c r="U644" s="761" t="s">
        <v>2161</v>
      </c>
      <c r="V644" s="761" t="s">
        <v>293</v>
      </c>
      <c r="W644" s="761" t="s">
        <v>2813</v>
      </c>
      <c r="X644" s="1263">
        <v>1</v>
      </c>
      <c r="Y644" s="814" t="s">
        <v>966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961</v>
      </c>
      <c r="BM644" s="773" t="s">
        <v>961</v>
      </c>
      <c r="BN644" s="773" t="s">
        <v>961</v>
      </c>
      <c r="BO644" s="773" t="s">
        <v>961</v>
      </c>
      <c r="BP644" s="784" t="s">
        <v>961</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1015</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963</v>
      </c>
      <c r="S645" s="761"/>
      <c r="T645" s="784"/>
      <c r="U645" s="761"/>
      <c r="V645" s="761" t="s">
        <v>293</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1015</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984</v>
      </c>
      <c r="S646" s="761" t="s">
        <v>964</v>
      </c>
      <c r="T646" s="784" t="s">
        <v>965</v>
      </c>
      <c r="U646" s="761" t="s">
        <v>2423</v>
      </c>
      <c r="V646" s="761" t="s">
        <v>991</v>
      </c>
      <c r="W646" s="761" t="s">
        <v>4610</v>
      </c>
      <c r="X646" s="817">
        <v>0</v>
      </c>
      <c r="Y646" s="814" t="s">
        <v>966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961</v>
      </c>
      <c r="BM646" s="773" t="s">
        <v>961</v>
      </c>
      <c r="BN646" s="773" t="s">
        <v>961</v>
      </c>
      <c r="BO646" s="773" t="s">
        <v>961</v>
      </c>
      <c r="BP646" s="784" t="s">
        <v>961</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1015</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963</v>
      </c>
      <c r="S647" s="761"/>
      <c r="T647" s="784"/>
      <c r="U647" s="761" t="s">
        <v>1933</v>
      </c>
      <c r="V647" s="761" t="s">
        <v>141</v>
      </c>
      <c r="W647" s="761" t="s">
        <v>4614</v>
      </c>
      <c r="X647" s="1298">
        <v>0</v>
      </c>
      <c r="Y647" s="814" t="s">
        <v>966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1015</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988</v>
      </c>
      <c r="S648" s="761" t="s">
        <v>964</v>
      </c>
      <c r="T648" s="784" t="s">
        <v>965</v>
      </c>
      <c r="U648" s="761" t="s">
        <v>2083</v>
      </c>
      <c r="V648" s="761" t="s">
        <v>991</v>
      </c>
      <c r="W648" s="761" t="s">
        <v>4618</v>
      </c>
      <c r="X648" s="817">
        <v>2</v>
      </c>
      <c r="Y648" s="814" t="s">
        <v>966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961</v>
      </c>
      <c r="BM648" s="773" t="s">
        <v>961</v>
      </c>
      <c r="BN648" s="773" t="s">
        <v>961</v>
      </c>
      <c r="BO648" s="773" t="s">
        <v>961</v>
      </c>
      <c r="BP648" s="784" t="s">
        <v>961</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1015</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988</v>
      </c>
      <c r="S649" s="761" t="s">
        <v>964</v>
      </c>
      <c r="T649" s="784" t="s">
        <v>965</v>
      </c>
      <c r="U649" s="761" t="s">
        <v>1031</v>
      </c>
      <c r="V649" s="761" t="s">
        <v>1039</v>
      </c>
      <c r="W649" s="761" t="s">
        <v>3172</v>
      </c>
      <c r="X649" s="1263">
        <v>2</v>
      </c>
      <c r="Y649" s="814" t="s">
        <v>966</v>
      </c>
      <c r="Z649" s="778" t="s">
        <v>1964</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customHeight="1">
      <c r="A650" s="760" t="s">
        <v>1015</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963</v>
      </c>
      <c r="S650" s="761"/>
      <c r="T650" s="784"/>
      <c r="U650" s="761" t="s">
        <v>2146</v>
      </c>
      <c r="V650" s="761" t="s">
        <v>293</v>
      </c>
      <c r="W650" s="761" t="s">
        <v>4625</v>
      </c>
      <c r="X650" s="1298">
        <v>0</v>
      </c>
      <c r="Y650" s="814" t="s">
        <v>966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1015</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963</v>
      </c>
      <c r="S651" s="761"/>
      <c r="T651" s="784"/>
      <c r="U651" s="761" t="s">
        <v>2146</v>
      </c>
      <c r="V651" s="761" t="s">
        <v>991</v>
      </c>
      <c r="W651" s="761" t="s">
        <v>4629</v>
      </c>
      <c r="X651" s="817">
        <v>0</v>
      </c>
      <c r="Y651" s="814" t="s">
        <v>966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1015</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963</v>
      </c>
      <c r="S652" s="761"/>
      <c r="T652" s="784"/>
      <c r="U652" s="761" t="s">
        <v>2146</v>
      </c>
      <c r="V652" s="761" t="s">
        <v>293</v>
      </c>
      <c r="W652" s="761" t="s">
        <v>4633</v>
      </c>
      <c r="X652" s="817">
        <v>2</v>
      </c>
      <c r="Y652" s="814" t="s">
        <v>978</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1015</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963</v>
      </c>
      <c r="S653" s="761"/>
      <c r="T653" s="784"/>
      <c r="U653" s="761" t="s">
        <v>2146</v>
      </c>
      <c r="V653" s="761" t="s">
        <v>293</v>
      </c>
      <c r="W653" s="761" t="s">
        <v>2148</v>
      </c>
      <c r="X653" s="817">
        <v>0</v>
      </c>
      <c r="Y653" s="814" t="s">
        <v>966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1015</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963</v>
      </c>
      <c r="S654" s="761"/>
      <c r="T654" s="784"/>
      <c r="U654" s="761" t="s">
        <v>2146</v>
      </c>
      <c r="V654" s="761" t="s">
        <v>293</v>
      </c>
      <c r="W654" s="761" t="s">
        <v>4640</v>
      </c>
      <c r="X654" s="817">
        <v>0</v>
      </c>
      <c r="Y654" s="814" t="s">
        <v>966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1015</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963</v>
      </c>
      <c r="S655" s="761"/>
      <c r="T655" s="784"/>
      <c r="U655" s="761" t="s">
        <v>2146</v>
      </c>
      <c r="V655" s="761" t="s">
        <v>293</v>
      </c>
      <c r="W655" s="761" t="s">
        <v>4644</v>
      </c>
      <c r="X655" s="817">
        <v>0</v>
      </c>
      <c r="Y655" s="814" t="s">
        <v>966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1015</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984</v>
      </c>
      <c r="S656" s="761" t="s">
        <v>964</v>
      </c>
      <c r="T656" s="784" t="s">
        <v>965</v>
      </c>
      <c r="U656" s="761" t="s">
        <v>2146</v>
      </c>
      <c r="V656" s="761" t="s">
        <v>293</v>
      </c>
      <c r="W656" s="761" t="s">
        <v>4647</v>
      </c>
      <c r="X656" s="817">
        <v>0</v>
      </c>
      <c r="Y656" s="814" t="s">
        <v>966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961</v>
      </c>
      <c r="BM656" s="773" t="s">
        <v>961</v>
      </c>
      <c r="BN656" s="773" t="s">
        <v>961</v>
      </c>
      <c r="BO656" s="773" t="s">
        <v>961</v>
      </c>
      <c r="BP656" s="784" t="s">
        <v>961</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1015</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988</v>
      </c>
      <c r="S657" s="761" t="s">
        <v>964</v>
      </c>
      <c r="T657" s="784" t="s">
        <v>965</v>
      </c>
      <c r="U657" s="761" t="s">
        <v>2146</v>
      </c>
      <c r="V657" s="761" t="s">
        <v>293</v>
      </c>
      <c r="W657" s="761" t="s">
        <v>4650</v>
      </c>
      <c r="X657" s="1263">
        <v>2</v>
      </c>
      <c r="Y657" s="814" t="s">
        <v>978</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961</v>
      </c>
      <c r="BM657" s="773" t="s">
        <v>961</v>
      </c>
      <c r="BN657" s="773" t="s">
        <v>961</v>
      </c>
      <c r="BO657" s="773" t="s">
        <v>961</v>
      </c>
      <c r="BP657" s="784" t="s">
        <v>961</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1015</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988</v>
      </c>
      <c r="S658" s="761" t="s">
        <v>964</v>
      </c>
      <c r="T658" s="784" t="s">
        <v>965</v>
      </c>
      <c r="U658" s="761" t="s">
        <v>1027</v>
      </c>
      <c r="V658" s="761" t="s">
        <v>1039</v>
      </c>
      <c r="W658" s="761" t="s">
        <v>3183</v>
      </c>
      <c r="X658" s="1263">
        <v>2</v>
      </c>
      <c r="Y658" s="814" t="s">
        <v>966</v>
      </c>
      <c r="Z658" s="778" t="s">
        <v>1960</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customHeight="1">
      <c r="A659" s="760" t="s">
        <v>1015</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984</v>
      </c>
      <c r="S659" s="761" t="s">
        <v>964</v>
      </c>
      <c r="T659" s="784" t="s">
        <v>965</v>
      </c>
      <c r="U659" s="761" t="s">
        <v>1955</v>
      </c>
      <c r="V659" s="761" t="s">
        <v>1039</v>
      </c>
      <c r="W659" s="761" t="s">
        <v>4655</v>
      </c>
      <c r="X659" s="817">
        <v>2</v>
      </c>
      <c r="Y659" s="814" t="s">
        <v>978</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customHeight="1">
      <c r="A660" s="760" t="s">
        <v>1015</v>
      </c>
      <c r="B660" s="761">
        <v>654</v>
      </c>
      <c r="C660" s="777" t="s">
        <v>4656</v>
      </c>
      <c r="D660" s="761" t="s">
        <v>4607</v>
      </c>
      <c r="E660" s="761" t="s">
        <v>1920</v>
      </c>
      <c r="F660" s="773">
        <v>21</v>
      </c>
      <c r="G660" s="778" t="s">
        <v>154</v>
      </c>
      <c r="H660" s="779" t="s">
        <v>4657</v>
      </c>
      <c r="I660" s="780">
        <v>0</v>
      </c>
      <c r="J660" s="781">
        <v>1</v>
      </c>
      <c r="K660" s="781">
        <v>0</v>
      </c>
      <c r="L660" s="781">
        <v>0</v>
      </c>
      <c r="M660" s="781">
        <v>0</v>
      </c>
      <c r="N660" s="781">
        <v>0</v>
      </c>
      <c r="O660" s="781">
        <v>0</v>
      </c>
      <c r="P660" s="782">
        <v>0</v>
      </c>
      <c r="Q660" s="783">
        <f t="shared" si="10"/>
        <v>1</v>
      </c>
      <c r="R660" s="777" t="s">
        <v>988</v>
      </c>
      <c r="S660" s="761" t="s">
        <v>964</v>
      </c>
      <c r="T660" s="784" t="s">
        <v>965</v>
      </c>
      <c r="U660" s="761" t="s">
        <v>1923</v>
      </c>
      <c r="V660" s="761" t="s">
        <v>987</v>
      </c>
      <c r="W660" s="761" t="s">
        <v>4658</v>
      </c>
      <c r="X660" s="821">
        <v>0</v>
      </c>
      <c r="Y660" s="814" t="s">
        <v>978</v>
      </c>
      <c r="Z660" s="778" t="s">
        <v>154</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customHeight="1">
      <c r="A661" s="760" t="s">
        <v>1015</v>
      </c>
      <c r="B661" s="761">
        <v>655</v>
      </c>
      <c r="C661" s="777" t="s">
        <v>4659</v>
      </c>
      <c r="D661" s="761" t="s">
        <v>4607</v>
      </c>
      <c r="E661" s="761" t="s">
        <v>1920</v>
      </c>
      <c r="F661" s="773">
        <v>22</v>
      </c>
      <c r="G661" s="778" t="s">
        <v>629</v>
      </c>
      <c r="H661" s="779" t="s">
        <v>4660</v>
      </c>
      <c r="I661" s="780">
        <v>0</v>
      </c>
      <c r="J661" s="781">
        <v>1</v>
      </c>
      <c r="K661" s="781">
        <v>0</v>
      </c>
      <c r="L661" s="781">
        <v>0</v>
      </c>
      <c r="M661" s="781">
        <v>0</v>
      </c>
      <c r="N661" s="781">
        <v>0</v>
      </c>
      <c r="O661" s="781">
        <v>0</v>
      </c>
      <c r="P661" s="782">
        <v>0</v>
      </c>
      <c r="Q661" s="783">
        <f t="shared" si="10"/>
        <v>1</v>
      </c>
      <c r="R661" s="777" t="s">
        <v>988</v>
      </c>
      <c r="S661" s="761" t="s">
        <v>964</v>
      </c>
      <c r="T661" s="784" t="s">
        <v>965</v>
      </c>
      <c r="U661" s="761" t="s">
        <v>629</v>
      </c>
      <c r="V661" s="761" t="s">
        <v>991</v>
      </c>
      <c r="W661" s="761" t="s">
        <v>4661</v>
      </c>
      <c r="X661" s="817">
        <v>1</v>
      </c>
      <c r="Y661" s="809" t="s">
        <v>978</v>
      </c>
      <c r="Z661" s="778" t="s">
        <v>629</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customHeight="1">
      <c r="A662" s="760" t="s">
        <v>1015</v>
      </c>
      <c r="B662" s="761">
        <v>656</v>
      </c>
      <c r="C662" s="777" t="s">
        <v>4662</v>
      </c>
      <c r="D662" s="761" t="s">
        <v>4607</v>
      </c>
      <c r="E662" s="761" t="s">
        <v>1936</v>
      </c>
      <c r="F662" s="773">
        <v>23</v>
      </c>
      <c r="G662" s="778" t="s">
        <v>184</v>
      </c>
      <c r="H662" s="779" t="s">
        <v>4663</v>
      </c>
      <c r="I662" s="780">
        <v>0</v>
      </c>
      <c r="J662" s="781">
        <v>1</v>
      </c>
      <c r="K662" s="781">
        <v>0</v>
      </c>
      <c r="L662" s="781">
        <v>0</v>
      </c>
      <c r="M662" s="781">
        <v>0</v>
      </c>
      <c r="N662" s="781">
        <v>0</v>
      </c>
      <c r="O662" s="781">
        <v>0</v>
      </c>
      <c r="P662" s="782">
        <v>0</v>
      </c>
      <c r="Q662" s="783">
        <f t="shared" si="10"/>
        <v>1</v>
      </c>
      <c r="R662" s="777" t="s">
        <v>984</v>
      </c>
      <c r="S662" s="761" t="s">
        <v>964</v>
      </c>
      <c r="T662" s="784" t="s">
        <v>965</v>
      </c>
      <c r="U662" s="761" t="s">
        <v>1944</v>
      </c>
      <c r="V662" s="761" t="s">
        <v>293</v>
      </c>
      <c r="W662" s="761" t="s">
        <v>4664</v>
      </c>
      <c r="X662" s="817">
        <v>2</v>
      </c>
      <c r="Y662" s="807" t="s">
        <v>978</v>
      </c>
      <c r="Z662" s="778" t="s">
        <v>184</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customHeight="1">
      <c r="A663" s="760" t="s">
        <v>1015</v>
      </c>
      <c r="B663" s="761">
        <v>657</v>
      </c>
      <c r="C663" s="777" t="s">
        <v>4665</v>
      </c>
      <c r="D663" s="761" t="s">
        <v>4607</v>
      </c>
      <c r="E663" s="761" t="s">
        <v>1920</v>
      </c>
      <c r="F663" s="773">
        <v>24</v>
      </c>
      <c r="G663" s="778" t="s">
        <v>178</v>
      </c>
      <c r="H663" s="779" t="s">
        <v>4666</v>
      </c>
      <c r="I663" s="780">
        <v>0</v>
      </c>
      <c r="J663" s="781">
        <v>1</v>
      </c>
      <c r="K663" s="781">
        <v>0</v>
      </c>
      <c r="L663" s="781">
        <v>0</v>
      </c>
      <c r="M663" s="781">
        <v>0</v>
      </c>
      <c r="N663" s="781">
        <v>0</v>
      </c>
      <c r="O663" s="781">
        <v>0</v>
      </c>
      <c r="P663" s="782">
        <v>0</v>
      </c>
      <c r="Q663" s="783">
        <f t="shared" si="10"/>
        <v>1</v>
      </c>
      <c r="R663" s="777" t="s">
        <v>984</v>
      </c>
      <c r="S663" s="761" t="s">
        <v>964</v>
      </c>
      <c r="T663" s="784" t="s">
        <v>965</v>
      </c>
      <c r="U663" s="761" t="s">
        <v>2103</v>
      </c>
      <c r="V663" s="761" t="s">
        <v>991</v>
      </c>
      <c r="W663" s="761" t="s">
        <v>4667</v>
      </c>
      <c r="X663" s="817">
        <v>1</v>
      </c>
      <c r="Y663" s="807" t="s">
        <v>978</v>
      </c>
      <c r="Z663" s="778" t="s">
        <v>178</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customHeight="1">
      <c r="A664" s="760" t="s">
        <v>1015</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988</v>
      </c>
      <c r="S664" s="761" t="s">
        <v>964</v>
      </c>
      <c r="T664" s="1414" t="s">
        <v>977</v>
      </c>
      <c r="U664" s="761" t="s">
        <v>2083</v>
      </c>
      <c r="V664" s="761" t="s">
        <v>991</v>
      </c>
      <c r="W664" s="761" t="s">
        <v>4669</v>
      </c>
      <c r="X664" s="817">
        <v>1</v>
      </c>
      <c r="Y664" s="807" t="s">
        <v>978</v>
      </c>
      <c r="Z664" s="778" t="s">
        <v>1124</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customHeight="1">
      <c r="A665" s="760" t="s">
        <v>1015</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988</v>
      </c>
      <c r="S665" s="761" t="s">
        <v>964</v>
      </c>
      <c r="T665" s="784" t="s">
        <v>965</v>
      </c>
      <c r="U665" s="761" t="s">
        <v>2178</v>
      </c>
      <c r="V665" s="761" t="s">
        <v>991</v>
      </c>
      <c r="W665" s="761" t="s">
        <v>4673</v>
      </c>
      <c r="X665" s="817">
        <v>1</v>
      </c>
      <c r="Y665" s="807" t="s">
        <v>978</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961</v>
      </c>
      <c r="BM665" s="773" t="s">
        <v>961</v>
      </c>
      <c r="BN665" s="773" t="s">
        <v>961</v>
      </c>
      <c r="BO665" s="773" t="s">
        <v>961</v>
      </c>
      <c r="BP665" s="784" t="s">
        <v>961</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1015</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988</v>
      </c>
      <c r="S666" s="761" t="s">
        <v>964</v>
      </c>
      <c r="T666" s="784" t="s">
        <v>965</v>
      </c>
      <c r="U666" s="761" t="s">
        <v>1923</v>
      </c>
      <c r="V666" s="761" t="s">
        <v>991</v>
      </c>
      <c r="W666" s="761" t="s">
        <v>4677</v>
      </c>
      <c r="X666" s="817">
        <v>0</v>
      </c>
      <c r="Y666" s="809" t="s">
        <v>978</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961</v>
      </c>
      <c r="BM666" s="773" t="s">
        <v>961</v>
      </c>
      <c r="BN666" s="773" t="s">
        <v>961</v>
      </c>
      <c r="BO666" s="773" t="s">
        <v>961</v>
      </c>
      <c r="BP666" s="784" t="s">
        <v>961</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1015</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988</v>
      </c>
      <c r="S667" s="761" t="s">
        <v>964</v>
      </c>
      <c r="T667" s="784" t="s">
        <v>965</v>
      </c>
      <c r="U667" s="761" t="s">
        <v>2016</v>
      </c>
      <c r="V667" s="761" t="s">
        <v>991</v>
      </c>
      <c r="W667" s="761" t="s">
        <v>4680</v>
      </c>
      <c r="X667" s="817">
        <v>0</v>
      </c>
      <c r="Y667" s="809" t="s">
        <v>978</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961</v>
      </c>
      <c r="BM667" s="773" t="s">
        <v>961</v>
      </c>
      <c r="BN667" s="773" t="s">
        <v>961</v>
      </c>
      <c r="BO667" s="773" t="s">
        <v>961</v>
      </c>
      <c r="BP667" s="784" t="s">
        <v>961</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1015</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988</v>
      </c>
      <c r="S668" s="761" t="s">
        <v>964</v>
      </c>
      <c r="T668" s="784" t="s">
        <v>965</v>
      </c>
      <c r="U668" s="761" t="s">
        <v>1923</v>
      </c>
      <c r="V668" s="761" t="s">
        <v>991</v>
      </c>
      <c r="W668" s="761" t="s">
        <v>4684</v>
      </c>
      <c r="X668" s="817">
        <v>0</v>
      </c>
      <c r="Y668" s="809" t="s">
        <v>966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961</v>
      </c>
      <c r="BM668" s="773" t="s">
        <v>961</v>
      </c>
      <c r="BN668" s="773" t="s">
        <v>961</v>
      </c>
      <c r="BO668" s="773" t="s">
        <v>961</v>
      </c>
      <c r="BP668" s="784" t="s">
        <v>961</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1015</v>
      </c>
      <c r="B669" s="761">
        <v>663</v>
      </c>
      <c r="C669" s="777" t="s">
        <v>4685</v>
      </c>
      <c r="D669" s="761" t="s">
        <v>4582</v>
      </c>
      <c r="E669" s="761" t="s">
        <v>1920</v>
      </c>
      <c r="F669" s="773">
        <v>30</v>
      </c>
      <c r="G669" s="778" t="s">
        <v>689</v>
      </c>
      <c r="H669" s="779" t="s">
        <v>4686</v>
      </c>
      <c r="I669" s="780">
        <v>0</v>
      </c>
      <c r="J669" s="781">
        <v>0</v>
      </c>
      <c r="K669" s="781">
        <v>1</v>
      </c>
      <c r="L669" s="781">
        <v>0</v>
      </c>
      <c r="M669" s="781">
        <v>0</v>
      </c>
      <c r="N669" s="781">
        <v>0</v>
      </c>
      <c r="O669" s="781">
        <v>0</v>
      </c>
      <c r="P669" s="782">
        <v>0</v>
      </c>
      <c r="Q669" s="783">
        <f t="shared" si="10"/>
        <v>1</v>
      </c>
      <c r="R669" s="777" t="s">
        <v>988</v>
      </c>
      <c r="S669" s="761" t="s">
        <v>964</v>
      </c>
      <c r="T669" s="784" t="s">
        <v>965</v>
      </c>
      <c r="U669" s="761" t="s">
        <v>689</v>
      </c>
      <c r="V669" s="761" t="s">
        <v>991</v>
      </c>
      <c r="W669" s="761" t="s">
        <v>4687</v>
      </c>
      <c r="X669" s="1263">
        <v>2</v>
      </c>
      <c r="Y669" s="809" t="s">
        <v>978</v>
      </c>
      <c r="Z669" s="778" t="s">
        <v>689</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customHeight="1">
      <c r="A670" s="760" t="s">
        <v>1015</v>
      </c>
      <c r="B670" s="761">
        <v>664</v>
      </c>
      <c r="C670" s="777" t="s">
        <v>4688</v>
      </c>
      <c r="D670" s="761" t="s">
        <v>4582</v>
      </c>
      <c r="E670" s="761" t="s">
        <v>1920</v>
      </c>
      <c r="F670" s="773">
        <v>31</v>
      </c>
      <c r="G670" s="778" t="s">
        <v>687</v>
      </c>
      <c r="H670" s="779" t="s">
        <v>4689</v>
      </c>
      <c r="I670" s="780">
        <v>0</v>
      </c>
      <c r="J670" s="781">
        <v>0</v>
      </c>
      <c r="K670" s="781">
        <v>1</v>
      </c>
      <c r="L670" s="781">
        <v>0</v>
      </c>
      <c r="M670" s="781">
        <v>0</v>
      </c>
      <c r="N670" s="781">
        <v>0</v>
      </c>
      <c r="O670" s="781">
        <v>0</v>
      </c>
      <c r="P670" s="782">
        <v>0</v>
      </c>
      <c r="Q670" s="783">
        <f t="shared" si="10"/>
        <v>1</v>
      </c>
      <c r="R670" s="777" t="s">
        <v>988</v>
      </c>
      <c r="S670" s="761" t="s">
        <v>964</v>
      </c>
      <c r="T670" s="784" t="s">
        <v>965</v>
      </c>
      <c r="U670" s="761" t="s">
        <v>2087</v>
      </c>
      <c r="V670" s="761" t="s">
        <v>991</v>
      </c>
      <c r="W670" s="761" t="s">
        <v>4690</v>
      </c>
      <c r="X670" s="1263">
        <v>2</v>
      </c>
      <c r="Y670" s="809" t="s">
        <v>978</v>
      </c>
      <c r="Z670" s="778" t="s">
        <v>687</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customHeight="1">
      <c r="A671" s="760" t="s">
        <v>1015</v>
      </c>
      <c r="B671" s="761">
        <v>665</v>
      </c>
      <c r="C671" s="777" t="s">
        <v>4691</v>
      </c>
      <c r="D671" s="761" t="s">
        <v>4582</v>
      </c>
      <c r="E671" s="761" t="s">
        <v>1936</v>
      </c>
      <c r="F671" s="773">
        <v>32</v>
      </c>
      <c r="G671" s="778" t="s">
        <v>1016</v>
      </c>
      <c r="H671" s="779" t="s">
        <v>4692</v>
      </c>
      <c r="I671" s="780">
        <v>0</v>
      </c>
      <c r="J671" s="781">
        <v>0.05</v>
      </c>
      <c r="K671" s="781">
        <v>0.95</v>
      </c>
      <c r="L671" s="781">
        <v>0</v>
      </c>
      <c r="M671" s="781">
        <v>0</v>
      </c>
      <c r="N671" s="781">
        <v>0</v>
      </c>
      <c r="O671" s="781">
        <v>0</v>
      </c>
      <c r="P671" s="782">
        <v>0</v>
      </c>
      <c r="Q671" s="783">
        <f t="shared" si="10"/>
        <v>1</v>
      </c>
      <c r="R671" s="777" t="s">
        <v>984</v>
      </c>
      <c r="S671" s="761" t="s">
        <v>964</v>
      </c>
      <c r="T671" s="784" t="s">
        <v>965</v>
      </c>
      <c r="U671" s="761" t="s">
        <v>2557</v>
      </c>
      <c r="V671" s="761" t="s">
        <v>293</v>
      </c>
      <c r="W671" s="761" t="s">
        <v>4693</v>
      </c>
      <c r="X671" s="817">
        <v>2</v>
      </c>
      <c r="Y671" s="809" t="s">
        <v>966</v>
      </c>
      <c r="Z671" s="778" t="s">
        <v>1016</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customHeight="1">
      <c r="A672" s="760" t="s">
        <v>1015</v>
      </c>
      <c r="B672" s="761">
        <v>666</v>
      </c>
      <c r="C672" s="777" t="s">
        <v>4694</v>
      </c>
      <c r="D672" s="761" t="s">
        <v>4582</v>
      </c>
      <c r="E672" s="761" t="s">
        <v>1920</v>
      </c>
      <c r="F672" s="773">
        <v>33</v>
      </c>
      <c r="G672" s="778" t="s">
        <v>693</v>
      </c>
      <c r="H672" s="779" t="s">
        <v>4695</v>
      </c>
      <c r="I672" s="780">
        <v>0</v>
      </c>
      <c r="J672" s="781">
        <v>0</v>
      </c>
      <c r="K672" s="781">
        <v>1</v>
      </c>
      <c r="L672" s="781">
        <v>0</v>
      </c>
      <c r="M672" s="781">
        <v>0</v>
      </c>
      <c r="N672" s="781">
        <v>0</v>
      </c>
      <c r="O672" s="781">
        <v>0</v>
      </c>
      <c r="P672" s="782">
        <v>0</v>
      </c>
      <c r="Q672" s="783">
        <f t="shared" si="10"/>
        <v>1</v>
      </c>
      <c r="R672" s="777" t="s">
        <v>984</v>
      </c>
      <c r="S672" s="761" t="s">
        <v>964</v>
      </c>
      <c r="T672" s="784" t="s">
        <v>965</v>
      </c>
      <c r="U672" s="761" t="s">
        <v>2110</v>
      </c>
      <c r="V672" s="761" t="s">
        <v>991</v>
      </c>
      <c r="W672" s="761" t="s">
        <v>4696</v>
      </c>
      <c r="X672" s="817">
        <v>2</v>
      </c>
      <c r="Y672" s="809" t="s">
        <v>978</v>
      </c>
      <c r="Z672" s="778" t="s">
        <v>693</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customHeight="1">
      <c r="A673" s="760" t="s">
        <v>1015</v>
      </c>
      <c r="B673" s="761">
        <v>667</v>
      </c>
      <c r="C673" s="777" t="s">
        <v>4697</v>
      </c>
      <c r="D673" s="761" t="s">
        <v>4582</v>
      </c>
      <c r="E673" s="761" t="s">
        <v>1936</v>
      </c>
      <c r="F673" s="773">
        <v>34</v>
      </c>
      <c r="G673" s="778" t="s">
        <v>778</v>
      </c>
      <c r="H673" s="779" t="s">
        <v>4698</v>
      </c>
      <c r="I673" s="780">
        <v>0</v>
      </c>
      <c r="J673" s="781">
        <v>0</v>
      </c>
      <c r="K673" s="781">
        <v>1</v>
      </c>
      <c r="L673" s="781">
        <v>0</v>
      </c>
      <c r="M673" s="781">
        <v>0</v>
      </c>
      <c r="N673" s="781">
        <v>0</v>
      </c>
      <c r="O673" s="781">
        <v>0</v>
      </c>
      <c r="P673" s="782">
        <v>0</v>
      </c>
      <c r="Q673" s="783">
        <f t="shared" si="10"/>
        <v>1</v>
      </c>
      <c r="R673" s="777" t="s">
        <v>963</v>
      </c>
      <c r="S673" s="761"/>
      <c r="T673" s="784"/>
      <c r="U673" s="761" t="s">
        <v>1939</v>
      </c>
      <c r="V673" s="761" t="s">
        <v>293</v>
      </c>
      <c r="W673" s="761" t="s">
        <v>4699</v>
      </c>
      <c r="X673" s="1297">
        <v>2</v>
      </c>
      <c r="Y673" s="809" t="s">
        <v>978</v>
      </c>
      <c r="Z673" s="778" t="s">
        <v>778</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customHeight="1">
      <c r="A674" s="760" t="s">
        <v>1015</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988</v>
      </c>
      <c r="S674" s="761" t="s">
        <v>964</v>
      </c>
      <c r="T674" s="784" t="s">
        <v>965</v>
      </c>
      <c r="U674" s="761" t="s">
        <v>2087</v>
      </c>
      <c r="V674" s="761" t="s">
        <v>991</v>
      </c>
      <c r="W674" s="761" t="s">
        <v>4702</v>
      </c>
      <c r="X674" s="817">
        <v>0</v>
      </c>
      <c r="Y674" s="809" t="s">
        <v>978</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961</v>
      </c>
      <c r="BM674" s="773" t="s">
        <v>961</v>
      </c>
      <c r="BN674" s="773" t="s">
        <v>961</v>
      </c>
      <c r="BO674" s="773" t="s">
        <v>961</v>
      </c>
      <c r="BP674" s="784" t="s">
        <v>961</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1015</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988</v>
      </c>
      <c r="S675" s="761" t="s">
        <v>964</v>
      </c>
      <c r="T675" s="784" t="s">
        <v>965</v>
      </c>
      <c r="U675" s="761" t="s">
        <v>2135</v>
      </c>
      <c r="V675" s="761" t="s">
        <v>991</v>
      </c>
      <c r="W675" s="761" t="s">
        <v>4705</v>
      </c>
      <c r="X675" s="817">
        <v>0</v>
      </c>
      <c r="Y675" s="809" t="s">
        <v>966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961</v>
      </c>
      <c r="BM675" s="773" t="s">
        <v>961</v>
      </c>
      <c r="BN675" s="773" t="s">
        <v>961</v>
      </c>
      <c r="BO675" s="773" t="s">
        <v>961</v>
      </c>
      <c r="BP675" s="784" t="s">
        <v>961</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1015</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988</v>
      </c>
      <c r="S676" s="761" t="s">
        <v>964</v>
      </c>
      <c r="T676" s="784" t="s">
        <v>965</v>
      </c>
      <c r="U676" s="761" t="s">
        <v>2135</v>
      </c>
      <c r="V676" s="761" t="s">
        <v>991</v>
      </c>
      <c r="W676" s="761" t="s">
        <v>4708</v>
      </c>
      <c r="X676" s="817">
        <v>0</v>
      </c>
      <c r="Y676" s="807" t="s">
        <v>966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961</v>
      </c>
      <c r="BM676" s="773" t="s">
        <v>961</v>
      </c>
      <c r="BN676" s="773" t="s">
        <v>961</v>
      </c>
      <c r="BO676" s="773" t="s">
        <v>961</v>
      </c>
      <c r="BP676" s="784" t="s">
        <v>961</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1015</v>
      </c>
      <c r="B677" s="761">
        <v>671</v>
      </c>
      <c r="C677" s="777" t="s">
        <v>4709</v>
      </c>
      <c r="D677" s="761" t="s">
        <v>4607</v>
      </c>
      <c r="E677" s="761" t="s">
        <v>1936</v>
      </c>
      <c r="F677" s="773">
        <v>38</v>
      </c>
      <c r="G677" s="778" t="s">
        <v>499</v>
      </c>
      <c r="H677" s="779" t="s">
        <v>4710</v>
      </c>
      <c r="I677" s="780">
        <v>1</v>
      </c>
      <c r="J677" s="781">
        <v>0</v>
      </c>
      <c r="K677" s="781">
        <v>0</v>
      </c>
      <c r="L677" s="781">
        <v>0</v>
      </c>
      <c r="M677" s="781">
        <v>0</v>
      </c>
      <c r="N677" s="781">
        <v>0</v>
      </c>
      <c r="O677" s="781">
        <v>0</v>
      </c>
      <c r="P677" s="782">
        <v>0</v>
      </c>
      <c r="Q677" s="783">
        <f t="shared" si="10"/>
        <v>1</v>
      </c>
      <c r="R677" s="777" t="s">
        <v>963</v>
      </c>
      <c r="S677" s="761"/>
      <c r="T677" s="784"/>
      <c r="U677" s="761" t="s">
        <v>1939</v>
      </c>
      <c r="V677" s="761" t="s">
        <v>293</v>
      </c>
      <c r="W677" s="761" t="s">
        <v>4711</v>
      </c>
      <c r="X677" s="1297">
        <v>1</v>
      </c>
      <c r="Y677" s="807" t="s">
        <v>978</v>
      </c>
      <c r="Z677" s="778" t="s">
        <v>499</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customHeight="1">
      <c r="A678" s="760" t="s">
        <v>1015</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984</v>
      </c>
      <c r="S678" s="761" t="s">
        <v>964</v>
      </c>
      <c r="T678" s="784" t="s">
        <v>965</v>
      </c>
      <c r="U678" s="761" t="s">
        <v>711</v>
      </c>
      <c r="V678" s="761" t="s">
        <v>293</v>
      </c>
      <c r="W678" s="761" t="s">
        <v>4715</v>
      </c>
      <c r="X678" s="817">
        <v>0</v>
      </c>
      <c r="Y678" s="809" t="s">
        <v>966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961</v>
      </c>
      <c r="BM678" s="773" t="s">
        <v>961</v>
      </c>
      <c r="BN678" s="773" t="s">
        <v>961</v>
      </c>
      <c r="BO678" s="773" t="s">
        <v>961</v>
      </c>
      <c r="BP678" s="784" t="s">
        <v>961</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1015</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963</v>
      </c>
      <c r="S679" s="761"/>
      <c r="T679" s="784"/>
      <c r="U679" s="761" t="s">
        <v>2161</v>
      </c>
      <c r="V679" s="761" t="s">
        <v>991</v>
      </c>
      <c r="W679" s="761" t="s">
        <v>4719</v>
      </c>
      <c r="X679" s="1298">
        <v>0</v>
      </c>
      <c r="Y679" s="809" t="s">
        <v>966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1015</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963</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1015</v>
      </c>
      <c r="B681" s="940">
        <v>675</v>
      </c>
      <c r="C681" s="941" t="s">
        <v>4721</v>
      </c>
      <c r="D681" s="940" t="s">
        <v>4620</v>
      </c>
      <c r="E681" s="940" t="s">
        <v>1936</v>
      </c>
      <c r="F681" s="942">
        <v>42</v>
      </c>
      <c r="G681" s="943" t="s">
        <v>658</v>
      </c>
      <c r="H681" s="944" t="s">
        <v>4722</v>
      </c>
      <c r="I681" s="945">
        <v>0</v>
      </c>
      <c r="J681" s="946">
        <v>0</v>
      </c>
      <c r="K681" s="946">
        <v>0</v>
      </c>
      <c r="L681" s="946">
        <v>0</v>
      </c>
      <c r="M681" s="946">
        <v>1</v>
      </c>
      <c r="N681" s="946">
        <v>0</v>
      </c>
      <c r="O681" s="946">
        <v>0</v>
      </c>
      <c r="P681" s="947">
        <v>0</v>
      </c>
      <c r="Q681" s="948">
        <f t="shared" si="10"/>
        <v>1</v>
      </c>
      <c r="R681" s="941" t="s">
        <v>963</v>
      </c>
      <c r="S681" s="940"/>
      <c r="T681" s="949"/>
      <c r="U681" s="940" t="s">
        <v>2698</v>
      </c>
      <c r="V681" s="940" t="s">
        <v>293</v>
      </c>
      <c r="W681" s="940" t="s">
        <v>4723</v>
      </c>
      <c r="X681" s="1261">
        <v>1</v>
      </c>
      <c r="Y681" s="951" t="s">
        <v>966</v>
      </c>
      <c r="Z681" s="943" t="s">
        <v>658</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5.95" customHeight="1">
      <c r="A682" s="1239" t="s">
        <v>1015</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984</v>
      </c>
      <c r="S682" s="1500" t="s">
        <v>964</v>
      </c>
      <c r="T682" s="1249" t="s">
        <v>977</v>
      </c>
      <c r="U682" s="1240" t="s">
        <v>2087</v>
      </c>
      <c r="V682" s="1240" t="s">
        <v>141</v>
      </c>
      <c r="W682" s="1240"/>
      <c r="X682" s="1501">
        <v>3</v>
      </c>
      <c r="Y682" s="1251" t="s">
        <v>966</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491"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961</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972</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984</v>
      </c>
      <c r="S683" s="1240" t="s">
        <v>976</v>
      </c>
      <c r="T683" s="1249" t="s">
        <v>977</v>
      </c>
      <c r="U683" s="1240" t="s">
        <v>711</v>
      </c>
      <c r="V683" s="1240" t="s">
        <v>293</v>
      </c>
      <c r="W683" s="1240" t="s">
        <v>4731</v>
      </c>
      <c r="X683" s="1262">
        <v>1</v>
      </c>
      <c r="Y683" s="1251" t="s">
        <v>966</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961</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26">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889" t="s">
        <v>993</v>
      </c>
      <c r="B684" s="1890">
        <v>678</v>
      </c>
      <c r="C684" s="1891" t="s">
        <v>4732</v>
      </c>
      <c r="D684" s="1890" t="s">
        <v>4733</v>
      </c>
      <c r="E684" s="1890" t="s">
        <v>4734</v>
      </c>
      <c r="F684" s="1892"/>
      <c r="G684" s="1893" t="s">
        <v>4735</v>
      </c>
      <c r="H684" s="1894" t="s">
        <v>4736</v>
      </c>
      <c r="I684" s="1895">
        <v>0.1</v>
      </c>
      <c r="J684" s="1896"/>
      <c r="K684" s="1896">
        <v>0.9</v>
      </c>
      <c r="L684" s="1896"/>
      <c r="M684" s="1896"/>
      <c r="N684" s="1896"/>
      <c r="O684" s="1896"/>
      <c r="P684" s="1897"/>
      <c r="Q684" s="1898">
        <f t="shared" si="10"/>
        <v>1</v>
      </c>
      <c r="R684" s="1891" t="s">
        <v>988</v>
      </c>
      <c r="S684" s="1890" t="s">
        <v>964</v>
      </c>
      <c r="T684" s="1892" t="s">
        <v>977</v>
      </c>
      <c r="U684" s="1890" t="s">
        <v>2135</v>
      </c>
      <c r="V684" s="1890" t="s">
        <v>991</v>
      </c>
      <c r="W684" s="1890" t="s">
        <v>3465</v>
      </c>
      <c r="X684" s="1899">
        <v>0</v>
      </c>
      <c r="Y684" s="1900" t="s">
        <v>966</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961</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customHeight="1">
      <c r="A685" s="1889" t="s">
        <v>1003</v>
      </c>
      <c r="B685" s="1890">
        <v>679</v>
      </c>
      <c r="C685" s="1891" t="s">
        <v>4737</v>
      </c>
      <c r="D685" s="1890" t="s">
        <v>4738</v>
      </c>
      <c r="E685" s="1890" t="s">
        <v>4739</v>
      </c>
      <c r="F685" s="1901"/>
      <c r="G685" s="1893" t="s">
        <v>4740</v>
      </c>
      <c r="H685" s="1894" t="s">
        <v>4741</v>
      </c>
      <c r="I685" s="1895"/>
      <c r="J685" s="1896">
        <v>1</v>
      </c>
      <c r="K685" s="1896"/>
      <c r="L685" s="1896"/>
      <c r="M685" s="1896"/>
      <c r="N685" s="1896"/>
      <c r="O685" s="1896"/>
      <c r="P685" s="1897"/>
      <c r="Q685" s="1898">
        <f t="shared" si="10"/>
        <v>1</v>
      </c>
      <c r="R685" s="1891" t="s">
        <v>984</v>
      </c>
      <c r="S685" s="1890" t="s">
        <v>964</v>
      </c>
      <c r="T685" s="1892" t="s">
        <v>965</v>
      </c>
      <c r="U685" s="1890" t="s">
        <v>4742</v>
      </c>
      <c r="V685" s="1890" t="s">
        <v>994</v>
      </c>
      <c r="W685" s="1890" t="s">
        <v>4743</v>
      </c>
      <c r="X685" s="1899">
        <v>1</v>
      </c>
      <c r="Y685" s="1900" t="s">
        <v>966</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961</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customHeight="1">
      <c r="A686" s="1889" t="s">
        <v>1003</v>
      </c>
      <c r="B686" s="1890">
        <v>680</v>
      </c>
      <c r="C686" s="1891" t="s">
        <v>4744</v>
      </c>
      <c r="D686" s="1890" t="s">
        <v>4745</v>
      </c>
      <c r="E686" s="1890" t="s">
        <v>4739</v>
      </c>
      <c r="F686" s="1901"/>
      <c r="G686" s="1893" t="s">
        <v>4746</v>
      </c>
      <c r="H686" s="1894" t="s">
        <v>4747</v>
      </c>
      <c r="I686" s="1895"/>
      <c r="J686" s="1896"/>
      <c r="K686" s="1896"/>
      <c r="L686" s="1896"/>
      <c r="M686" s="1896"/>
      <c r="N686" s="1896"/>
      <c r="O686" s="1896"/>
      <c r="P686" s="1897"/>
      <c r="Q686" s="1898">
        <f t="shared" si="10"/>
        <v>0</v>
      </c>
      <c r="R686" s="1891" t="s">
        <v>963</v>
      </c>
      <c r="S686" s="1890"/>
      <c r="T686" s="1892"/>
      <c r="U686" s="1890" t="s">
        <v>4742</v>
      </c>
      <c r="V686" s="1890" t="s">
        <v>1030</v>
      </c>
      <c r="W686" s="1890" t="s">
        <v>4748</v>
      </c>
      <c r="X686" s="1899">
        <v>0</v>
      </c>
      <c r="Y686" s="1900" t="s">
        <v>966</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4749</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customHeight="1">
      <c r="A687" s="1889" t="s">
        <v>1003</v>
      </c>
      <c r="B687" s="1890">
        <v>681</v>
      </c>
      <c r="C687" s="1891" t="s">
        <v>4750</v>
      </c>
      <c r="D687" s="1890" t="s">
        <v>4751</v>
      </c>
      <c r="E687" s="1890" t="s">
        <v>4739</v>
      </c>
      <c r="F687" s="1901"/>
      <c r="G687" s="1893" t="s">
        <v>4752</v>
      </c>
      <c r="H687" s="1894" t="s">
        <v>4753</v>
      </c>
      <c r="I687" s="1895"/>
      <c r="J687" s="1896"/>
      <c r="K687" s="1896"/>
      <c r="L687" s="1896"/>
      <c r="M687" s="1896"/>
      <c r="N687" s="1896"/>
      <c r="O687" s="1896"/>
      <c r="P687" s="1897"/>
      <c r="Q687" s="1898">
        <f t="shared" si="10"/>
        <v>0</v>
      </c>
      <c r="R687" s="1891" t="s">
        <v>963</v>
      </c>
      <c r="S687" s="1890"/>
      <c r="T687" s="1892"/>
      <c r="U687" s="1890" t="s">
        <v>4742</v>
      </c>
      <c r="V687" s="1890" t="s">
        <v>1030</v>
      </c>
      <c r="W687" s="1890" t="s">
        <v>4748</v>
      </c>
      <c r="X687" s="1899">
        <v>0</v>
      </c>
      <c r="Y687" s="1900" t="s">
        <v>966</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4754</v>
      </c>
      <c r="AU687" s="1904" t="s">
        <v>4755</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8">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8">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8">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8">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8">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8">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8">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8">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8">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8">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8">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8">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8">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8">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8">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8">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8">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8">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8">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8">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8">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8">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8">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8">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8">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8">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8">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8">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8">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8">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8">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8">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8">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8">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8">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8">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8">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8">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8">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8">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8">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8">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8">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8">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8">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8">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8">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8">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8">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8">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8">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8">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8">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8">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8">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8">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8">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8">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8">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8">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8">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8">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8">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8">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8">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8">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8">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8">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8">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22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AK119"/>
  <sheetViews>
    <sheetView topLeftCell="V89" zoomScaleNormal="100" workbookViewId="0">
      <selection activeCell="AK120" sqref="AK120"/>
    </sheetView>
  </sheetViews>
  <sheetFormatPr defaultColWidth="9" defaultRowHeight="13.8"/>
  <cols>
    <col min="1" max="1" width="2.59765625" style="112" customWidth="1"/>
    <col min="2" max="2" width="7.19921875" style="112" customWidth="1"/>
    <col min="3" max="3" width="22.59765625" style="112" customWidth="1"/>
    <col min="4" max="4" width="5.59765625" style="112" customWidth="1"/>
    <col min="5" max="5" width="22.59765625" style="112" customWidth="1"/>
    <col min="6" max="6" width="5.59765625" style="112" customWidth="1"/>
    <col min="7" max="7" width="22.59765625" style="112" customWidth="1"/>
    <col min="8" max="8" width="5.59765625" style="112" customWidth="1"/>
    <col min="9" max="9" width="24.69921875" style="112" bestFit="1" customWidth="1"/>
    <col min="10" max="10" width="5.59765625" style="112" customWidth="1"/>
    <col min="11" max="11" width="22.59765625" style="112" customWidth="1"/>
    <col min="12" max="12" width="5.59765625" style="112" customWidth="1"/>
    <col min="13" max="13" width="22.59765625" style="112" customWidth="1"/>
    <col min="14" max="14" width="5.59765625" style="112" customWidth="1"/>
    <col min="15" max="15" width="22.59765625" style="112" customWidth="1"/>
    <col min="16" max="16" width="6.19921875" style="112" customWidth="1"/>
    <col min="17" max="17" width="22.59765625" style="112" customWidth="1"/>
    <col min="18" max="18" width="5.59765625" style="112" customWidth="1"/>
    <col min="19" max="19" width="22.59765625" style="112" customWidth="1"/>
    <col min="20" max="20" width="5.59765625" style="112" customWidth="1"/>
    <col min="21" max="21" width="22.59765625" style="112" customWidth="1"/>
    <col min="22" max="22" width="5.59765625" style="112" customWidth="1"/>
    <col min="23" max="23" width="22.59765625" style="112" customWidth="1"/>
    <col min="24" max="24" width="5.59765625" style="112" customWidth="1"/>
    <col min="25" max="25" width="22.59765625" style="112" customWidth="1"/>
    <col min="26" max="26" width="5.59765625" style="112" customWidth="1"/>
    <col min="27" max="27" width="22.59765625" style="112" customWidth="1"/>
    <col min="28" max="28" width="5.59765625" style="112" customWidth="1"/>
    <col min="29" max="29" width="22.59765625" style="112" customWidth="1"/>
    <col min="30" max="30" width="5.59765625" style="112" customWidth="1"/>
    <col min="31" max="31" width="22.59765625" style="112" customWidth="1"/>
    <col min="32" max="32" width="5.59765625" style="112" customWidth="1"/>
    <col min="33" max="33" width="22.59765625" style="112" customWidth="1"/>
    <col min="34" max="34" width="5.59765625" style="112" customWidth="1"/>
    <col min="35" max="35" width="22.59765625" style="112" customWidth="1"/>
    <col min="36" max="36" width="2.59765625" style="112" customWidth="1"/>
    <col min="37" max="37" width="5.59765625" style="112" customWidth="1"/>
    <col min="38" max="38" width="22.59765625" style="112" customWidth="1"/>
    <col min="39" max="39" width="2.59765625" style="112" customWidth="1"/>
    <col min="40" max="40" width="5.59765625" style="112" customWidth="1"/>
    <col min="41" max="41" width="22.59765625" style="112" customWidth="1"/>
    <col min="42" max="42" width="2.59765625" style="112" customWidth="1"/>
    <col min="43" max="43" width="5.59765625" style="112" customWidth="1"/>
    <col min="44" max="44" width="22.59765625" style="112" customWidth="1"/>
    <col min="45" max="45" width="2.59765625" style="112" customWidth="1"/>
    <col min="46" max="46" width="5.59765625" style="112" customWidth="1"/>
    <col min="47" max="47" width="22.59765625" style="112" customWidth="1"/>
    <col min="48" max="48" width="2.59765625" style="112" customWidth="1"/>
    <col min="49" max="16384" width="9" style="112"/>
  </cols>
  <sheetData>
    <row r="2" spans="2:34">
      <c r="B2" s="113"/>
    </row>
    <row r="4" spans="2:34" ht="14.4">
      <c r="B4" s="114" t="s">
        <v>4756</v>
      </c>
    </row>
    <row r="6" spans="2:34" s="116" customFormat="1">
      <c r="B6" s="137" t="s">
        <v>148</v>
      </c>
      <c r="C6" s="138"/>
      <c r="D6" s="137" t="s">
        <v>154</v>
      </c>
      <c r="E6" s="138"/>
      <c r="F6" s="137" t="s">
        <v>629</v>
      </c>
      <c r="G6" s="138"/>
      <c r="H6" s="137" t="s">
        <v>1124</v>
      </c>
      <c r="I6" s="138"/>
      <c r="J6" s="137" t="s">
        <v>178</v>
      </c>
      <c r="K6" s="138"/>
      <c r="L6" s="137" t="s">
        <v>184</v>
      </c>
      <c r="M6" s="138"/>
      <c r="N6" s="138" t="s">
        <v>687</v>
      </c>
      <c r="O6" s="138"/>
      <c r="P6" s="138" t="s">
        <v>689</v>
      </c>
      <c r="Q6" s="138"/>
      <c r="R6" s="138" t="s">
        <v>693</v>
      </c>
      <c r="S6" s="138"/>
      <c r="T6" s="138" t="s">
        <v>1016</v>
      </c>
      <c r="U6" s="138"/>
      <c r="V6" s="156" t="s">
        <v>499</v>
      </c>
      <c r="W6" s="156"/>
      <c r="X6" s="156" t="s">
        <v>503</v>
      </c>
      <c r="Y6" s="156"/>
      <c r="Z6" s="156" t="s">
        <v>778</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972</v>
      </c>
      <c r="AC8" s="148">
        <f>COUNTIF($B$8:$AA$26,$AB8)</f>
        <v>13</v>
      </c>
      <c r="AD8" s="139"/>
      <c r="AE8" s="138" t="s">
        <v>972</v>
      </c>
      <c r="AF8" s="148">
        <f>COUNTIF($B$8:$U$26,$AB8)</f>
        <v>10</v>
      </c>
      <c r="AG8" s="138" t="s">
        <v>972</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982</v>
      </c>
      <c r="AC9" s="148">
        <f t="shared" ref="AC9:AC24" si="9">COUNTIF($B$8:$AA$26,$AB9)</f>
        <v>13</v>
      </c>
      <c r="AD9" s="139"/>
      <c r="AE9" s="138" t="s">
        <v>982</v>
      </c>
      <c r="AF9" s="148">
        <f t="shared" ref="AF9:AF24" si="10">COUNTIF($B$8:$U$26,$AB9)</f>
        <v>10</v>
      </c>
      <c r="AG9" s="138" t="s">
        <v>982</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969</v>
      </c>
      <c r="AC10" s="148">
        <f t="shared" si="9"/>
        <v>13</v>
      </c>
      <c r="AD10" s="139"/>
      <c r="AE10" s="138" t="s">
        <v>969</v>
      </c>
      <c r="AF10" s="148">
        <f t="shared" si="10"/>
        <v>10</v>
      </c>
      <c r="AG10" s="138" t="s">
        <v>969</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990</v>
      </c>
      <c r="AC11" s="148">
        <f>COUNTIF($B$8:$AA$26,$AB11)+COUNTIF($B$8:$AA$26,"NES1")</f>
        <v>14</v>
      </c>
      <c r="AD11" s="139"/>
      <c r="AE11" s="138" t="s">
        <v>990</v>
      </c>
      <c r="AF11" s="148">
        <f>COUNTIF($B$8:$U$26,$AB11)+COUNTIF($B$8:$U$26,"NES1")</f>
        <v>11</v>
      </c>
      <c r="AG11" s="138" t="s">
        <v>990</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993</v>
      </c>
      <c r="AC12" s="148">
        <f t="shared" si="9"/>
        <v>13</v>
      </c>
      <c r="AD12" s="139"/>
      <c r="AE12" s="138" t="s">
        <v>993</v>
      </c>
      <c r="AF12" s="148">
        <f t="shared" si="10"/>
        <v>10</v>
      </c>
      <c r="AG12" s="138" t="s">
        <v>993</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999</v>
      </c>
      <c r="AC13" s="148">
        <f t="shared" si="9"/>
        <v>13</v>
      </c>
      <c r="AD13" s="139"/>
      <c r="AE13" s="138" t="s">
        <v>999</v>
      </c>
      <c r="AF13" s="148">
        <f t="shared" si="10"/>
        <v>10</v>
      </c>
      <c r="AG13" s="138" t="s">
        <v>999</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996</v>
      </c>
      <c r="AC14" s="148">
        <f t="shared" si="9"/>
        <v>13</v>
      </c>
      <c r="AD14" s="139"/>
      <c r="AE14" s="138" t="s">
        <v>996</v>
      </c>
      <c r="AF14" s="148">
        <f t="shared" si="10"/>
        <v>10</v>
      </c>
      <c r="AG14" s="138" t="s">
        <v>996</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1003</v>
      </c>
      <c r="AC15" s="148">
        <f t="shared" si="9"/>
        <v>13</v>
      </c>
      <c r="AD15" s="139"/>
      <c r="AE15" s="138" t="s">
        <v>1003</v>
      </c>
      <c r="AF15" s="148">
        <f t="shared" si="10"/>
        <v>10</v>
      </c>
      <c r="AG15" s="138" t="s">
        <v>1003</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1008</v>
      </c>
      <c r="AC16" s="148">
        <f t="shared" si="9"/>
        <v>13</v>
      </c>
      <c r="AD16" s="139"/>
      <c r="AE16" s="138" t="s">
        <v>1008</v>
      </c>
      <c r="AF16" s="148">
        <f t="shared" si="10"/>
        <v>10</v>
      </c>
      <c r="AG16" s="138" t="s">
        <v>1008</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1012</v>
      </c>
      <c r="AC17" s="148">
        <f t="shared" si="9"/>
        <v>13</v>
      </c>
      <c r="AD17" s="139"/>
      <c r="AE17" s="138" t="s">
        <v>1012</v>
      </c>
      <c r="AF17" s="148">
        <f t="shared" si="10"/>
        <v>10</v>
      </c>
      <c r="AG17" s="138" t="s">
        <v>1012</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1015</v>
      </c>
      <c r="AC18" s="148">
        <f t="shared" si="9"/>
        <v>13</v>
      </c>
      <c r="AD18" s="139"/>
      <c r="AE18" s="138" t="s">
        <v>1015</v>
      </c>
      <c r="AF18" s="148">
        <f t="shared" si="10"/>
        <v>10</v>
      </c>
      <c r="AG18" s="138" t="s">
        <v>1015</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1018</v>
      </c>
      <c r="AC19" s="148">
        <f t="shared" si="9"/>
        <v>8</v>
      </c>
      <c r="AD19" s="139"/>
      <c r="AE19" s="138" t="s">
        <v>1018</v>
      </c>
      <c r="AF19" s="148">
        <f t="shared" si="10"/>
        <v>6</v>
      </c>
      <c r="AG19" s="138" t="s">
        <v>1018</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1022</v>
      </c>
      <c r="AC20" s="148">
        <f t="shared" si="9"/>
        <v>8</v>
      </c>
      <c r="AD20" s="139"/>
      <c r="AE20" s="138" t="s">
        <v>1022</v>
      </c>
      <c r="AF20" s="148">
        <f t="shared" si="10"/>
        <v>6</v>
      </c>
      <c r="AG20" s="138" t="s">
        <v>1022</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1026</v>
      </c>
      <c r="AC21" s="148">
        <f t="shared" si="9"/>
        <v>8</v>
      </c>
      <c r="AD21" s="139"/>
      <c r="AE21" s="138" t="s">
        <v>1026</v>
      </c>
      <c r="AF21" s="148">
        <f t="shared" si="10"/>
        <v>6</v>
      </c>
      <c r="AG21" s="138" t="s">
        <v>1026</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4.4"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4.4"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4.4"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1018</v>
      </c>
      <c r="D32" s="133"/>
      <c r="E32" s="133" t="s">
        <v>972</v>
      </c>
      <c r="F32" s="133"/>
      <c r="G32" s="133" t="s">
        <v>1022</v>
      </c>
      <c r="H32" s="133"/>
      <c r="I32" s="133" t="s">
        <v>969</v>
      </c>
      <c r="J32" s="133"/>
      <c r="K32" s="133" t="s">
        <v>990</v>
      </c>
      <c r="L32" s="133"/>
      <c r="M32" s="133" t="s">
        <v>1026</v>
      </c>
      <c r="N32" s="133"/>
      <c r="O32" s="133" t="s">
        <v>1029</v>
      </c>
      <c r="P32" s="133"/>
      <c r="Q32" s="133" t="s">
        <v>1033</v>
      </c>
      <c r="R32" s="133"/>
      <c r="S32" s="133" t="s">
        <v>996</v>
      </c>
      <c r="T32" s="133"/>
      <c r="U32" s="133" t="s">
        <v>1036</v>
      </c>
      <c r="V32" s="133"/>
      <c r="W32" s="133" t="s">
        <v>993</v>
      </c>
      <c r="X32" s="133"/>
      <c r="Y32" s="133" t="s">
        <v>999</v>
      </c>
      <c r="Z32" s="133"/>
      <c r="AA32" s="133" t="s">
        <v>1003</v>
      </c>
      <c r="AB32" s="133"/>
      <c r="AC32" s="133" t="s">
        <v>1008</v>
      </c>
      <c r="AD32" s="133"/>
      <c r="AE32" s="133" t="s">
        <v>982</v>
      </c>
      <c r="AF32" s="133"/>
      <c r="AG32" s="133" t="s">
        <v>1012</v>
      </c>
      <c r="AH32" s="133"/>
      <c r="AI32" s="133" t="s">
        <v>1015</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1018</v>
      </c>
      <c r="D58" s="374"/>
      <c r="E58" s="374" t="s">
        <v>972</v>
      </c>
      <c r="F58" s="374"/>
      <c r="G58" s="374" t="s">
        <v>1022</v>
      </c>
      <c r="H58" s="374"/>
      <c r="I58" s="374" t="s">
        <v>969</v>
      </c>
      <c r="J58" s="374"/>
      <c r="K58" s="374" t="s">
        <v>990</v>
      </c>
      <c r="L58" s="374"/>
      <c r="M58" s="374" t="s">
        <v>1026</v>
      </c>
      <c r="N58" s="374"/>
      <c r="O58" s="374" t="s">
        <v>1029</v>
      </c>
      <c r="P58" s="374"/>
      <c r="Q58" s="374" t="s">
        <v>1033</v>
      </c>
      <c r="R58" s="374"/>
      <c r="S58" s="374" t="s">
        <v>996</v>
      </c>
      <c r="T58" s="374"/>
      <c r="U58" s="374" t="s">
        <v>1036</v>
      </c>
      <c r="V58" s="374"/>
      <c r="W58" s="374" t="s">
        <v>993</v>
      </c>
      <c r="X58" s="374"/>
      <c r="Y58" s="374" t="s">
        <v>999</v>
      </c>
      <c r="Z58" s="374"/>
      <c r="AA58" s="374" t="s">
        <v>1003</v>
      </c>
      <c r="AB58" s="374"/>
      <c r="AC58" s="374" t="s">
        <v>1008</v>
      </c>
      <c r="AD58" s="374"/>
      <c r="AE58" s="374" t="s">
        <v>982</v>
      </c>
      <c r="AF58" s="374"/>
      <c r="AG58" s="374" t="s">
        <v>1012</v>
      </c>
      <c r="AH58" s="374"/>
      <c r="AI58" s="374" t="s">
        <v>1015</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10"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1018</v>
      </c>
      <c r="D78" s="135"/>
      <c r="E78" s="135" t="s">
        <v>972</v>
      </c>
      <c r="F78" s="135"/>
      <c r="G78" s="135" t="s">
        <v>1022</v>
      </c>
      <c r="H78" s="135"/>
      <c r="I78" s="135" t="s">
        <v>969</v>
      </c>
      <c r="J78" s="135"/>
      <c r="K78" s="135" t="s">
        <v>990</v>
      </c>
      <c r="L78" s="135"/>
      <c r="M78" s="135" t="s">
        <v>1026</v>
      </c>
      <c r="N78" s="135"/>
      <c r="O78" s="135" t="s">
        <v>1029</v>
      </c>
      <c r="P78" s="135"/>
      <c r="Q78" s="135" t="s">
        <v>1033</v>
      </c>
      <c r="R78" s="135"/>
      <c r="S78" s="135" t="s">
        <v>996</v>
      </c>
      <c r="T78" s="135"/>
      <c r="U78" s="135" t="s">
        <v>1036</v>
      </c>
      <c r="V78" s="135"/>
      <c r="W78" s="135" t="s">
        <v>993</v>
      </c>
      <c r="X78" s="135"/>
      <c r="Y78" s="135" t="s">
        <v>999</v>
      </c>
      <c r="Z78" s="135"/>
      <c r="AA78" s="135" t="s">
        <v>1003</v>
      </c>
      <c r="AB78" s="135"/>
      <c r="AC78" s="135" t="s">
        <v>1008</v>
      </c>
      <c r="AD78" s="135"/>
      <c r="AE78" s="135" t="s">
        <v>982</v>
      </c>
      <c r="AF78" s="135"/>
      <c r="AG78" s="135" t="s">
        <v>1012</v>
      </c>
      <c r="AH78" s="135"/>
      <c r="AI78" s="135" t="s">
        <v>1015</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1018</v>
      </c>
      <c r="D109" s="133"/>
      <c r="E109" s="133" t="s">
        <v>972</v>
      </c>
      <c r="F109" s="133"/>
      <c r="G109" s="133" t="s">
        <v>1022</v>
      </c>
      <c r="H109" s="133"/>
      <c r="I109" s="133" t="s">
        <v>969</v>
      </c>
      <c r="J109" s="133"/>
      <c r="K109" s="133" t="s">
        <v>990</v>
      </c>
      <c r="L109" s="133"/>
      <c r="M109" s="133" t="s">
        <v>1026</v>
      </c>
      <c r="N109" s="133"/>
      <c r="O109" s="133" t="s">
        <v>1029</v>
      </c>
      <c r="P109" s="133"/>
      <c r="Q109" s="133" t="s">
        <v>1033</v>
      </c>
      <c r="R109" s="133"/>
      <c r="S109" s="133" t="s">
        <v>996</v>
      </c>
      <c r="T109" s="133"/>
      <c r="U109" s="133" t="s">
        <v>1036</v>
      </c>
      <c r="V109" s="133"/>
      <c r="W109" s="133" t="s">
        <v>993</v>
      </c>
      <c r="X109" s="133"/>
      <c r="Y109" s="133" t="s">
        <v>999</v>
      </c>
      <c r="Z109" s="133"/>
      <c r="AA109" s="133" t="s">
        <v>1003</v>
      </c>
      <c r="AB109" s="133"/>
      <c r="AC109" s="133" t="s">
        <v>1008</v>
      </c>
      <c r="AD109" s="133"/>
      <c r="AE109" s="133" t="s">
        <v>982</v>
      </c>
      <c r="AF109" s="133"/>
      <c r="AG109" s="133" t="s">
        <v>1012</v>
      </c>
      <c r="AH109" s="133"/>
      <c r="AI109" s="133" t="s">
        <v>1015</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26.7"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13" t="s">
        <v>4770</v>
      </c>
      <c r="B3" s="2213"/>
      <c r="C3" s="2213"/>
      <c r="D3" s="2213"/>
      <c r="E3" s="2213"/>
      <c r="F3" s="2213"/>
      <c r="G3" s="2213"/>
      <c r="H3" s="2213"/>
      <c r="I3" s="2213"/>
      <c r="J3" s="2213"/>
      <c r="K3" s="2213"/>
      <c r="L3" s="2213"/>
      <c r="M3" s="2213"/>
      <c r="N3" s="2213"/>
      <c r="O3" s="2213"/>
      <c r="P3" s="2213"/>
      <c r="Q3" s="2213"/>
      <c r="R3" s="2213"/>
      <c r="S3" s="2213"/>
      <c r="T3" s="47"/>
      <c r="U3" s="2214"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5"/>
      <c r="CT3" s="2216"/>
      <c r="CU3" s="2216"/>
      <c r="CV3" s="2216"/>
      <c r="CW3" s="2216"/>
      <c r="CX3" s="2216"/>
      <c r="CY3" s="2216"/>
      <c r="CZ3" s="2216"/>
      <c r="DA3" s="2216"/>
      <c r="DB3" s="221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13"/>
      <c r="B4" s="2213"/>
      <c r="C4" s="2213"/>
      <c r="D4" s="2213"/>
      <c r="E4" s="2213"/>
      <c r="F4" s="2213"/>
      <c r="G4" s="2213"/>
      <c r="H4" s="2213"/>
      <c r="I4" s="2213"/>
      <c r="J4" s="2213"/>
      <c r="K4" s="2213"/>
      <c r="L4" s="2213"/>
      <c r="M4" s="2213"/>
      <c r="N4" s="2213"/>
      <c r="O4" s="2213"/>
      <c r="P4" s="2213"/>
      <c r="Q4" s="2213"/>
      <c r="R4" s="2213"/>
      <c r="S4" s="2213"/>
      <c r="T4" s="47"/>
      <c r="U4" s="221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6"/>
      <c r="CT4" s="2216"/>
      <c r="CU4" s="2216"/>
      <c r="CV4" s="2216"/>
      <c r="CW4" s="2216"/>
      <c r="CX4" s="2216"/>
      <c r="CY4" s="2216"/>
      <c r="CZ4" s="2216"/>
      <c r="DA4" s="2216"/>
      <c r="DB4" s="221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55" t="s">
        <v>4772</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217">
        <v>25</v>
      </c>
      <c r="AB6" s="2218"/>
      <c r="AC6" s="2218"/>
      <c r="AD6" s="2218"/>
      <c r="AE6" s="2218"/>
      <c r="AF6" s="2218"/>
      <c r="AG6" s="2218"/>
      <c r="AH6" s="2218"/>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219">
        <v>49</v>
      </c>
      <c r="AZ6" s="2220">
        <v>52</v>
      </c>
      <c r="BA6" s="2220">
        <v>53</v>
      </c>
      <c r="BB6" s="2220">
        <v>54</v>
      </c>
      <c r="BC6" s="2220">
        <v>55</v>
      </c>
      <c r="BD6" s="2220">
        <v>56</v>
      </c>
      <c r="BE6" s="2220">
        <v>57</v>
      </c>
      <c r="BF6" s="2220">
        <v>58</v>
      </c>
      <c r="BG6" s="2220">
        <v>59</v>
      </c>
      <c r="BH6" s="2221">
        <v>60</v>
      </c>
      <c r="BI6" s="2219">
        <v>59</v>
      </c>
      <c r="BJ6" s="2220">
        <v>62</v>
      </c>
      <c r="BK6" s="2220">
        <v>63</v>
      </c>
      <c r="BL6" s="2220">
        <v>64</v>
      </c>
      <c r="BM6" s="2221">
        <v>65</v>
      </c>
      <c r="BN6" s="2219">
        <v>64</v>
      </c>
      <c r="BO6" s="2220">
        <v>67</v>
      </c>
      <c r="BP6" s="2220">
        <v>68</v>
      </c>
      <c r="BQ6" s="2220">
        <v>69</v>
      </c>
      <c r="BR6" s="2220">
        <v>70</v>
      </c>
      <c r="BS6" s="2220">
        <v>71</v>
      </c>
      <c r="BT6" s="2220">
        <v>72</v>
      </c>
      <c r="BU6" s="2220">
        <v>73</v>
      </c>
      <c r="BV6" s="2220">
        <v>74</v>
      </c>
      <c r="BW6" s="2220">
        <v>75</v>
      </c>
      <c r="BX6" s="2220">
        <v>76</v>
      </c>
      <c r="BY6" s="2220">
        <v>77</v>
      </c>
      <c r="BZ6" s="2220">
        <v>78</v>
      </c>
      <c r="CA6" s="2220">
        <v>79</v>
      </c>
      <c r="CB6" s="2220">
        <v>80</v>
      </c>
      <c r="CC6" s="2221">
        <v>81</v>
      </c>
      <c r="CD6" s="2219">
        <v>80</v>
      </c>
      <c r="CE6" s="2220">
        <v>83</v>
      </c>
      <c r="CF6" s="2220">
        <v>84</v>
      </c>
      <c r="CG6" s="2220">
        <v>85</v>
      </c>
      <c r="CH6" s="2221">
        <v>86</v>
      </c>
      <c r="CI6" s="2219">
        <v>85</v>
      </c>
      <c r="CJ6" s="2220">
        <v>88</v>
      </c>
      <c r="CK6" s="2220">
        <v>89</v>
      </c>
      <c r="CL6" s="2220">
        <v>90</v>
      </c>
      <c r="CM6" s="2221">
        <v>91</v>
      </c>
      <c r="CN6" s="2219">
        <v>90</v>
      </c>
      <c r="CO6" s="2220">
        <v>93</v>
      </c>
      <c r="CP6" s="2220">
        <v>94</v>
      </c>
      <c r="CQ6" s="2220">
        <v>95</v>
      </c>
      <c r="CR6" s="2220">
        <v>96</v>
      </c>
      <c r="CS6" s="2219">
        <v>95</v>
      </c>
      <c r="CT6" s="2220">
        <v>98</v>
      </c>
      <c r="CU6" s="2220">
        <v>99</v>
      </c>
      <c r="CV6" s="2220">
        <v>100</v>
      </c>
      <c r="CW6" s="2220">
        <v>101</v>
      </c>
      <c r="CX6" s="2219">
        <v>100</v>
      </c>
      <c r="CY6" s="2220">
        <v>103</v>
      </c>
      <c r="CZ6" s="2220">
        <v>104</v>
      </c>
      <c r="DA6" s="2220">
        <v>105</v>
      </c>
      <c r="DB6" s="2220">
        <v>106</v>
      </c>
      <c r="DC6" s="2220">
        <v>105</v>
      </c>
      <c r="DD6" s="2220">
        <v>108</v>
      </c>
      <c r="DE6" s="2220">
        <v>109</v>
      </c>
      <c r="DF6" s="2220">
        <v>110</v>
      </c>
      <c r="DG6" s="2221">
        <v>111</v>
      </c>
      <c r="DH6" s="2219">
        <v>110</v>
      </c>
      <c r="DI6" s="2220">
        <v>113</v>
      </c>
      <c r="DJ6" s="2220">
        <v>114</v>
      </c>
      <c r="DK6" s="2220">
        <v>115</v>
      </c>
      <c r="DL6" s="2221">
        <v>116</v>
      </c>
      <c r="DM6" s="2219">
        <v>115</v>
      </c>
      <c r="DN6" s="2220"/>
      <c r="DO6" s="2220"/>
      <c r="DP6" s="967">
        <v>118</v>
      </c>
      <c r="DQ6" s="2219">
        <v>119</v>
      </c>
      <c r="DR6" s="2220"/>
      <c r="DS6" s="2220"/>
      <c r="DT6" s="967">
        <v>122</v>
      </c>
      <c r="DU6" s="2148">
        <v>123</v>
      </c>
      <c r="DV6" s="967">
        <v>124</v>
      </c>
      <c r="DW6" s="2147">
        <v>125</v>
      </c>
    </row>
    <row r="7" spans="1:127" s="53" customFormat="1" ht="14.4">
      <c r="A7" s="968"/>
      <c r="B7" s="969"/>
      <c r="C7" s="957"/>
      <c r="D7" s="958"/>
      <c r="E7" s="958"/>
      <c r="F7" s="958"/>
      <c r="G7" s="958"/>
      <c r="H7" s="958"/>
      <c r="I7" s="958"/>
      <c r="J7" s="958"/>
      <c r="K7" s="958"/>
      <c r="L7" s="958"/>
      <c r="M7" s="958"/>
      <c r="N7" s="958"/>
      <c r="O7" s="958"/>
      <c r="P7" s="958"/>
      <c r="Q7" s="958"/>
      <c r="R7" s="958"/>
      <c r="S7" s="958"/>
      <c r="T7" s="959"/>
      <c r="U7" s="2141" t="s">
        <v>1852</v>
      </c>
      <c r="V7" s="707" t="s">
        <v>961</v>
      </c>
      <c r="W7" s="708" t="s">
        <v>961</v>
      </c>
      <c r="X7" s="2142" t="s">
        <v>961</v>
      </c>
      <c r="Y7" s="710" t="s">
        <v>961</v>
      </c>
      <c r="Z7" s="708" t="s">
        <v>961</v>
      </c>
      <c r="AA7" s="2198"/>
      <c r="AB7" s="2222"/>
      <c r="AC7" s="2222"/>
      <c r="AD7" s="2222"/>
      <c r="AE7" s="2222"/>
      <c r="AF7" s="2222"/>
      <c r="AG7" s="2222"/>
      <c r="AH7" s="2222"/>
      <c r="AI7" s="2143"/>
      <c r="AJ7" s="2142" t="s">
        <v>961</v>
      </c>
      <c r="AK7" s="708" t="s">
        <v>961</v>
      </c>
      <c r="AL7" s="2143" t="s">
        <v>961</v>
      </c>
      <c r="AM7" s="708" t="s">
        <v>961</v>
      </c>
      <c r="AN7" s="708" t="s">
        <v>961</v>
      </c>
      <c r="AO7" s="708" t="s">
        <v>961</v>
      </c>
      <c r="AP7" s="711" t="s">
        <v>961</v>
      </c>
      <c r="AQ7" s="712" t="s">
        <v>961</v>
      </c>
      <c r="AR7" s="709" t="s">
        <v>961</v>
      </c>
      <c r="AS7" s="2142" t="s">
        <v>961</v>
      </c>
      <c r="AT7" s="2142" t="s">
        <v>961</v>
      </c>
      <c r="AU7" s="2142" t="s">
        <v>961</v>
      </c>
      <c r="AV7" s="2142" t="s">
        <v>961</v>
      </c>
      <c r="AW7" s="2142" t="s">
        <v>961</v>
      </c>
      <c r="AX7" s="706" t="s">
        <v>973</v>
      </c>
      <c r="AY7" s="2195" t="s">
        <v>973</v>
      </c>
      <c r="AZ7" s="2196"/>
      <c r="BA7" s="2196"/>
      <c r="BB7" s="2196"/>
      <c r="BC7" s="2196"/>
      <c r="BD7" s="2196"/>
      <c r="BE7" s="2196"/>
      <c r="BF7" s="2196"/>
      <c r="BG7" s="2196"/>
      <c r="BH7" s="2197"/>
      <c r="BI7" s="2195" t="s">
        <v>973</v>
      </c>
      <c r="BJ7" s="2196"/>
      <c r="BK7" s="2196"/>
      <c r="BL7" s="2196"/>
      <c r="BM7" s="2197"/>
      <c r="BN7" s="2195" t="s">
        <v>973</v>
      </c>
      <c r="BO7" s="2196"/>
      <c r="BP7" s="2196"/>
      <c r="BQ7" s="2196"/>
      <c r="BR7" s="2196"/>
      <c r="BS7" s="2196"/>
      <c r="BT7" s="2196"/>
      <c r="BU7" s="2196"/>
      <c r="BV7" s="2196"/>
      <c r="BW7" s="2196"/>
      <c r="BX7" s="2196"/>
      <c r="BY7" s="2196"/>
      <c r="BZ7" s="2196"/>
      <c r="CA7" s="2196"/>
      <c r="CB7" s="2196"/>
      <c r="CC7" s="2197"/>
      <c r="CD7" s="2195" t="s">
        <v>973</v>
      </c>
      <c r="CE7" s="2196"/>
      <c r="CF7" s="2196"/>
      <c r="CG7" s="2196"/>
      <c r="CH7" s="2197"/>
      <c r="CI7" s="2195" t="s">
        <v>973</v>
      </c>
      <c r="CJ7" s="2196"/>
      <c r="CK7" s="2196"/>
      <c r="CL7" s="2196"/>
      <c r="CM7" s="2197"/>
      <c r="CN7" s="2195" t="s">
        <v>973</v>
      </c>
      <c r="CO7" s="2196"/>
      <c r="CP7" s="2196"/>
      <c r="CQ7" s="2196"/>
      <c r="CR7" s="2196"/>
      <c r="CS7" s="2195" t="s">
        <v>973</v>
      </c>
      <c r="CT7" s="2196"/>
      <c r="CU7" s="2196"/>
      <c r="CV7" s="2196"/>
      <c r="CW7" s="2196"/>
      <c r="CX7" s="2195" t="s">
        <v>973</v>
      </c>
      <c r="CY7" s="2196"/>
      <c r="CZ7" s="2196"/>
      <c r="DA7" s="2196"/>
      <c r="DB7" s="2196"/>
      <c r="DC7" s="2196" t="s">
        <v>973</v>
      </c>
      <c r="DD7" s="2196"/>
      <c r="DE7" s="2196"/>
      <c r="DF7" s="2196"/>
      <c r="DG7" s="2197"/>
      <c r="DH7" s="2195" t="s">
        <v>973</v>
      </c>
      <c r="DI7" s="2196"/>
      <c r="DJ7" s="2196"/>
      <c r="DK7" s="2196"/>
      <c r="DL7" s="2197"/>
      <c r="DM7" s="713" t="s">
        <v>973</v>
      </c>
      <c r="DN7" s="714" t="s">
        <v>973</v>
      </c>
      <c r="DO7" s="715" t="s">
        <v>973</v>
      </c>
      <c r="DP7" s="716" t="s">
        <v>973</v>
      </c>
      <c r="DQ7" s="713" t="s">
        <v>973</v>
      </c>
      <c r="DR7" s="714" t="s">
        <v>973</v>
      </c>
      <c r="DS7" s="715" t="s">
        <v>973</v>
      </c>
      <c r="DT7" s="716" t="s">
        <v>973</v>
      </c>
      <c r="DU7" s="2142" t="s">
        <v>973</v>
      </c>
      <c r="DV7" s="717" t="s">
        <v>973</v>
      </c>
      <c r="DW7" s="2141" t="s">
        <v>973</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3" t="s">
        <v>4773</v>
      </c>
      <c r="AB8" s="2204"/>
      <c r="AC8" s="2204"/>
      <c r="AD8" s="2204"/>
      <c r="AE8" s="2204"/>
      <c r="AF8" s="2204"/>
      <c r="AG8" s="2204"/>
      <c r="AH8" s="2204"/>
      <c r="AI8" s="2226"/>
      <c r="AJ8" s="722"/>
      <c r="AK8" s="721"/>
      <c r="AL8" s="726"/>
      <c r="AM8" s="727"/>
      <c r="AN8" s="727"/>
      <c r="AO8" s="728"/>
      <c r="AP8" s="729"/>
      <c r="AQ8" s="2143"/>
      <c r="AR8" s="723"/>
      <c r="AS8" s="2140"/>
      <c r="AT8" s="730"/>
      <c r="AU8" s="730"/>
      <c r="AV8" s="730"/>
      <c r="AW8" s="730"/>
      <c r="AX8" s="731"/>
      <c r="AY8" s="2203" t="s">
        <v>1854</v>
      </c>
      <c r="AZ8" s="2204"/>
      <c r="BA8" s="2204"/>
      <c r="BB8" s="2204"/>
      <c r="BC8" s="2204"/>
      <c r="BD8" s="2204"/>
      <c r="BE8" s="2204"/>
      <c r="BF8" s="2204"/>
      <c r="BG8" s="2204"/>
      <c r="BH8" s="2206"/>
      <c r="BI8" s="2203" t="s">
        <v>1855</v>
      </c>
      <c r="BJ8" s="2204"/>
      <c r="BK8" s="2204"/>
      <c r="BL8" s="2204"/>
      <c r="BM8" s="2206"/>
      <c r="BN8" s="2203" t="s">
        <v>1856</v>
      </c>
      <c r="BO8" s="2204"/>
      <c r="BP8" s="2204"/>
      <c r="BQ8" s="2204"/>
      <c r="BR8" s="2204"/>
      <c r="BS8" s="2204"/>
      <c r="BT8" s="2204"/>
      <c r="BU8" s="2204"/>
      <c r="BV8" s="2204"/>
      <c r="BW8" s="2204"/>
      <c r="BX8" s="2204"/>
      <c r="BY8" s="2204"/>
      <c r="BZ8" s="2204"/>
      <c r="CA8" s="2204"/>
      <c r="CB8" s="2204"/>
      <c r="CC8" s="2206"/>
      <c r="CD8" s="2207" t="s">
        <v>956</v>
      </c>
      <c r="CE8" s="2208"/>
      <c r="CF8" s="2208"/>
      <c r="CG8" s="2208"/>
      <c r="CH8" s="2209"/>
      <c r="CI8" s="2210" t="s">
        <v>1857</v>
      </c>
      <c r="CJ8" s="2211"/>
      <c r="CK8" s="2211"/>
      <c r="CL8" s="2211"/>
      <c r="CM8" s="2212"/>
      <c r="CN8" s="2210" t="s">
        <v>1858</v>
      </c>
      <c r="CO8" s="2211"/>
      <c r="CP8" s="2211"/>
      <c r="CQ8" s="2211"/>
      <c r="CR8" s="2211"/>
      <c r="CS8" s="2210" t="s">
        <v>1859</v>
      </c>
      <c r="CT8" s="2211"/>
      <c r="CU8" s="2211"/>
      <c r="CV8" s="2211"/>
      <c r="CW8" s="2211"/>
      <c r="CX8" s="2210" t="s">
        <v>1860</v>
      </c>
      <c r="CY8" s="2211"/>
      <c r="CZ8" s="2211"/>
      <c r="DA8" s="2211"/>
      <c r="DB8" s="2211"/>
      <c r="DC8" s="2223" t="s">
        <v>1861</v>
      </c>
      <c r="DD8" s="2211"/>
      <c r="DE8" s="2211"/>
      <c r="DF8" s="2211"/>
      <c r="DG8" s="2212"/>
      <c r="DH8" s="2210" t="s">
        <v>1862</v>
      </c>
      <c r="DI8" s="2211"/>
      <c r="DJ8" s="2211"/>
      <c r="DK8" s="2211"/>
      <c r="DL8" s="2212"/>
      <c r="DM8" s="2200" t="s">
        <v>4774</v>
      </c>
      <c r="DN8" s="2224"/>
      <c r="DO8" s="2224"/>
      <c r="DP8" s="2224"/>
      <c r="DQ8" s="2200" t="s">
        <v>1864</v>
      </c>
      <c r="DR8" s="2224"/>
      <c r="DS8" s="2224"/>
      <c r="DT8" s="2225"/>
      <c r="DU8" s="730"/>
      <c r="DV8" s="732"/>
      <c r="DW8" s="976"/>
    </row>
    <row r="9" spans="1:127" s="55" customFormat="1" ht="55.8"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702</v>
      </c>
      <c r="AB9" s="753" t="s">
        <v>705</v>
      </c>
      <c r="AC9" s="753" t="s">
        <v>708</v>
      </c>
      <c r="AD9" s="753" t="s">
        <v>711</v>
      </c>
      <c r="AE9" s="753" t="s">
        <v>714</v>
      </c>
      <c r="AF9" s="753" t="s">
        <v>717</v>
      </c>
      <c r="AG9" s="753" t="s">
        <v>1871</v>
      </c>
      <c r="AH9" s="753" t="s">
        <v>720</v>
      </c>
      <c r="AI9" s="754" t="s">
        <v>1046</v>
      </c>
      <c r="AJ9" s="988" t="s">
        <v>942</v>
      </c>
      <c r="AK9" s="988" t="s">
        <v>943</v>
      </c>
      <c r="AL9" s="989" t="s">
        <v>944</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968</v>
      </c>
      <c r="BJ9" s="990" t="s">
        <v>980</v>
      </c>
      <c r="BK9" s="990" t="s">
        <v>985</v>
      </c>
      <c r="BL9" s="990" t="s">
        <v>958</v>
      </c>
      <c r="BM9" s="996" t="s">
        <v>970</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968</v>
      </c>
      <c r="CE9" s="990" t="s">
        <v>980</v>
      </c>
      <c r="CF9" s="990" t="s">
        <v>985</v>
      </c>
      <c r="CG9" s="990" t="s">
        <v>958</v>
      </c>
      <c r="CH9" s="996" t="s">
        <v>970</v>
      </c>
      <c r="CI9" s="995" t="s">
        <v>968</v>
      </c>
      <c r="CJ9" s="990" t="s">
        <v>980</v>
      </c>
      <c r="CK9" s="990" t="s">
        <v>985</v>
      </c>
      <c r="CL9" s="990" t="s">
        <v>958</v>
      </c>
      <c r="CM9" s="996" t="s">
        <v>970</v>
      </c>
      <c r="CN9" s="995" t="s">
        <v>968</v>
      </c>
      <c r="CO9" s="990" t="s">
        <v>980</v>
      </c>
      <c r="CP9" s="990" t="s">
        <v>985</v>
      </c>
      <c r="CQ9" s="990" t="s">
        <v>958</v>
      </c>
      <c r="CR9" s="990" t="s">
        <v>970</v>
      </c>
      <c r="CS9" s="998" t="s">
        <v>968</v>
      </c>
      <c r="CT9" s="999" t="s">
        <v>980</v>
      </c>
      <c r="CU9" s="999" t="s">
        <v>985</v>
      </c>
      <c r="CV9" s="999" t="s">
        <v>958</v>
      </c>
      <c r="CW9" s="999" t="s">
        <v>970</v>
      </c>
      <c r="CX9" s="995" t="s">
        <v>968</v>
      </c>
      <c r="CY9" s="990" t="s">
        <v>980</v>
      </c>
      <c r="CZ9" s="990" t="s">
        <v>985</v>
      </c>
      <c r="DA9" s="990" t="s">
        <v>958</v>
      </c>
      <c r="DB9" s="990" t="s">
        <v>970</v>
      </c>
      <c r="DC9" s="990" t="s">
        <v>968</v>
      </c>
      <c r="DD9" s="990" t="s">
        <v>980</v>
      </c>
      <c r="DE9" s="990" t="s">
        <v>985</v>
      </c>
      <c r="DF9" s="990" t="s">
        <v>958</v>
      </c>
      <c r="DG9" s="996" t="s">
        <v>970</v>
      </c>
      <c r="DH9" s="995" t="s">
        <v>968</v>
      </c>
      <c r="DI9" s="990" t="s">
        <v>980</v>
      </c>
      <c r="DJ9" s="990" t="s">
        <v>985</v>
      </c>
      <c r="DK9" s="990" t="s">
        <v>958</v>
      </c>
      <c r="DL9" s="996" t="s">
        <v>970</v>
      </c>
      <c r="DM9" s="1415" t="s">
        <v>1907</v>
      </c>
      <c r="DN9" s="1416" t="s">
        <v>1908</v>
      </c>
      <c r="DO9" s="1417" t="s">
        <v>1909</v>
      </c>
      <c r="DP9" s="1000" t="s">
        <v>1910</v>
      </c>
      <c r="DQ9" s="1415" t="s">
        <v>1911</v>
      </c>
      <c r="DR9" s="1416" t="s">
        <v>1912</v>
      </c>
      <c r="DS9" s="1417" t="s">
        <v>1913</v>
      </c>
      <c r="DT9" s="1000" t="s">
        <v>1914</v>
      </c>
      <c r="DU9" s="993" t="s">
        <v>1915</v>
      </c>
      <c r="DV9" s="1001" t="s">
        <v>1916</v>
      </c>
      <c r="DW9" s="1002" t="s">
        <v>1917</v>
      </c>
    </row>
    <row r="10" spans="1:127" ht="15.75" customHeight="1">
      <c r="A10" s="1003" t="s">
        <v>1018</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154</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988</v>
      </c>
      <c r="AK10" s="1016" t="s">
        <v>964</v>
      </c>
      <c r="AL10" s="1016" t="s">
        <v>965</v>
      </c>
      <c r="AM10" s="1017" t="s">
        <v>1923</v>
      </c>
      <c r="AN10" s="1005" t="s">
        <v>4781</v>
      </c>
      <c r="AO10" s="1005" t="s">
        <v>4782</v>
      </c>
      <c r="AP10" s="1294">
        <v>0</v>
      </c>
      <c r="AQ10" s="1018" t="s">
        <v>978</v>
      </c>
      <c r="AR10" s="1019" t="s">
        <v>154</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961</v>
      </c>
      <c r="CE10" s="1032" t="s">
        <v>961</v>
      </c>
      <c r="CF10" s="1032" t="s">
        <v>961</v>
      </c>
      <c r="CG10" s="1032" t="s">
        <v>961</v>
      </c>
      <c r="CH10" s="1033" t="s">
        <v>961</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973</v>
      </c>
      <c r="DV10" s="1040">
        <v>1</v>
      </c>
      <c r="DW10" s="1041" t="s">
        <v>1971</v>
      </c>
    </row>
    <row r="11" spans="1:127" s="390" customFormat="1" ht="15.75" customHeight="1">
      <c r="A11" s="1042" t="s">
        <v>1018</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629</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988</v>
      </c>
      <c r="AK11" s="1055" t="s">
        <v>964</v>
      </c>
      <c r="AL11" s="1055" t="s">
        <v>965</v>
      </c>
      <c r="AM11" s="1056" t="s">
        <v>629</v>
      </c>
      <c r="AN11" s="1050" t="s">
        <v>293</v>
      </c>
      <c r="AO11" s="1050" t="s">
        <v>4783</v>
      </c>
      <c r="AP11" s="1295">
        <v>1</v>
      </c>
      <c r="AQ11" s="1058" t="s">
        <v>966</v>
      </c>
      <c r="AR11" s="1059" t="s">
        <v>629</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961</v>
      </c>
      <c r="CE11" s="1315" t="s">
        <v>961</v>
      </c>
      <c r="CF11" s="1315" t="s">
        <v>961</v>
      </c>
      <c r="CG11" s="1315" t="s">
        <v>961</v>
      </c>
      <c r="CH11" s="1316" t="s">
        <v>961</v>
      </c>
      <c r="CI11" s="1317" t="s">
        <v>1971</v>
      </c>
      <c r="CJ11" s="1065" t="s">
        <v>1971</v>
      </c>
      <c r="CK11" s="1065" t="s">
        <v>1971</v>
      </c>
      <c r="CL11" s="1065" t="s">
        <v>1971</v>
      </c>
      <c r="CM11" s="1313" t="s">
        <v>1971</v>
      </c>
      <c r="CN11" s="1066">
        <v>-5</v>
      </c>
      <c r="CO11" s="1065">
        <v>-5</v>
      </c>
      <c r="CP11" s="1065">
        <v>-5</v>
      </c>
      <c r="CQ11" s="1065">
        <v>-5</v>
      </c>
      <c r="CR11" s="1313">
        <v>-5</v>
      </c>
      <c r="CS11" s="1317" t="s">
        <v>1971</v>
      </c>
      <c r="CT11" s="1065" t="s">
        <v>1971</v>
      </c>
      <c r="CU11" s="1065" t="s">
        <v>1971</v>
      </c>
      <c r="CV11" s="1065" t="s">
        <v>1971</v>
      </c>
      <c r="CW11" s="1313" t="s">
        <v>1971</v>
      </c>
      <c r="CX11" s="1317" t="s">
        <v>1971</v>
      </c>
      <c r="CY11" s="1065" t="s">
        <v>1971</v>
      </c>
      <c r="CZ11" s="1065" t="s">
        <v>1971</v>
      </c>
      <c r="DA11" s="1065" t="s">
        <v>1971</v>
      </c>
      <c r="DB11" s="1313" t="s">
        <v>1971</v>
      </c>
      <c r="DC11" s="1318">
        <v>5.8</v>
      </c>
      <c r="DD11" s="1065">
        <v>13.8</v>
      </c>
      <c r="DE11" s="1065">
        <v>16.5</v>
      </c>
      <c r="DF11" s="1065">
        <v>19.399999999999999</v>
      </c>
      <c r="DG11" s="1313">
        <v>22.2</v>
      </c>
      <c r="DH11" s="1066" t="s">
        <v>1971</v>
      </c>
      <c r="DI11" s="1065" t="s">
        <v>1971</v>
      </c>
      <c r="DJ11" s="1065" t="s">
        <v>1971</v>
      </c>
      <c r="DK11" s="1065" t="s">
        <v>1971</v>
      </c>
      <c r="DL11" s="1313" t="s">
        <v>1971</v>
      </c>
      <c r="DM11" s="1079">
        <v>-0.16</v>
      </c>
      <c r="DN11" s="1080" t="s">
        <v>1971</v>
      </c>
      <c r="DO11" s="1080" t="s">
        <v>1971</v>
      </c>
      <c r="DP11" s="1081" t="s">
        <v>1971</v>
      </c>
      <c r="DQ11" s="1080">
        <v>0.13300000000000001</v>
      </c>
      <c r="DR11" s="1080" t="s">
        <v>1971</v>
      </c>
      <c r="DS11" s="1080" t="s">
        <v>1971</v>
      </c>
      <c r="DT11" s="1081" t="s">
        <v>1971</v>
      </c>
      <c r="DU11" s="1073" t="s">
        <v>973</v>
      </c>
      <c r="DV11" s="1082">
        <v>1</v>
      </c>
      <c r="DW11" s="1083" t="s">
        <v>1971</v>
      </c>
    </row>
    <row r="12" spans="1:127" s="390" customFormat="1" ht="15.75" customHeight="1">
      <c r="A12" s="1042" t="s">
        <v>1018</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988</v>
      </c>
      <c r="AK12" s="1055" t="s">
        <v>964</v>
      </c>
      <c r="AL12" s="1414" t="s">
        <v>977</v>
      </c>
      <c r="AM12" s="1056" t="s">
        <v>1933</v>
      </c>
      <c r="AN12" s="1050" t="s">
        <v>2147</v>
      </c>
      <c r="AO12" s="1050" t="s">
        <v>4783</v>
      </c>
      <c r="AP12" s="1295">
        <v>1</v>
      </c>
      <c r="AQ12" s="1058" t="s">
        <v>966</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961</v>
      </c>
      <c r="CE12" s="1315" t="s">
        <v>961</v>
      </c>
      <c r="CF12" s="1315" t="s">
        <v>961</v>
      </c>
      <c r="CG12" s="1315" t="s">
        <v>961</v>
      </c>
      <c r="CH12" s="1316" t="s">
        <v>961</v>
      </c>
      <c r="CI12" s="1066" t="s">
        <v>1971</v>
      </c>
      <c r="CJ12" s="1065" t="s">
        <v>1971</v>
      </c>
      <c r="CK12" s="1065" t="s">
        <v>1971</v>
      </c>
      <c r="CL12" s="1065" t="s">
        <v>1971</v>
      </c>
      <c r="CM12" s="1313" t="s">
        <v>1971</v>
      </c>
      <c r="CN12" s="1066">
        <v>-8.1</v>
      </c>
      <c r="CO12" s="1065">
        <v>-8.1</v>
      </c>
      <c r="CP12" s="1065">
        <v>-8.1</v>
      </c>
      <c r="CQ12" s="1065">
        <v>-8.1</v>
      </c>
      <c r="CR12" s="1313">
        <v>-8.1</v>
      </c>
      <c r="CS12" s="1066" t="s">
        <v>1971</v>
      </c>
      <c r="CT12" s="1065" t="s">
        <v>1971</v>
      </c>
      <c r="CU12" s="1065" t="s">
        <v>1971</v>
      </c>
      <c r="CV12" s="1065" t="s">
        <v>1971</v>
      </c>
      <c r="CW12" s="1313" t="s">
        <v>1971</v>
      </c>
      <c r="CX12" s="1066" t="s">
        <v>1971</v>
      </c>
      <c r="CY12" s="1065" t="s">
        <v>1971</v>
      </c>
      <c r="CZ12" s="1065" t="s">
        <v>1971</v>
      </c>
      <c r="DA12" s="1065" t="s">
        <v>1971</v>
      </c>
      <c r="DB12" s="1313" t="s">
        <v>1971</v>
      </c>
      <c r="DC12" s="1318">
        <v>3.7</v>
      </c>
      <c r="DD12" s="1065">
        <v>6.9</v>
      </c>
      <c r="DE12" s="1065">
        <v>9.3000000000000007</v>
      </c>
      <c r="DF12" s="1065">
        <v>12</v>
      </c>
      <c r="DG12" s="1313">
        <v>14.5</v>
      </c>
      <c r="DH12" s="1066" t="s">
        <v>1971</v>
      </c>
      <c r="DI12" s="1065" t="s">
        <v>1971</v>
      </c>
      <c r="DJ12" s="1065" t="s">
        <v>1971</v>
      </c>
      <c r="DK12" s="1065" t="s">
        <v>1971</v>
      </c>
      <c r="DL12" s="1313" t="s">
        <v>1971</v>
      </c>
      <c r="DM12" s="1084">
        <v>-0.28899999999999998</v>
      </c>
      <c r="DN12" s="1080" t="s">
        <v>1971</v>
      </c>
      <c r="DO12" s="1080" t="s">
        <v>1971</v>
      </c>
      <c r="DP12" s="1081" t="s">
        <v>1971</v>
      </c>
      <c r="DQ12" s="1080">
        <v>0.27300000000000002</v>
      </c>
      <c r="DR12" s="1080" t="s">
        <v>1971</v>
      </c>
      <c r="DS12" s="1080" t="s">
        <v>1971</v>
      </c>
      <c r="DT12" s="1081" t="s">
        <v>1971</v>
      </c>
      <c r="DU12" s="1073" t="s">
        <v>973</v>
      </c>
      <c r="DV12" s="1082">
        <v>1</v>
      </c>
      <c r="DW12" s="1083" t="s">
        <v>1971</v>
      </c>
    </row>
    <row r="13" spans="1:127" s="390" customFormat="1" ht="15.75" customHeight="1">
      <c r="A13" s="1085" t="s">
        <v>1018</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499</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963</v>
      </c>
      <c r="AK13" s="1094" t="s">
        <v>1971</v>
      </c>
      <c r="AL13" s="1094" t="s">
        <v>1971</v>
      </c>
      <c r="AM13" s="1095" t="s">
        <v>1939</v>
      </c>
      <c r="AN13" s="1006" t="s">
        <v>293</v>
      </c>
      <c r="AO13" s="1006" t="s">
        <v>4784</v>
      </c>
      <c r="AP13" s="1296">
        <v>1</v>
      </c>
      <c r="AQ13" s="1096" t="s">
        <v>978</v>
      </c>
      <c r="AR13" s="1097" t="s">
        <v>499</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1971</v>
      </c>
      <c r="CE13" s="1323" t="s">
        <v>1971</v>
      </c>
      <c r="CF13" s="1323" t="s">
        <v>1971</v>
      </c>
      <c r="CG13" s="1323" t="s">
        <v>1971</v>
      </c>
      <c r="CH13" s="1324" t="s">
        <v>1971</v>
      </c>
      <c r="CI13" s="1102" t="s">
        <v>1971</v>
      </c>
      <c r="CJ13" s="1101" t="s">
        <v>1971</v>
      </c>
      <c r="CK13" s="1101" t="s">
        <v>1971</v>
      </c>
      <c r="CL13" s="1101" t="s">
        <v>1971</v>
      </c>
      <c r="CM13" s="1321" t="s">
        <v>1971</v>
      </c>
      <c r="CN13" s="1102" t="s">
        <v>1971</v>
      </c>
      <c r="CO13" s="1101" t="s">
        <v>1971</v>
      </c>
      <c r="CP13" s="1101" t="s">
        <v>1971</v>
      </c>
      <c r="CQ13" s="1101" t="s">
        <v>1971</v>
      </c>
      <c r="CR13" s="1321" t="s">
        <v>1971</v>
      </c>
      <c r="CS13" s="1102" t="s">
        <v>1971</v>
      </c>
      <c r="CT13" s="1101" t="s">
        <v>1971</v>
      </c>
      <c r="CU13" s="1101" t="s">
        <v>1971</v>
      </c>
      <c r="CV13" s="1101" t="s">
        <v>1971</v>
      </c>
      <c r="CW13" s="1321" t="s">
        <v>1971</v>
      </c>
      <c r="CX13" s="1102" t="s">
        <v>1971</v>
      </c>
      <c r="CY13" s="1101" t="s">
        <v>1971</v>
      </c>
      <c r="CZ13" s="1101" t="s">
        <v>1971</v>
      </c>
      <c r="DA13" s="1101" t="s">
        <v>1971</v>
      </c>
      <c r="DB13" s="1321" t="s">
        <v>1971</v>
      </c>
      <c r="DC13" s="1101" t="s">
        <v>1971</v>
      </c>
      <c r="DD13" s="1101" t="s">
        <v>1971</v>
      </c>
      <c r="DE13" s="1101" t="s">
        <v>1971</v>
      </c>
      <c r="DF13" s="1101" t="s">
        <v>1971</v>
      </c>
      <c r="DG13" s="1321" t="s">
        <v>1971</v>
      </c>
      <c r="DH13" s="1102" t="s">
        <v>1971</v>
      </c>
      <c r="DI13" s="1101" t="s">
        <v>1971</v>
      </c>
      <c r="DJ13" s="1101" t="s">
        <v>1971</v>
      </c>
      <c r="DK13" s="1101" t="s">
        <v>1971</v>
      </c>
      <c r="DL13" s="1321"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1018</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184</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984</v>
      </c>
      <c r="AK14" s="1094" t="s">
        <v>964</v>
      </c>
      <c r="AL14" s="1094" t="s">
        <v>965</v>
      </c>
      <c r="AM14" s="1095" t="s">
        <v>1944</v>
      </c>
      <c r="AN14" s="1006" t="s">
        <v>293</v>
      </c>
      <c r="AO14" s="1006" t="s">
        <v>4785</v>
      </c>
      <c r="AP14" s="1296">
        <v>2</v>
      </c>
      <c r="AQ14" s="1096" t="s">
        <v>978</v>
      </c>
      <c r="AR14" s="1097" t="s">
        <v>184</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961</v>
      </c>
      <c r="CE14" s="1107" t="s">
        <v>961</v>
      </c>
      <c r="CF14" s="1107" t="s">
        <v>961</v>
      </c>
      <c r="CG14" s="1107" t="s">
        <v>961</v>
      </c>
      <c r="CH14" s="1108" t="s">
        <v>961</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973</v>
      </c>
      <c r="DV14" s="1112">
        <v>1</v>
      </c>
      <c r="DW14" s="1113" t="s">
        <v>1971</v>
      </c>
    </row>
    <row r="15" spans="1:127" s="390" customFormat="1" ht="15.75" customHeight="1">
      <c r="A15" s="1085" t="s">
        <v>1018</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178</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984</v>
      </c>
      <c r="AK15" s="1094" t="s">
        <v>964</v>
      </c>
      <c r="AL15" s="1094" t="s">
        <v>965</v>
      </c>
      <c r="AM15" s="1095" t="s">
        <v>1949</v>
      </c>
      <c r="AN15" s="1006" t="s">
        <v>2204</v>
      </c>
      <c r="AO15" s="1006" t="s">
        <v>4786</v>
      </c>
      <c r="AP15" s="1296">
        <v>1</v>
      </c>
      <c r="AQ15" s="1096" t="s">
        <v>978</v>
      </c>
      <c r="AR15" s="1097" t="s">
        <v>178</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961</v>
      </c>
      <c r="CE15" s="1107" t="s">
        <v>961</v>
      </c>
      <c r="CF15" s="1107" t="s">
        <v>961</v>
      </c>
      <c r="CG15" s="1107" t="s">
        <v>961</v>
      </c>
      <c r="CH15" s="1108" t="s">
        <v>961</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973</v>
      </c>
      <c r="DV15" s="1112">
        <v>1</v>
      </c>
      <c r="DW15" s="1113" t="s">
        <v>1971</v>
      </c>
    </row>
    <row r="16" spans="1:127" s="390" customFormat="1" ht="15.75" customHeight="1">
      <c r="A16" s="1085" t="s">
        <v>1018</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984</v>
      </c>
      <c r="AK16" s="1094" t="s">
        <v>964</v>
      </c>
      <c r="AL16" s="1094" t="s">
        <v>965</v>
      </c>
      <c r="AM16" s="1095" t="s">
        <v>1955</v>
      </c>
      <c r="AN16" s="1006" t="s">
        <v>2204</v>
      </c>
      <c r="AO16" s="1006" t="s">
        <v>4787</v>
      </c>
      <c r="AP16" s="1296">
        <v>2</v>
      </c>
      <c r="AQ16" s="1064" t="s">
        <v>978</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961</v>
      </c>
      <c r="CE16" s="1107" t="s">
        <v>961</v>
      </c>
      <c r="CF16" s="1107" t="s">
        <v>961</v>
      </c>
      <c r="CG16" s="1107" t="s">
        <v>961</v>
      </c>
      <c r="CH16" s="1108" t="s">
        <v>961</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1018</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988</v>
      </c>
      <c r="AK17" s="1094" t="s">
        <v>964</v>
      </c>
      <c r="AL17" s="1094" t="s">
        <v>965</v>
      </c>
      <c r="AM17" s="1095" t="s">
        <v>1027</v>
      </c>
      <c r="AN17" s="1006" t="s">
        <v>1039</v>
      </c>
      <c r="AO17" s="1006" t="s">
        <v>1956</v>
      </c>
      <c r="AP17" s="1263">
        <v>2</v>
      </c>
      <c r="AQ17" s="1064" t="s">
        <v>966</v>
      </c>
      <c r="AR17" s="1097" t="s">
        <v>1960</v>
      </c>
      <c r="AS17" s="1098"/>
      <c r="AT17" s="1088"/>
      <c r="AU17" s="1088"/>
      <c r="AV17" s="1088"/>
      <c r="AW17" s="1099"/>
      <c r="AX17" s="1100"/>
      <c r="AY17" s="1063"/>
      <c r="AZ17" s="1064"/>
      <c r="BA17" s="1064"/>
      <c r="BB17" s="1064"/>
      <c r="BC17" s="1064"/>
      <c r="BD17" s="1064"/>
      <c r="BE17" s="1064"/>
      <c r="BF17" s="1064"/>
      <c r="BG17" s="1064"/>
      <c r="BH17" s="1064"/>
      <c r="BI17" s="1063" t="s">
        <v>1010</v>
      </c>
      <c r="BJ17" s="1064" t="s">
        <v>1010</v>
      </c>
      <c r="BK17" s="1064" t="s">
        <v>1010</v>
      </c>
      <c r="BL17" s="1064" t="s">
        <v>1010</v>
      </c>
      <c r="BM17" s="1064" t="s">
        <v>1010</v>
      </c>
      <c r="BN17" s="1063"/>
      <c r="BO17" s="1064"/>
      <c r="BP17" s="1064"/>
      <c r="BQ17" s="1064"/>
      <c r="BR17" s="1064"/>
      <c r="BS17" s="1103"/>
      <c r="BT17" s="1064"/>
      <c r="BU17" s="1064"/>
      <c r="BV17" s="1064"/>
      <c r="BW17" s="1104"/>
      <c r="BX17" s="1103"/>
      <c r="BY17" s="1064"/>
      <c r="BZ17" s="1064"/>
      <c r="CA17" s="1064"/>
      <c r="CB17" s="1104"/>
      <c r="CC17" s="1105"/>
      <c r="CD17" s="1106" t="s">
        <v>961</v>
      </c>
      <c r="CE17" s="1107" t="s">
        <v>961</v>
      </c>
      <c r="CF17" s="1107" t="s">
        <v>961</v>
      </c>
      <c r="CG17" s="1107" t="s">
        <v>961</v>
      </c>
      <c r="CH17" s="1108" t="s">
        <v>961</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1018</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988</v>
      </c>
      <c r="AK18" s="1094" t="s">
        <v>964</v>
      </c>
      <c r="AL18" s="1094" t="s">
        <v>965</v>
      </c>
      <c r="AM18" s="1095" t="s">
        <v>1031</v>
      </c>
      <c r="AN18" s="1006" t="s">
        <v>1039</v>
      </c>
      <c r="AO18" s="1006" t="s">
        <v>1956</v>
      </c>
      <c r="AP18" s="1263">
        <v>2</v>
      </c>
      <c r="AQ18" s="1064" t="s">
        <v>966</v>
      </c>
      <c r="AR18" s="1097" t="s">
        <v>1964</v>
      </c>
      <c r="AS18" s="1098"/>
      <c r="AT18" s="1088"/>
      <c r="AU18" s="1088"/>
      <c r="AV18" s="1088"/>
      <c r="AW18" s="1099"/>
      <c r="AX18" s="1100"/>
      <c r="AY18" s="1063"/>
      <c r="AZ18" s="1064"/>
      <c r="BA18" s="1064"/>
      <c r="BB18" s="1064"/>
      <c r="BC18" s="1064"/>
      <c r="BD18" s="1064"/>
      <c r="BE18" s="1064"/>
      <c r="BF18" s="1064"/>
      <c r="BG18" s="1064"/>
      <c r="BH18" s="1064"/>
      <c r="BI18" s="1063" t="s">
        <v>1010</v>
      </c>
      <c r="BJ18" s="1064" t="s">
        <v>1010</v>
      </c>
      <c r="BK18" s="1064" t="s">
        <v>1010</v>
      </c>
      <c r="BL18" s="1064" t="s">
        <v>1010</v>
      </c>
      <c r="BM18" s="1064" t="s">
        <v>1010</v>
      </c>
      <c r="BN18" s="1063"/>
      <c r="BO18" s="1064"/>
      <c r="BP18" s="1064"/>
      <c r="BQ18" s="1064"/>
      <c r="BR18" s="1064"/>
      <c r="BS18" s="1103"/>
      <c r="BT18" s="1064"/>
      <c r="BU18" s="1064"/>
      <c r="BV18" s="1064"/>
      <c r="BW18" s="1104"/>
      <c r="BX18" s="1103"/>
      <c r="BY18" s="1064"/>
      <c r="BZ18" s="1064"/>
      <c r="CA18" s="1064"/>
      <c r="CB18" s="1104"/>
      <c r="CC18" s="1105"/>
      <c r="CD18" s="1106" t="s">
        <v>961</v>
      </c>
      <c r="CE18" s="1107" t="s">
        <v>961</v>
      </c>
      <c r="CF18" s="1107" t="s">
        <v>961</v>
      </c>
      <c r="CG18" s="1107" t="s">
        <v>961</v>
      </c>
      <c r="CH18" s="1108" t="s">
        <v>961</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1018</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963</v>
      </c>
      <c r="AK19" s="1094" t="s">
        <v>1971</v>
      </c>
      <c r="AL19" s="1094" t="s">
        <v>1971</v>
      </c>
      <c r="AM19" s="1095" t="s">
        <v>1939</v>
      </c>
      <c r="AN19" s="1006" t="s">
        <v>991</v>
      </c>
      <c r="AO19" s="1006" t="s">
        <v>1970</v>
      </c>
      <c r="AP19" s="1263">
        <v>0</v>
      </c>
      <c r="AQ19" s="1064" t="s">
        <v>978</v>
      </c>
      <c r="AR19" s="1097" t="s">
        <v>1971</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customHeight="1">
      <c r="A20" s="1085" t="s">
        <v>1018</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963</v>
      </c>
      <c r="AK20" s="1094" t="s">
        <v>1971</v>
      </c>
      <c r="AL20" s="1094" t="s">
        <v>1971</v>
      </c>
      <c r="AM20" s="1095" t="s">
        <v>1976</v>
      </c>
      <c r="AN20" s="1006" t="s">
        <v>293</v>
      </c>
      <c r="AO20" s="1006" t="s">
        <v>1977</v>
      </c>
      <c r="AP20" s="1263">
        <v>0</v>
      </c>
      <c r="AQ20" s="1096" t="s">
        <v>966</v>
      </c>
      <c r="AR20" s="1097" t="s">
        <v>1971</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customHeight="1">
      <c r="A21" s="1085" t="s">
        <v>1018</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963</v>
      </c>
      <c r="AK21" s="1094" t="s">
        <v>1971</v>
      </c>
      <c r="AL21" s="1094" t="s">
        <v>1971</v>
      </c>
      <c r="AM21" s="1095" t="s">
        <v>1976</v>
      </c>
      <c r="AN21" s="1006" t="s">
        <v>293</v>
      </c>
      <c r="AO21" s="1006" t="s">
        <v>1977</v>
      </c>
      <c r="AP21" s="1263">
        <v>0</v>
      </c>
      <c r="AQ21" s="1064" t="s">
        <v>966</v>
      </c>
      <c r="AR21" s="1097" t="s">
        <v>1971</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customHeight="1">
      <c r="A22" s="1085" t="s">
        <v>1018</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975</v>
      </c>
      <c r="AK22" s="1094" t="s">
        <v>964</v>
      </c>
      <c r="AL22" s="1094" t="s">
        <v>965</v>
      </c>
      <c r="AM22" s="1095" t="s">
        <v>1933</v>
      </c>
      <c r="AN22" s="1006" t="s">
        <v>991</v>
      </c>
      <c r="AO22" s="1006" t="s">
        <v>1986</v>
      </c>
      <c r="AP22" s="1263">
        <v>0</v>
      </c>
      <c r="AQ22" s="1096" t="s">
        <v>966</v>
      </c>
      <c r="AR22" s="1097" t="s">
        <v>1971</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customHeight="1">
      <c r="A23" s="1085" t="s">
        <v>1018</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988</v>
      </c>
      <c r="AK23" s="1094" t="s">
        <v>964</v>
      </c>
      <c r="AL23" s="1094" t="s">
        <v>965</v>
      </c>
      <c r="AM23" s="1095" t="s">
        <v>1990</v>
      </c>
      <c r="AN23" s="1006" t="s">
        <v>293</v>
      </c>
      <c r="AO23" s="1006" t="s">
        <v>1991</v>
      </c>
      <c r="AP23" s="1263">
        <v>2</v>
      </c>
      <c r="AQ23" s="1064" t="s">
        <v>978</v>
      </c>
      <c r="AR23" s="1097" t="s">
        <v>1971</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customHeight="1">
      <c r="A24" s="1085" t="s">
        <v>1018</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988</v>
      </c>
      <c r="AK24" s="1094" t="s">
        <v>964</v>
      </c>
      <c r="AL24" s="1094" t="s">
        <v>965</v>
      </c>
      <c r="AM24" s="1095" t="s">
        <v>1996</v>
      </c>
      <c r="AN24" s="1006" t="s">
        <v>991</v>
      </c>
      <c r="AO24" s="1006" t="s">
        <v>1997</v>
      </c>
      <c r="AP24" s="1263">
        <v>0</v>
      </c>
      <c r="AQ24" s="1096" t="s">
        <v>966</v>
      </c>
      <c r="AR24" s="1097" t="s">
        <v>1971</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customHeight="1">
      <c r="A25" s="1085" t="s">
        <v>1018</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984</v>
      </c>
      <c r="AK25" s="1094" t="s">
        <v>964</v>
      </c>
      <c r="AL25" s="1094" t="s">
        <v>965</v>
      </c>
      <c r="AM25" s="1095" t="s">
        <v>1933</v>
      </c>
      <c r="AN25" s="1006" t="s">
        <v>991</v>
      </c>
      <c r="AO25" s="1006" t="s">
        <v>2003</v>
      </c>
      <c r="AP25" s="1263">
        <v>2</v>
      </c>
      <c r="AQ25" s="1096" t="s">
        <v>966</v>
      </c>
      <c r="AR25" s="1097" t="s">
        <v>1971</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customHeight="1">
      <c r="A26" s="1085" t="s">
        <v>1018</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988</v>
      </c>
      <c r="AK26" s="1094" t="s">
        <v>964</v>
      </c>
      <c r="AL26" s="1094" t="s">
        <v>965</v>
      </c>
      <c r="AM26" s="1095" t="s">
        <v>2008</v>
      </c>
      <c r="AN26" s="1006" t="s">
        <v>991</v>
      </c>
      <c r="AO26" s="1006" t="s">
        <v>2009</v>
      </c>
      <c r="AP26" s="1263">
        <v>0</v>
      </c>
      <c r="AQ26" s="1096" t="s">
        <v>978</v>
      </c>
      <c r="AR26" s="1097" t="s">
        <v>1971</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customHeight="1">
      <c r="A27" s="1085" t="s">
        <v>1018</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984</v>
      </c>
      <c r="AK27" s="1094" t="s">
        <v>964</v>
      </c>
      <c r="AL27" s="1094" t="s">
        <v>965</v>
      </c>
      <c r="AM27" s="1095" t="s">
        <v>2014</v>
      </c>
      <c r="AN27" s="1006" t="s">
        <v>2204</v>
      </c>
      <c r="AO27" s="1006" t="s">
        <v>4788</v>
      </c>
      <c r="AP27" s="1263">
        <v>3</v>
      </c>
      <c r="AQ27" s="1096" t="s">
        <v>978</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customHeight="1">
      <c r="A28" s="1085" t="s">
        <v>1018</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984</v>
      </c>
      <c r="AK28" s="1094" t="s">
        <v>964</v>
      </c>
      <c r="AL28" s="1094" t="s">
        <v>965</v>
      </c>
      <c r="AM28" s="1095" t="s">
        <v>1990</v>
      </c>
      <c r="AN28" s="1006" t="s">
        <v>991</v>
      </c>
      <c r="AO28" s="1006" t="s">
        <v>2020</v>
      </c>
      <c r="AP28" s="1263">
        <v>0</v>
      </c>
      <c r="AQ28" s="1064" t="s">
        <v>966</v>
      </c>
      <c r="AR28" s="1097" t="s">
        <v>1971</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customHeight="1">
      <c r="A29" s="1085" t="s">
        <v>1018</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988</v>
      </c>
      <c r="AK29" s="1094" t="s">
        <v>964</v>
      </c>
      <c r="AL29" s="1094" t="s">
        <v>965</v>
      </c>
      <c r="AM29" s="1095" t="s">
        <v>1939</v>
      </c>
      <c r="AN29" s="1006" t="s">
        <v>991</v>
      </c>
      <c r="AO29" s="1006" t="s">
        <v>2025</v>
      </c>
      <c r="AP29" s="1263">
        <v>0</v>
      </c>
      <c r="AQ29" s="1064" t="s">
        <v>978</v>
      </c>
      <c r="AR29" s="1097" t="s">
        <v>1971</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customHeight="1">
      <c r="A30" s="1085" t="s">
        <v>1018</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984</v>
      </c>
      <c r="AK30" s="1094" t="s">
        <v>964</v>
      </c>
      <c r="AL30" s="1094" t="s">
        <v>965</v>
      </c>
      <c r="AM30" s="1095" t="s">
        <v>1878</v>
      </c>
      <c r="AN30" s="1006" t="s">
        <v>410</v>
      </c>
      <c r="AO30" s="1006" t="s">
        <v>4790</v>
      </c>
      <c r="AP30" s="1296">
        <v>2</v>
      </c>
      <c r="AQ30" s="1064" t="s">
        <v>978</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customHeight="1">
      <c r="A31" s="1085" t="s">
        <v>1018</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658</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963</v>
      </c>
      <c r="AK31" s="1094" t="s">
        <v>1971</v>
      </c>
      <c r="AL31" s="1094" t="s">
        <v>1971</v>
      </c>
      <c r="AM31" s="1095" t="s">
        <v>1976</v>
      </c>
      <c r="AN31" s="1006" t="s">
        <v>293</v>
      </c>
      <c r="AO31" s="1006" t="s">
        <v>4791</v>
      </c>
      <c r="AP31" s="1296">
        <v>1</v>
      </c>
      <c r="AQ31" s="1064" t="s">
        <v>966</v>
      </c>
      <c r="AR31" s="1097" t="s">
        <v>658</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1018</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963</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customHeight="1">
      <c r="A33" s="1085" t="s">
        <v>1018</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963</v>
      </c>
      <c r="AK33" s="1094" t="s">
        <v>1971</v>
      </c>
      <c r="AL33" s="1094" t="s">
        <v>1971</v>
      </c>
      <c r="AM33" s="1095" t="s">
        <v>1939</v>
      </c>
      <c r="AN33" s="1006" t="s">
        <v>991</v>
      </c>
      <c r="AO33" s="1006" t="s">
        <v>2046</v>
      </c>
      <c r="AP33" s="1263">
        <v>0</v>
      </c>
      <c r="AQ33" s="1064" t="s">
        <v>978</v>
      </c>
      <c r="AR33" s="1097" t="s">
        <v>1971</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customHeight="1">
      <c r="A34" s="1085" t="s">
        <v>1018</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963</v>
      </c>
      <c r="AK34" s="1094" t="s">
        <v>1971</v>
      </c>
      <c r="AL34" s="1094" t="s">
        <v>1971</v>
      </c>
      <c r="AM34" s="1095" t="s">
        <v>1976</v>
      </c>
      <c r="AN34" s="1006" t="s">
        <v>293</v>
      </c>
      <c r="AO34" s="1006" t="s">
        <v>1977</v>
      </c>
      <c r="AP34" s="1263">
        <v>0</v>
      </c>
      <c r="AQ34" s="1064" t="s">
        <v>966</v>
      </c>
      <c r="AR34" s="1097" t="s">
        <v>1971</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customHeight="1">
      <c r="A35" s="1085" t="s">
        <v>1018</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963</v>
      </c>
      <c r="AK35" s="1094" t="s">
        <v>1971</v>
      </c>
      <c r="AL35" s="1094" t="s">
        <v>1971</v>
      </c>
      <c r="AM35" s="1095" t="s">
        <v>1976</v>
      </c>
      <c r="AN35" s="1006" t="s">
        <v>293</v>
      </c>
      <c r="AO35" s="1006" t="s">
        <v>1977</v>
      </c>
      <c r="AP35" s="1263">
        <v>0</v>
      </c>
      <c r="AQ35" s="1064" t="s">
        <v>966</v>
      </c>
      <c r="AR35" s="1097" t="s">
        <v>1971</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customHeight="1">
      <c r="A36" s="1085" t="s">
        <v>1018</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963</v>
      </c>
      <c r="AK36" s="1094" t="s">
        <v>1971</v>
      </c>
      <c r="AL36" s="1094" t="s">
        <v>1971</v>
      </c>
      <c r="AM36" s="1095" t="s">
        <v>2058</v>
      </c>
      <c r="AN36" s="1006" t="s">
        <v>410</v>
      </c>
      <c r="AO36" s="1006" t="s">
        <v>2059</v>
      </c>
      <c r="AP36" s="1263">
        <v>2</v>
      </c>
      <c r="AQ36" s="1064" t="s">
        <v>410</v>
      </c>
      <c r="AR36" s="1097" t="s">
        <v>1971</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customHeight="1">
      <c r="A37" s="1085" t="s">
        <v>1018</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963</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customHeight="1">
      <c r="A38" s="1085" t="s">
        <v>972</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988</v>
      </c>
      <c r="AK38" s="1094" t="s">
        <v>964</v>
      </c>
      <c r="AL38" s="1094" t="s">
        <v>965</v>
      </c>
      <c r="AM38" s="1095" t="s">
        <v>1027</v>
      </c>
      <c r="AN38" s="1006" t="s">
        <v>1039</v>
      </c>
      <c r="AO38" s="1006" t="s">
        <v>2068</v>
      </c>
      <c r="AP38" s="1058">
        <v>2</v>
      </c>
      <c r="AQ38" s="1096" t="s">
        <v>966</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961</v>
      </c>
      <c r="CE38" s="1107" t="s">
        <v>961</v>
      </c>
      <c r="CF38" s="1107" t="s">
        <v>961</v>
      </c>
      <c r="CG38" s="1107" t="s">
        <v>961</v>
      </c>
      <c r="CH38" s="1108" t="s">
        <v>961</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973</v>
      </c>
      <c r="DV38" s="1112">
        <v>1</v>
      </c>
      <c r="DW38" s="1113" t="s">
        <v>1971</v>
      </c>
    </row>
    <row r="39" spans="1:127" s="390" customFormat="1" ht="15.75" customHeight="1">
      <c r="A39" s="1085" t="s">
        <v>972</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988</v>
      </c>
      <c r="AK39" s="1094" t="s">
        <v>964</v>
      </c>
      <c r="AL39" s="1094" t="s">
        <v>965</v>
      </c>
      <c r="AM39" s="1095" t="s">
        <v>1031</v>
      </c>
      <c r="AN39" s="1006" t="s">
        <v>1039</v>
      </c>
      <c r="AO39" s="1006" t="s">
        <v>431</v>
      </c>
      <c r="AP39" s="1058">
        <v>2</v>
      </c>
      <c r="AQ39" s="1096" t="s">
        <v>966</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961</v>
      </c>
      <c r="CE39" s="1107" t="s">
        <v>961</v>
      </c>
      <c r="CF39" s="1107" t="s">
        <v>961</v>
      </c>
      <c r="CG39" s="1107" t="s">
        <v>961</v>
      </c>
      <c r="CH39" s="1108" t="s">
        <v>961</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973</v>
      </c>
      <c r="DV39" s="1112">
        <v>1</v>
      </c>
      <c r="DW39" s="1113" t="s">
        <v>1971</v>
      </c>
    </row>
    <row r="40" spans="1:127" s="390" customFormat="1" ht="15.75" customHeight="1">
      <c r="A40" s="1085" t="s">
        <v>972</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984</v>
      </c>
      <c r="AK40" s="1094" t="s">
        <v>964</v>
      </c>
      <c r="AL40" s="1094" t="s">
        <v>965</v>
      </c>
      <c r="AM40" s="1095" t="s">
        <v>1955</v>
      </c>
      <c r="AN40" s="1006" t="s">
        <v>2204</v>
      </c>
      <c r="AO40" s="1006" t="s">
        <v>4787</v>
      </c>
      <c r="AP40" s="1303">
        <v>2</v>
      </c>
      <c r="AQ40" s="1096" t="s">
        <v>978</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961</v>
      </c>
      <c r="CE40" s="1107" t="s">
        <v>961</v>
      </c>
      <c r="CF40" s="1107" t="s">
        <v>961</v>
      </c>
      <c r="CG40" s="1107" t="s">
        <v>961</v>
      </c>
      <c r="CH40" s="1108" t="s">
        <v>961</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972</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154</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988</v>
      </c>
      <c r="AK41" s="1055" t="s">
        <v>964</v>
      </c>
      <c r="AL41" s="1055" t="s">
        <v>965</v>
      </c>
      <c r="AM41" s="1056" t="s">
        <v>1923</v>
      </c>
      <c r="AN41" s="1050" t="s">
        <v>4781</v>
      </c>
      <c r="AO41" s="1050" t="s">
        <v>4782</v>
      </c>
      <c r="AP41" s="821">
        <v>0</v>
      </c>
      <c r="AQ41" s="1057" t="s">
        <v>978</v>
      </c>
      <c r="AR41" s="1059" t="s">
        <v>154</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961</v>
      </c>
      <c r="CE41" s="1073" t="s">
        <v>961</v>
      </c>
      <c r="CF41" s="1073" t="s">
        <v>961</v>
      </c>
      <c r="CG41" s="1073" t="s">
        <v>961</v>
      </c>
      <c r="CH41" s="1074" t="s">
        <v>961</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972</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629</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988</v>
      </c>
      <c r="AK42" s="1055" t="s">
        <v>964</v>
      </c>
      <c r="AL42" s="1055" t="s">
        <v>965</v>
      </c>
      <c r="AM42" s="1056" t="s">
        <v>629</v>
      </c>
      <c r="AN42" s="1050" t="s">
        <v>293</v>
      </c>
      <c r="AO42" s="1050" t="s">
        <v>4783</v>
      </c>
      <c r="AP42" s="1057">
        <v>1</v>
      </c>
      <c r="AQ42" s="1058" t="s">
        <v>966</v>
      </c>
      <c r="AR42" s="1059" t="s">
        <v>629</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961</v>
      </c>
      <c r="CE42" s="1073" t="s">
        <v>961</v>
      </c>
      <c r="CF42" s="1073" t="s">
        <v>961</v>
      </c>
      <c r="CG42" s="1073" t="s">
        <v>961</v>
      </c>
      <c r="CH42" s="1074" t="s">
        <v>961</v>
      </c>
      <c r="CI42" s="1395">
        <v>-109.5</v>
      </c>
      <c r="CJ42" s="1348">
        <v>-109.5</v>
      </c>
      <c r="CK42" s="1348">
        <v>-109.5</v>
      </c>
      <c r="CL42" s="1348">
        <v>-109.5</v>
      </c>
      <c r="CM42" s="1349">
        <v>-109.5</v>
      </c>
      <c r="CN42" s="1395">
        <v>0</v>
      </c>
      <c r="CO42" s="1348">
        <v>0</v>
      </c>
      <c r="CP42" s="1348">
        <v>0</v>
      </c>
      <c r="CQ42" s="1348">
        <v>0</v>
      </c>
      <c r="CR42" s="1349">
        <v>0</v>
      </c>
      <c r="CS42" s="1067" t="s">
        <v>1971</v>
      </c>
      <c r="CT42" s="1068" t="s">
        <v>1971</v>
      </c>
      <c r="CU42" s="1068" t="s">
        <v>1971</v>
      </c>
      <c r="CV42" s="1068" t="s">
        <v>1971</v>
      </c>
      <c r="CW42" s="1071" t="s">
        <v>1971</v>
      </c>
      <c r="CX42" s="1067" t="s">
        <v>1971</v>
      </c>
      <c r="CY42" s="1068" t="s">
        <v>1971</v>
      </c>
      <c r="CZ42" s="1068" t="s">
        <v>1971</v>
      </c>
      <c r="DA42" s="1068" t="s">
        <v>1971</v>
      </c>
      <c r="DB42" s="1071" t="s">
        <v>1971</v>
      </c>
      <c r="DC42" s="1345" t="s">
        <v>4797</v>
      </c>
      <c r="DD42" s="1346" t="s">
        <v>4797</v>
      </c>
      <c r="DE42" s="1346" t="s">
        <v>4797</v>
      </c>
      <c r="DF42" s="1346" t="s">
        <v>4797</v>
      </c>
      <c r="DG42" s="1347"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972</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988</v>
      </c>
      <c r="AK43" s="1055" t="s">
        <v>964</v>
      </c>
      <c r="AL43" s="1414" t="s">
        <v>977</v>
      </c>
      <c r="AM43" s="1056" t="s">
        <v>2083</v>
      </c>
      <c r="AN43" s="1050" t="s">
        <v>2147</v>
      </c>
      <c r="AO43" s="1050" t="s">
        <v>4783</v>
      </c>
      <c r="AP43" s="1057">
        <v>1</v>
      </c>
      <c r="AQ43" s="1058" t="s">
        <v>966</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961</v>
      </c>
      <c r="CE43" s="1073" t="s">
        <v>961</v>
      </c>
      <c r="CF43" s="1073" t="s">
        <v>961</v>
      </c>
      <c r="CG43" s="1073" t="s">
        <v>961</v>
      </c>
      <c r="CH43" s="1074" t="s">
        <v>961</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972</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687</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988</v>
      </c>
      <c r="AK44" s="1094" t="s">
        <v>964</v>
      </c>
      <c r="AL44" s="1094" t="s">
        <v>965</v>
      </c>
      <c r="AM44" s="1095" t="s">
        <v>2087</v>
      </c>
      <c r="AN44" s="1006" t="s">
        <v>2204</v>
      </c>
      <c r="AO44" s="1006" t="s">
        <v>4477</v>
      </c>
      <c r="AP44" s="1302">
        <v>2</v>
      </c>
      <c r="AQ44" s="1064" t="s">
        <v>978</v>
      </c>
      <c r="AR44" s="1097" t="s">
        <v>687</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961</v>
      </c>
      <c r="CE44" s="1107" t="s">
        <v>961</v>
      </c>
      <c r="CF44" s="1107" t="s">
        <v>961</v>
      </c>
      <c r="CG44" s="1107" t="s">
        <v>961</v>
      </c>
      <c r="CH44" s="1108" t="s">
        <v>961</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43">
        <v>1.35</v>
      </c>
      <c r="DD44" s="1348">
        <v>1.3</v>
      </c>
      <c r="DE44" s="1343">
        <v>1.25</v>
      </c>
      <c r="DF44" s="1343">
        <v>1.1100000000000001</v>
      </c>
      <c r="DG44" s="1344">
        <v>1.01</v>
      </c>
      <c r="DH44" s="1063" t="s">
        <v>1971</v>
      </c>
      <c r="DI44" s="1064" t="s">
        <v>1971</v>
      </c>
      <c r="DJ44" s="1064" t="s">
        <v>1971</v>
      </c>
      <c r="DK44" s="1064" t="s">
        <v>1971</v>
      </c>
      <c r="DL44" s="1105" t="s">
        <v>1971</v>
      </c>
      <c r="DM44" s="2035">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972</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689</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988</v>
      </c>
      <c r="AK45" s="1094" t="s">
        <v>964</v>
      </c>
      <c r="AL45" s="1094" t="s">
        <v>965</v>
      </c>
      <c r="AM45" s="1095" t="s">
        <v>689</v>
      </c>
      <c r="AN45" s="1006" t="s">
        <v>2204</v>
      </c>
      <c r="AO45" s="1006" t="s">
        <v>4798</v>
      </c>
      <c r="AP45" s="1302">
        <v>2</v>
      </c>
      <c r="AQ45" s="1064" t="s">
        <v>978</v>
      </c>
      <c r="AR45" s="1097" t="s">
        <v>689</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961</v>
      </c>
      <c r="CE45" s="1107" t="s">
        <v>961</v>
      </c>
      <c r="CF45" s="1107" t="s">
        <v>961</v>
      </c>
      <c r="CG45" s="1107" t="s">
        <v>961</v>
      </c>
      <c r="CH45" s="1108" t="s">
        <v>961</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43">
        <v>9.51</v>
      </c>
      <c r="DD45" s="1343">
        <v>8.74</v>
      </c>
      <c r="DE45" s="1348">
        <v>8</v>
      </c>
      <c r="DF45" s="1348">
        <v>7.4</v>
      </c>
      <c r="DG45" s="1349">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972</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499</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963</v>
      </c>
      <c r="AK46" s="1094" t="s">
        <v>1971</v>
      </c>
      <c r="AL46" s="1094" t="s">
        <v>1971</v>
      </c>
      <c r="AM46" s="1095" t="s">
        <v>1939</v>
      </c>
      <c r="AN46" s="1006" t="s">
        <v>293</v>
      </c>
      <c r="AO46" s="1006" t="s">
        <v>4784</v>
      </c>
      <c r="AP46" s="1302">
        <v>1</v>
      </c>
      <c r="AQ46" s="1064" t="s">
        <v>978</v>
      </c>
      <c r="AR46" s="1097" t="s">
        <v>499</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972</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778</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963</v>
      </c>
      <c r="AK47" s="1094" t="s">
        <v>1971</v>
      </c>
      <c r="AL47" s="1094" t="s">
        <v>1971</v>
      </c>
      <c r="AM47" s="1095" t="s">
        <v>1939</v>
      </c>
      <c r="AN47" s="1006" t="s">
        <v>293</v>
      </c>
      <c r="AO47" s="1006" t="s">
        <v>4784</v>
      </c>
      <c r="AP47" s="1302">
        <v>2</v>
      </c>
      <c r="AQ47" s="1064" t="s">
        <v>978</v>
      </c>
      <c r="AR47" s="1097" t="s">
        <v>778</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972</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178</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984</v>
      </c>
      <c r="AK48" s="1094" t="s">
        <v>964</v>
      </c>
      <c r="AL48" s="1094" t="s">
        <v>965</v>
      </c>
      <c r="AM48" s="1095" t="s">
        <v>2103</v>
      </c>
      <c r="AN48" s="1006" t="s">
        <v>2204</v>
      </c>
      <c r="AO48" s="1006" t="s">
        <v>4786</v>
      </c>
      <c r="AP48" s="1303">
        <v>1</v>
      </c>
      <c r="AQ48" s="1096" t="s">
        <v>978</v>
      </c>
      <c r="AR48" s="1097" t="s">
        <v>178</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961</v>
      </c>
      <c r="CE48" s="1107" t="s">
        <v>961</v>
      </c>
      <c r="CF48" s="1107" t="s">
        <v>961</v>
      </c>
      <c r="CG48" s="1107" t="s">
        <v>961</v>
      </c>
      <c r="CH48" s="1108" t="s">
        <v>961</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972</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184</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984</v>
      </c>
      <c r="AK49" s="1094" t="s">
        <v>964</v>
      </c>
      <c r="AL49" s="1094" t="s">
        <v>965</v>
      </c>
      <c r="AM49" s="1095" t="s">
        <v>1878</v>
      </c>
      <c r="AN49" s="1006" t="s">
        <v>293</v>
      </c>
      <c r="AO49" s="1006" t="s">
        <v>4785</v>
      </c>
      <c r="AP49" s="1302">
        <v>2</v>
      </c>
      <c r="AQ49" s="1064" t="s">
        <v>978</v>
      </c>
      <c r="AR49" s="1097" t="s">
        <v>184</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961</v>
      </c>
      <c r="CE49" s="1107" t="s">
        <v>961</v>
      </c>
      <c r="CF49" s="1107" t="s">
        <v>961</v>
      </c>
      <c r="CG49" s="1107" t="s">
        <v>961</v>
      </c>
      <c r="CH49" s="1108" t="s">
        <v>961</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972</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693</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984</v>
      </c>
      <c r="AK50" s="1094" t="s">
        <v>964</v>
      </c>
      <c r="AL50" s="1094" t="s">
        <v>965</v>
      </c>
      <c r="AM50" s="1095" t="s">
        <v>2110</v>
      </c>
      <c r="AN50" s="1006" t="s">
        <v>2204</v>
      </c>
      <c r="AO50" s="1006" t="s">
        <v>4799</v>
      </c>
      <c r="AP50" s="1303">
        <v>2</v>
      </c>
      <c r="AQ50" s="1096" t="s">
        <v>978</v>
      </c>
      <c r="AR50" s="1097" t="s">
        <v>693</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961</v>
      </c>
      <c r="CE50" s="1107" t="s">
        <v>961</v>
      </c>
      <c r="CF50" s="1107" t="s">
        <v>961</v>
      </c>
      <c r="CG50" s="1107" t="s">
        <v>961</v>
      </c>
      <c r="CH50" s="1108" t="s">
        <v>961</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972</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1016</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984</v>
      </c>
      <c r="AK51" s="1094" t="s">
        <v>964</v>
      </c>
      <c r="AL51" s="1094" t="s">
        <v>965</v>
      </c>
      <c r="AM51" s="1095" t="s">
        <v>2114</v>
      </c>
      <c r="AN51" s="1006" t="s">
        <v>293</v>
      </c>
      <c r="AO51" s="1006" t="s">
        <v>2472</v>
      </c>
      <c r="AP51" s="1302">
        <v>2</v>
      </c>
      <c r="AQ51" s="1064" t="s">
        <v>966</v>
      </c>
      <c r="AR51" s="1097" t="s">
        <v>1016</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961</v>
      </c>
      <c r="CE51" s="1107" t="s">
        <v>961</v>
      </c>
      <c r="CF51" s="1107" t="s">
        <v>961</v>
      </c>
      <c r="CG51" s="1107" t="s">
        <v>961</v>
      </c>
      <c r="CH51" s="1108" t="s">
        <v>961</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972</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984</v>
      </c>
      <c r="AK52" s="1094" t="s">
        <v>964</v>
      </c>
      <c r="AL52" s="1094" t="s">
        <v>965</v>
      </c>
      <c r="AM52" s="1095" t="s">
        <v>1939</v>
      </c>
      <c r="AN52" s="1006" t="s">
        <v>293</v>
      </c>
      <c r="AO52" s="1006" t="s">
        <v>2119</v>
      </c>
      <c r="AP52" s="1058">
        <v>1</v>
      </c>
      <c r="AQ52" s="1096" t="s">
        <v>978</v>
      </c>
      <c r="AR52" s="1097" t="s">
        <v>1971</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customHeight="1">
      <c r="A53" s="1085" t="s">
        <v>972</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988</v>
      </c>
      <c r="AK53" s="1094" t="s">
        <v>964</v>
      </c>
      <c r="AL53" s="1094" t="s">
        <v>965</v>
      </c>
      <c r="AM53" s="1095" t="s">
        <v>2014</v>
      </c>
      <c r="AN53" s="1006" t="s">
        <v>2204</v>
      </c>
      <c r="AO53" s="1006" t="s">
        <v>4788</v>
      </c>
      <c r="AP53" s="1058">
        <v>0</v>
      </c>
      <c r="AQ53" s="1096" t="s">
        <v>978</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customHeight="1">
      <c r="A54" s="1085" t="s">
        <v>972</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988</v>
      </c>
      <c r="AK54" s="1094" t="s">
        <v>964</v>
      </c>
      <c r="AL54" s="1094" t="s">
        <v>965</v>
      </c>
      <c r="AM54" s="1095" t="s">
        <v>2087</v>
      </c>
      <c r="AN54" s="1006" t="s">
        <v>2204</v>
      </c>
      <c r="AO54" s="1006" t="s">
        <v>4477</v>
      </c>
      <c r="AP54" s="1058">
        <v>0</v>
      </c>
      <c r="AQ54" s="1096" t="s">
        <v>978</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customHeight="1">
      <c r="A55" s="1085" t="s">
        <v>972</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963</v>
      </c>
      <c r="AK55" s="1094" t="s">
        <v>1971</v>
      </c>
      <c r="AL55" s="1094" t="s">
        <v>1971</v>
      </c>
      <c r="AM55" s="1095" t="s">
        <v>2103</v>
      </c>
      <c r="AN55" s="1006" t="s">
        <v>991</v>
      </c>
      <c r="AO55" s="1006" t="s">
        <v>2131</v>
      </c>
      <c r="AP55" s="1058">
        <v>0</v>
      </c>
      <c r="AQ55" s="1096" t="s">
        <v>978</v>
      </c>
      <c r="AR55" s="1097" t="s">
        <v>1971</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customHeight="1">
      <c r="A56" s="1085" t="s">
        <v>972</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988</v>
      </c>
      <c r="AK56" s="1094" t="s">
        <v>964</v>
      </c>
      <c r="AL56" s="1094" t="s">
        <v>977</v>
      </c>
      <c r="AM56" s="1095" t="s">
        <v>2135</v>
      </c>
      <c r="AN56" s="1006" t="s">
        <v>991</v>
      </c>
      <c r="AO56" s="1006" t="s">
        <v>2136</v>
      </c>
      <c r="AP56" s="821">
        <v>0</v>
      </c>
      <c r="AQ56" s="1064" t="s">
        <v>966</v>
      </c>
      <c r="AR56" s="1097" t="s">
        <v>1971</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customHeight="1">
      <c r="A57" s="1085" t="s">
        <v>972</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988</v>
      </c>
      <c r="AK57" s="1094" t="s">
        <v>964</v>
      </c>
      <c r="AL57" s="1094" t="s">
        <v>965</v>
      </c>
      <c r="AM57" s="1095" t="s">
        <v>2008</v>
      </c>
      <c r="AN57" s="1006" t="s">
        <v>991</v>
      </c>
      <c r="AO57" s="1006" t="s">
        <v>2141</v>
      </c>
      <c r="AP57" s="821">
        <v>0</v>
      </c>
      <c r="AQ57" s="1064" t="s">
        <v>966</v>
      </c>
      <c r="AR57" s="1097" t="s">
        <v>1971</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customHeight="1">
      <c r="A58" s="1085" t="s">
        <v>972</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963</v>
      </c>
      <c r="AK58" s="1094" t="s">
        <v>1971</v>
      </c>
      <c r="AL58" s="1094" t="s">
        <v>1971</v>
      </c>
      <c r="AM58" s="1095" t="s">
        <v>2146</v>
      </c>
      <c r="AN58" s="1006" t="s">
        <v>2147</v>
      </c>
      <c r="AO58" s="1006" t="s">
        <v>2148</v>
      </c>
      <c r="AP58" s="821">
        <v>1</v>
      </c>
      <c r="AQ58" s="1064" t="s">
        <v>966</v>
      </c>
      <c r="AR58" s="1097" t="s">
        <v>1971</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customHeight="1">
      <c r="A59" s="1085" t="s">
        <v>972</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658</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963</v>
      </c>
      <c r="AK59" s="1094" t="s">
        <v>1971</v>
      </c>
      <c r="AL59" s="1094" t="s">
        <v>1971</v>
      </c>
      <c r="AM59" s="1095" t="s">
        <v>2146</v>
      </c>
      <c r="AN59" s="1006" t="s">
        <v>293</v>
      </c>
      <c r="AO59" s="1006" t="s">
        <v>4791</v>
      </c>
      <c r="AP59" s="1302">
        <v>1</v>
      </c>
      <c r="AQ59" s="1064" t="s">
        <v>966</v>
      </c>
      <c r="AR59" s="1097" t="s">
        <v>658</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972</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988</v>
      </c>
      <c r="AK60" s="1094" t="s">
        <v>964</v>
      </c>
      <c r="AL60" s="1094" t="s">
        <v>965</v>
      </c>
      <c r="AM60" s="1095" t="s">
        <v>2146</v>
      </c>
      <c r="AN60" s="1006" t="s">
        <v>293</v>
      </c>
      <c r="AO60" s="1006" t="s">
        <v>2156</v>
      </c>
      <c r="AP60" s="821">
        <v>2</v>
      </c>
      <c r="AQ60" s="1064" t="s">
        <v>978</v>
      </c>
      <c r="AR60" s="1097" t="s">
        <v>1971</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customHeight="1">
      <c r="A61" s="1085" t="s">
        <v>972</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963</v>
      </c>
      <c r="AK61" s="1094" t="s">
        <v>1971</v>
      </c>
      <c r="AL61" s="1094" t="s">
        <v>1971</v>
      </c>
      <c r="AM61" s="1095" t="s">
        <v>2161</v>
      </c>
      <c r="AN61" s="1006" t="s">
        <v>293</v>
      </c>
      <c r="AO61" s="1006" t="s">
        <v>2162</v>
      </c>
      <c r="AP61" s="821">
        <v>1</v>
      </c>
      <c r="AQ61" s="1064" t="s">
        <v>966</v>
      </c>
      <c r="AR61" s="1097" t="s">
        <v>1971</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customHeight="1">
      <c r="A62" s="1085" t="s">
        <v>972</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963</v>
      </c>
      <c r="AK62" s="1094" t="s">
        <v>1971</v>
      </c>
      <c r="AL62" s="1094" t="s">
        <v>1971</v>
      </c>
      <c r="AM62" s="1095" t="s">
        <v>2161</v>
      </c>
      <c r="AN62" s="1006" t="s">
        <v>293</v>
      </c>
      <c r="AO62" s="1006" t="s">
        <v>2166</v>
      </c>
      <c r="AP62" s="821">
        <v>1</v>
      </c>
      <c r="AQ62" s="1064" t="s">
        <v>966</v>
      </c>
      <c r="AR62" s="1097" t="s">
        <v>1971</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customHeight="1">
      <c r="A63" s="1085" t="s">
        <v>972</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963</v>
      </c>
      <c r="AK63" s="1094" t="s">
        <v>1971</v>
      </c>
      <c r="AL63" s="1094" t="s">
        <v>1971</v>
      </c>
      <c r="AM63" s="1095" t="s">
        <v>1976</v>
      </c>
      <c r="AN63" s="1006" t="s">
        <v>1039</v>
      </c>
      <c r="AO63" s="1006" t="s">
        <v>2170</v>
      </c>
      <c r="AP63" s="821">
        <v>1</v>
      </c>
      <c r="AQ63" s="1064" t="s">
        <v>966</v>
      </c>
      <c r="AR63" s="1097" t="s">
        <v>1971</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customHeight="1">
      <c r="A64" s="1085" t="s">
        <v>972</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988</v>
      </c>
      <c r="AK64" s="1094" t="s">
        <v>964</v>
      </c>
      <c r="AL64" s="1094" t="s">
        <v>965</v>
      </c>
      <c r="AM64" s="1095" t="s">
        <v>2135</v>
      </c>
      <c r="AN64" s="1006" t="s">
        <v>991</v>
      </c>
      <c r="AO64" s="1006" t="s">
        <v>2174</v>
      </c>
      <c r="AP64" s="821">
        <v>0</v>
      </c>
      <c r="AQ64" s="1064" t="s">
        <v>966</v>
      </c>
      <c r="AR64" s="1097" t="s">
        <v>1971</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customHeight="1">
      <c r="A65" s="1085" t="s">
        <v>972</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988</v>
      </c>
      <c r="AK65" s="1094" t="s">
        <v>964</v>
      </c>
      <c r="AL65" s="1094" t="s">
        <v>965</v>
      </c>
      <c r="AM65" s="1095" t="s">
        <v>2178</v>
      </c>
      <c r="AN65" s="1006" t="s">
        <v>410</v>
      </c>
      <c r="AO65" s="1006" t="s">
        <v>4790</v>
      </c>
      <c r="AP65" s="1302">
        <v>2</v>
      </c>
      <c r="AQ65" s="1064" t="s">
        <v>978</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customHeight="1">
      <c r="A66" s="1085" t="s">
        <v>972</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963</v>
      </c>
      <c r="AK66" s="1094" t="s">
        <v>1971</v>
      </c>
      <c r="AL66" s="1094" t="s">
        <v>1971</v>
      </c>
      <c r="AM66" s="1095" t="s">
        <v>1955</v>
      </c>
      <c r="AN66" s="1006" t="s">
        <v>1039</v>
      </c>
      <c r="AO66" s="1006" t="s">
        <v>2183</v>
      </c>
      <c r="AP66" s="1058">
        <v>3</v>
      </c>
      <c r="AQ66" s="1096" t="s">
        <v>978</v>
      </c>
      <c r="AR66" s="1097" t="s">
        <v>1971</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customHeight="1">
      <c r="A67" s="1085" t="s">
        <v>972</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963</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customHeight="1">
      <c r="A68" s="1085" t="s">
        <v>972</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963</v>
      </c>
      <c r="AK68" s="1094" t="s">
        <v>1971</v>
      </c>
      <c r="AL68" s="1094" t="s">
        <v>1971</v>
      </c>
      <c r="AM68" s="1095" t="s">
        <v>2058</v>
      </c>
      <c r="AN68" s="1006" t="s">
        <v>991</v>
      </c>
      <c r="AO68" s="1006" t="s">
        <v>2191</v>
      </c>
      <c r="AP68" s="1058">
        <v>1</v>
      </c>
      <c r="AQ68" s="1096" t="s">
        <v>966</v>
      </c>
      <c r="AR68" s="1097" t="s">
        <v>1971</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customHeight="1">
      <c r="A69" s="1085" t="s">
        <v>972</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984</v>
      </c>
      <c r="AK69" s="1094" t="s">
        <v>964</v>
      </c>
      <c r="AL69" s="1094" t="s">
        <v>977</v>
      </c>
      <c r="AM69" s="1095" t="s">
        <v>2194</v>
      </c>
      <c r="AN69" s="1006" t="s">
        <v>991</v>
      </c>
      <c r="AO69" s="1006" t="s">
        <v>2195</v>
      </c>
      <c r="AP69" s="1058">
        <v>0</v>
      </c>
      <c r="AQ69" s="1096" t="s">
        <v>966</v>
      </c>
      <c r="AR69" s="1097" t="s">
        <v>1971</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customHeight="1">
      <c r="A70" s="1085" t="s">
        <v>972</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984</v>
      </c>
      <c r="AK70" s="1094" t="s">
        <v>964</v>
      </c>
      <c r="AL70" s="1094" t="s">
        <v>977</v>
      </c>
      <c r="AM70" s="1095" t="s">
        <v>2194</v>
      </c>
      <c r="AN70" s="1006" t="s">
        <v>991</v>
      </c>
      <c r="AO70" s="1006" t="s">
        <v>2196</v>
      </c>
      <c r="AP70" s="821">
        <v>1</v>
      </c>
      <c r="AQ70" s="1064" t="s">
        <v>966</v>
      </c>
      <c r="AR70" s="1097" t="s">
        <v>1971</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customHeight="1">
      <c r="A71" s="1085" t="s">
        <v>972</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963</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customHeight="1">
      <c r="A72" s="1085" t="s">
        <v>972</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customHeight="1">
      <c r="A73" s="1085" t="s">
        <v>972</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963</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customHeight="1">
      <c r="A74" s="1085" t="s">
        <v>972</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984</v>
      </c>
      <c r="AK74" s="1094" t="s">
        <v>964</v>
      </c>
      <c r="AL74" s="1094" t="s">
        <v>977</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customHeight="1">
      <c r="A76" s="1085" t="s">
        <v>972</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963</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customHeight="1">
      <c r="A77" s="1085" t="s">
        <v>972</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963</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customHeight="1">
      <c r="A78" s="1085" t="s">
        <v>972</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customHeight="1">
      <c r="A79" s="1085" t="s">
        <v>972</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customHeight="1">
      <c r="A80" s="1085" t="s">
        <v>1022</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984</v>
      </c>
      <c r="AK80" s="1094" t="s">
        <v>964</v>
      </c>
      <c r="AL80" s="1094" t="s">
        <v>965</v>
      </c>
      <c r="AM80" s="1095" t="s">
        <v>1955</v>
      </c>
      <c r="AN80" s="1006" t="s">
        <v>2204</v>
      </c>
      <c r="AO80" s="1006" t="s">
        <v>4787</v>
      </c>
      <c r="AP80" s="1302">
        <v>2</v>
      </c>
      <c r="AQ80" s="1064" t="s">
        <v>978</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961</v>
      </c>
      <c r="CE80" s="1107" t="s">
        <v>961</v>
      </c>
      <c r="CF80" s="1107" t="s">
        <v>961</v>
      </c>
      <c r="CG80" s="1107" t="s">
        <v>961</v>
      </c>
      <c r="CH80" s="1108" t="s">
        <v>961</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1022</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154</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988</v>
      </c>
      <c r="AK81" s="1055" t="s">
        <v>964</v>
      </c>
      <c r="AL81" s="1055" t="s">
        <v>965</v>
      </c>
      <c r="AM81" s="1056" t="s">
        <v>1923</v>
      </c>
      <c r="AN81" s="1050" t="s">
        <v>4781</v>
      </c>
      <c r="AO81" s="1050" t="s">
        <v>4782</v>
      </c>
      <c r="AP81" s="1068">
        <v>0</v>
      </c>
      <c r="AQ81" s="1068" t="s">
        <v>978</v>
      </c>
      <c r="AR81" s="1059" t="s">
        <v>154</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961</v>
      </c>
      <c r="CE81" s="1073" t="s">
        <v>961</v>
      </c>
      <c r="CF81" s="1073" t="s">
        <v>961</v>
      </c>
      <c r="CG81" s="1073" t="s">
        <v>961</v>
      </c>
      <c r="CH81" s="1074" t="s">
        <v>961</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1022</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178</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984</v>
      </c>
      <c r="AK82" s="1094" t="s">
        <v>964</v>
      </c>
      <c r="AL82" s="1094" t="s">
        <v>965</v>
      </c>
      <c r="AM82" s="1095" t="s">
        <v>2103</v>
      </c>
      <c r="AN82" s="1006" t="s">
        <v>2204</v>
      </c>
      <c r="AO82" s="1006" t="s">
        <v>4786</v>
      </c>
      <c r="AP82" s="1302">
        <v>1</v>
      </c>
      <c r="AQ82" s="1064" t="s">
        <v>978</v>
      </c>
      <c r="AR82" s="1097" t="s">
        <v>178</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961</v>
      </c>
      <c r="CE82" s="1107" t="s">
        <v>961</v>
      </c>
      <c r="CF82" s="1107" t="s">
        <v>961</v>
      </c>
      <c r="CG82" s="1107" t="s">
        <v>961</v>
      </c>
      <c r="CH82" s="1108" t="s">
        <v>961</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1022</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184</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984</v>
      </c>
      <c r="AK83" s="1094" t="s">
        <v>964</v>
      </c>
      <c r="AL83" s="1094" t="s">
        <v>965</v>
      </c>
      <c r="AM83" s="1095" t="s">
        <v>1944</v>
      </c>
      <c r="AN83" s="1006" t="s">
        <v>293</v>
      </c>
      <c r="AO83" s="1006" t="s">
        <v>4785</v>
      </c>
      <c r="AP83" s="1303">
        <v>2</v>
      </c>
      <c r="AQ83" s="1096" t="s">
        <v>978</v>
      </c>
      <c r="AR83" s="1097" t="s">
        <v>184</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961</v>
      </c>
      <c r="CE83" s="1107" t="s">
        <v>961</v>
      </c>
      <c r="CF83" s="1107" t="s">
        <v>961</v>
      </c>
      <c r="CG83" s="1107" t="s">
        <v>961</v>
      </c>
      <c r="CH83" s="1108" t="s">
        <v>961</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1022</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499</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963</v>
      </c>
      <c r="AK84" s="1094" t="s">
        <v>1971</v>
      </c>
      <c r="AL84" s="1094" t="s">
        <v>1971</v>
      </c>
      <c r="AM84" s="1095" t="s">
        <v>1939</v>
      </c>
      <c r="AN84" s="1006" t="s">
        <v>293</v>
      </c>
      <c r="AO84" s="1006" t="s">
        <v>4784</v>
      </c>
      <c r="AP84" s="1302">
        <v>1</v>
      </c>
      <c r="AQ84" s="1064" t="s">
        <v>978</v>
      </c>
      <c r="AR84" s="1097" t="s">
        <v>499</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1022</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988</v>
      </c>
      <c r="AK85" s="1094" t="s">
        <v>964</v>
      </c>
      <c r="AL85" s="1094" t="s">
        <v>965</v>
      </c>
      <c r="AM85" s="1095" t="s">
        <v>2178</v>
      </c>
      <c r="AN85" s="1006" t="s">
        <v>410</v>
      </c>
      <c r="AO85" s="1006" t="s">
        <v>4790</v>
      </c>
      <c r="AP85" s="1303">
        <v>2</v>
      </c>
      <c r="AQ85" s="1096" t="s">
        <v>978</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customHeight="1">
      <c r="A86" s="1085" t="s">
        <v>1022</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988</v>
      </c>
      <c r="AK86" s="1094" t="s">
        <v>964</v>
      </c>
      <c r="AL86" s="1094" t="s">
        <v>965</v>
      </c>
      <c r="AM86" s="1095" t="s">
        <v>2178</v>
      </c>
      <c r="AN86" s="1006" t="s">
        <v>410</v>
      </c>
      <c r="AO86" s="1006" t="s">
        <v>4790</v>
      </c>
      <c r="AP86" s="1302">
        <v>2</v>
      </c>
      <c r="AQ86" s="1064" t="s">
        <v>978</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customHeight="1">
      <c r="A87" s="1085" t="s">
        <v>1022</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988</v>
      </c>
      <c r="AK87" s="1094" t="s">
        <v>964</v>
      </c>
      <c r="AL87" s="1094" t="s">
        <v>965</v>
      </c>
      <c r="AM87" s="1095" t="s">
        <v>2014</v>
      </c>
      <c r="AN87" s="1006" t="s">
        <v>2204</v>
      </c>
      <c r="AO87" s="1006" t="s">
        <v>4788</v>
      </c>
      <c r="AP87" s="1058">
        <v>0</v>
      </c>
      <c r="AQ87" s="1096" t="s">
        <v>978</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customHeight="1">
      <c r="A88" s="1085" t="s">
        <v>1022</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984</v>
      </c>
      <c r="AK88" s="1094" t="s">
        <v>964</v>
      </c>
      <c r="AL88" s="1094" t="s">
        <v>965</v>
      </c>
      <c r="AM88" s="1095" t="s">
        <v>2258</v>
      </c>
      <c r="AN88" s="1006" t="s">
        <v>991</v>
      </c>
      <c r="AO88" s="1006" t="s">
        <v>2259</v>
      </c>
      <c r="AP88" s="1058">
        <v>0</v>
      </c>
      <c r="AQ88" s="1096" t="s">
        <v>978</v>
      </c>
      <c r="AR88" s="1097" t="s">
        <v>1971</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customHeight="1">
      <c r="A89" s="1085" t="s">
        <v>1022</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984</v>
      </c>
      <c r="AK89" s="1094" t="s">
        <v>964</v>
      </c>
      <c r="AL89" s="1094" t="s">
        <v>965</v>
      </c>
      <c r="AM89" s="1095" t="s">
        <v>2264</v>
      </c>
      <c r="AN89" s="1006" t="s">
        <v>991</v>
      </c>
      <c r="AO89" s="1006" t="s">
        <v>2265</v>
      </c>
      <c r="AP89" s="1058">
        <v>0</v>
      </c>
      <c r="AQ89" s="1096" t="s">
        <v>978</v>
      </c>
      <c r="AR89" s="1097" t="s">
        <v>1971</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customHeight="1">
      <c r="A90" s="1085" t="s">
        <v>1022</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963</v>
      </c>
      <c r="AK90" s="1094" t="s">
        <v>1971</v>
      </c>
      <c r="AL90" s="1094" t="s">
        <v>1971</v>
      </c>
      <c r="AM90" s="1095" t="s">
        <v>1939</v>
      </c>
      <c r="AN90" s="1006"/>
      <c r="AO90" s="1006"/>
      <c r="AP90" s="1302">
        <v>0</v>
      </c>
      <c r="AQ90" s="1096" t="s">
        <v>978</v>
      </c>
      <c r="AR90" s="1097" t="s">
        <v>1971</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customHeight="1">
      <c r="A91" s="1085" t="s">
        <v>1022</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988</v>
      </c>
      <c r="AK91" s="1094" t="s">
        <v>964</v>
      </c>
      <c r="AL91" s="1094" t="s">
        <v>965</v>
      </c>
      <c r="AM91" s="1095" t="s">
        <v>1027</v>
      </c>
      <c r="AN91" s="1006" t="s">
        <v>1039</v>
      </c>
      <c r="AO91" s="1006" t="s">
        <v>2068</v>
      </c>
      <c r="AP91" s="1058">
        <v>2</v>
      </c>
      <c r="AQ91" s="1096" t="s">
        <v>966</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961</v>
      </c>
      <c r="CE91" s="1107" t="s">
        <v>961</v>
      </c>
      <c r="CF91" s="1107" t="s">
        <v>961</v>
      </c>
      <c r="CG91" s="1107" t="s">
        <v>961</v>
      </c>
      <c r="CH91" s="1108" t="s">
        <v>961</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1022</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988</v>
      </c>
      <c r="AK92" s="1094" t="s">
        <v>964</v>
      </c>
      <c r="AL92" s="1094" t="s">
        <v>965</v>
      </c>
      <c r="AM92" s="1095" t="s">
        <v>1031</v>
      </c>
      <c r="AN92" s="1006" t="s">
        <v>1039</v>
      </c>
      <c r="AO92" s="1006" t="s">
        <v>431</v>
      </c>
      <c r="AP92" s="821">
        <v>2</v>
      </c>
      <c r="AQ92" s="1064" t="s">
        <v>966</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961</v>
      </c>
      <c r="CE92" s="1107" t="s">
        <v>961</v>
      </c>
      <c r="CF92" s="1107" t="s">
        <v>961</v>
      </c>
      <c r="CG92" s="1107" t="s">
        <v>961</v>
      </c>
      <c r="CH92" s="1108" t="s">
        <v>961</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1022</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963</v>
      </c>
      <c r="AK93" s="1094" t="s">
        <v>1971</v>
      </c>
      <c r="AL93" s="1094" t="s">
        <v>1971</v>
      </c>
      <c r="AM93" s="1095" t="s">
        <v>2146</v>
      </c>
      <c r="AN93" s="1006" t="s">
        <v>293</v>
      </c>
      <c r="AO93" s="1006" t="s">
        <v>2277</v>
      </c>
      <c r="AP93" s="821">
        <v>0</v>
      </c>
      <c r="AQ93" s="1064" t="s">
        <v>978</v>
      </c>
      <c r="AR93" s="1097" t="s">
        <v>1971</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customHeight="1">
      <c r="A94" s="1085" t="s">
        <v>1022</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963</v>
      </c>
      <c r="AK94" s="1094" t="s">
        <v>1971</v>
      </c>
      <c r="AL94" s="1094" t="s">
        <v>1971</v>
      </c>
      <c r="AM94" s="1095" t="s">
        <v>2146</v>
      </c>
      <c r="AN94" s="1006" t="s">
        <v>293</v>
      </c>
      <c r="AO94" s="1006" t="s">
        <v>2282</v>
      </c>
      <c r="AP94" s="821">
        <v>0</v>
      </c>
      <c r="AQ94" s="1064" t="s">
        <v>966</v>
      </c>
      <c r="AR94" s="1097" t="s">
        <v>1971</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customHeight="1">
      <c r="A95" s="1085" t="s">
        <v>1022</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963</v>
      </c>
      <c r="AK95" s="1094" t="s">
        <v>1971</v>
      </c>
      <c r="AL95" s="1094" t="s">
        <v>1971</v>
      </c>
      <c r="AM95" s="1095" t="s">
        <v>2146</v>
      </c>
      <c r="AN95" s="1006" t="s">
        <v>293</v>
      </c>
      <c r="AO95" s="1006" t="s">
        <v>2287</v>
      </c>
      <c r="AP95" s="821">
        <v>0</v>
      </c>
      <c r="AQ95" s="1064" t="s">
        <v>966</v>
      </c>
      <c r="AR95" s="1097" t="s">
        <v>1971</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customHeight="1">
      <c r="A96" s="1085" t="s">
        <v>1022</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988</v>
      </c>
      <c r="AK96" s="1094" t="s">
        <v>964</v>
      </c>
      <c r="AL96" s="1094" t="s">
        <v>965</v>
      </c>
      <c r="AM96" s="1095" t="s">
        <v>2146</v>
      </c>
      <c r="AN96" s="1006" t="s">
        <v>293</v>
      </c>
      <c r="AO96" s="1006" t="s">
        <v>2292</v>
      </c>
      <c r="AP96" s="821">
        <v>2</v>
      </c>
      <c r="AQ96" s="1064" t="s">
        <v>978</v>
      </c>
      <c r="AR96" s="1097" t="s">
        <v>1971</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customHeight="1">
      <c r="A97" s="1042" t="s">
        <v>1022</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629</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988</v>
      </c>
      <c r="AK97" s="1055" t="s">
        <v>964</v>
      </c>
      <c r="AL97" s="1055" t="s">
        <v>965</v>
      </c>
      <c r="AM97" s="1056" t="s">
        <v>629</v>
      </c>
      <c r="AN97" s="1050" t="s">
        <v>293</v>
      </c>
      <c r="AO97" s="1050" t="s">
        <v>4783</v>
      </c>
      <c r="AP97" s="1068">
        <v>1</v>
      </c>
      <c r="AQ97" s="821" t="s">
        <v>966</v>
      </c>
      <c r="AR97" s="1059" t="s">
        <v>629</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961</v>
      </c>
      <c r="CE97" s="1073" t="s">
        <v>961</v>
      </c>
      <c r="CF97" s="1073" t="s">
        <v>961</v>
      </c>
      <c r="CG97" s="1073" t="s">
        <v>961</v>
      </c>
      <c r="CH97" s="1074" t="s">
        <v>961</v>
      </c>
      <c r="CI97" s="1395">
        <v>-5</v>
      </c>
      <c r="CJ97" s="1348">
        <v>-5</v>
      </c>
      <c r="CK97" s="1348">
        <v>-5</v>
      </c>
      <c r="CL97" s="1348">
        <v>-5</v>
      </c>
      <c r="CM97" s="1349">
        <v>-5</v>
      </c>
      <c r="CN97" s="1395">
        <v>0</v>
      </c>
      <c r="CO97" s="1348">
        <v>0</v>
      </c>
      <c r="CP97" s="1348">
        <v>0</v>
      </c>
      <c r="CQ97" s="1348">
        <v>0</v>
      </c>
      <c r="CR97" s="1349">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35">
        <v>-0.26200000000000001</v>
      </c>
      <c r="DN97" s="2036">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1022</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988</v>
      </c>
      <c r="AK98" s="1055" t="s">
        <v>964</v>
      </c>
      <c r="AL98" s="1414" t="s">
        <v>977</v>
      </c>
      <c r="AM98" s="1056" t="s">
        <v>2083</v>
      </c>
      <c r="AN98" s="1050" t="s">
        <v>2147</v>
      </c>
      <c r="AO98" s="1050" t="s">
        <v>4783</v>
      </c>
      <c r="AP98" s="1068">
        <v>1</v>
      </c>
      <c r="AQ98" s="821" t="s">
        <v>966</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961</v>
      </c>
      <c r="CE98" s="1073" t="s">
        <v>961</v>
      </c>
      <c r="CF98" s="1073" t="s">
        <v>961</v>
      </c>
      <c r="CG98" s="1073" t="s">
        <v>961</v>
      </c>
      <c r="CH98" s="1074" t="s">
        <v>961</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1022</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988</v>
      </c>
      <c r="AK99" s="1094" t="s">
        <v>964</v>
      </c>
      <c r="AL99" s="1094" t="s">
        <v>965</v>
      </c>
      <c r="AM99" s="1095" t="s">
        <v>1990</v>
      </c>
      <c r="AN99" s="1006" t="s">
        <v>293</v>
      </c>
      <c r="AO99" s="1006" t="s">
        <v>2305</v>
      </c>
      <c r="AP99" s="821">
        <v>2</v>
      </c>
      <c r="AQ99" s="1064" t="s">
        <v>966</v>
      </c>
      <c r="AR99" s="1097" t="s">
        <v>1971</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customHeight="1">
      <c r="A100" s="1085" t="s">
        <v>1022</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988</v>
      </c>
      <c r="AK100" s="1094" t="s">
        <v>964</v>
      </c>
      <c r="AL100" s="1094" t="s">
        <v>965</v>
      </c>
      <c r="AM100" s="1095" t="s">
        <v>1996</v>
      </c>
      <c r="AN100" s="1006" t="s">
        <v>991</v>
      </c>
      <c r="AO100" s="1006" t="s">
        <v>2310</v>
      </c>
      <c r="AP100" s="821">
        <v>0</v>
      </c>
      <c r="AQ100" s="1064" t="s">
        <v>966</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customHeight="1">
      <c r="A101" s="1085" t="s">
        <v>1022</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988</v>
      </c>
      <c r="AK101" s="1094" t="s">
        <v>964</v>
      </c>
      <c r="AL101" s="1094" t="s">
        <v>965</v>
      </c>
      <c r="AM101" s="1095" t="s">
        <v>2315</v>
      </c>
      <c r="AN101" s="1006" t="s">
        <v>1039</v>
      </c>
      <c r="AO101" s="1006" t="s">
        <v>2316</v>
      </c>
      <c r="AP101" s="821">
        <v>0</v>
      </c>
      <c r="AQ101" s="1064" t="s">
        <v>966</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customHeight="1">
      <c r="A102" s="1085" t="s">
        <v>1022</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984</v>
      </c>
      <c r="AK102" s="1094" t="s">
        <v>964</v>
      </c>
      <c r="AL102" s="1094" t="s">
        <v>965</v>
      </c>
      <c r="AM102" s="1095" t="s">
        <v>2321</v>
      </c>
      <c r="AN102" s="1006" t="s">
        <v>293</v>
      </c>
      <c r="AO102" s="1006" t="s">
        <v>2322</v>
      </c>
      <c r="AP102" s="821">
        <v>1</v>
      </c>
      <c r="AQ102" s="1064" t="s">
        <v>966</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customHeight="1">
      <c r="A103" s="1085" t="s">
        <v>1022</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984</v>
      </c>
      <c r="AK103" s="1094" t="s">
        <v>964</v>
      </c>
      <c r="AL103" s="1094" t="s">
        <v>965</v>
      </c>
      <c r="AM103" s="1095" t="s">
        <v>2008</v>
      </c>
      <c r="AN103" s="1006" t="s">
        <v>293</v>
      </c>
      <c r="AO103" s="1006" t="s">
        <v>2327</v>
      </c>
      <c r="AP103" s="821">
        <v>0</v>
      </c>
      <c r="AQ103" s="1064" t="s">
        <v>966</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customHeight="1">
      <c r="A104" s="1085" t="s">
        <v>1022</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988</v>
      </c>
      <c r="AK104" s="1094" t="s">
        <v>964</v>
      </c>
      <c r="AL104" s="1094" t="s">
        <v>965</v>
      </c>
      <c r="AM104" s="1095" t="s">
        <v>2332</v>
      </c>
      <c r="AN104" s="1006" t="s">
        <v>293</v>
      </c>
      <c r="AO104" s="1006" t="s">
        <v>2333</v>
      </c>
      <c r="AP104" s="821">
        <v>1</v>
      </c>
      <c r="AQ104" s="1064" t="s">
        <v>966</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customHeight="1">
      <c r="A105" s="1085" t="s">
        <v>1022</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988</v>
      </c>
      <c r="AK105" s="1094" t="s">
        <v>964</v>
      </c>
      <c r="AL105" s="1094" t="s">
        <v>965</v>
      </c>
      <c r="AM105" s="1095" t="s">
        <v>2008</v>
      </c>
      <c r="AN105" s="1006" t="s">
        <v>991</v>
      </c>
      <c r="AO105" s="1006" t="s">
        <v>2338</v>
      </c>
      <c r="AP105" s="821">
        <v>1</v>
      </c>
      <c r="AQ105" s="1064" t="s">
        <v>978</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customHeight="1">
      <c r="A106" s="1085" t="s">
        <v>1022</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658</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963</v>
      </c>
      <c r="AK106" s="1094" t="s">
        <v>1971</v>
      </c>
      <c r="AL106" s="1094" t="s">
        <v>1971</v>
      </c>
      <c r="AM106" s="1095" t="s">
        <v>2146</v>
      </c>
      <c r="AN106" s="1006" t="s">
        <v>293</v>
      </c>
      <c r="AO106" s="1006" t="s">
        <v>4791</v>
      </c>
      <c r="AP106" s="1302">
        <v>1</v>
      </c>
      <c r="AQ106" s="1064" t="s">
        <v>966</v>
      </c>
      <c r="AR106" s="1097" t="s">
        <v>658</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c r="A107" s="1085" t="s">
        <v>1022</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984</v>
      </c>
      <c r="AK107" s="1094" t="s">
        <v>964</v>
      </c>
      <c r="AL107" s="1094" t="s">
        <v>977</v>
      </c>
      <c r="AM107" s="1095" t="s">
        <v>1971</v>
      </c>
      <c r="AN107" s="844" t="s">
        <v>991</v>
      </c>
      <c r="AO107" s="1006" t="s">
        <v>2346</v>
      </c>
      <c r="AP107" s="821">
        <v>0</v>
      </c>
      <c r="AQ107" s="821" t="s">
        <v>978</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customHeight="1">
      <c r="A108" s="1085" t="s">
        <v>1022</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963</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customHeight="1">
      <c r="A109" s="1085" t="s">
        <v>1022</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customHeight="1">
      <c r="A110" s="1085" t="s">
        <v>969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984</v>
      </c>
      <c r="AK110" s="1094" t="s">
        <v>964</v>
      </c>
      <c r="AL110" s="1094" t="s">
        <v>965</v>
      </c>
      <c r="AM110" s="1095" t="s">
        <v>1955</v>
      </c>
      <c r="AN110" s="1006" t="s">
        <v>2204</v>
      </c>
      <c r="AO110" s="1006" t="s">
        <v>4787</v>
      </c>
      <c r="AP110" s="1308">
        <v>2</v>
      </c>
      <c r="AQ110" s="1064" t="s">
        <v>978</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961</v>
      </c>
      <c r="CE110" s="1107" t="s">
        <v>961</v>
      </c>
      <c r="CF110" s="1107" t="s">
        <v>961</v>
      </c>
      <c r="CG110" s="1107" t="s">
        <v>961</v>
      </c>
      <c r="CH110" s="1108" t="s">
        <v>961</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969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988</v>
      </c>
      <c r="AK111" s="1094" t="s">
        <v>964</v>
      </c>
      <c r="AL111" s="1094" t="s">
        <v>965</v>
      </c>
      <c r="AM111" s="1095" t="s">
        <v>2178</v>
      </c>
      <c r="AN111" s="1006" t="s">
        <v>410</v>
      </c>
      <c r="AO111" s="1006" t="s">
        <v>4790</v>
      </c>
      <c r="AP111" s="1309">
        <v>0</v>
      </c>
      <c r="AQ111" s="1064" t="s">
        <v>978</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customHeight="1">
      <c r="A112" s="1085" t="s">
        <v>969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988</v>
      </c>
      <c r="AK112" s="1094" t="s">
        <v>964</v>
      </c>
      <c r="AL112" s="1094" t="s">
        <v>965</v>
      </c>
      <c r="AM112" s="1095" t="s">
        <v>2371</v>
      </c>
      <c r="AN112" s="1006" t="s">
        <v>991</v>
      </c>
      <c r="AO112" s="1006" t="s">
        <v>2372</v>
      </c>
      <c r="AP112" s="1309">
        <v>0</v>
      </c>
      <c r="AQ112" s="1064" t="s">
        <v>966</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customHeight="1">
      <c r="A113" s="1085" t="s">
        <v>969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154</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984</v>
      </c>
      <c r="AK113" s="1094" t="s">
        <v>964</v>
      </c>
      <c r="AL113" s="1094" t="s">
        <v>965</v>
      </c>
      <c r="AM113" s="1095" t="s">
        <v>1923</v>
      </c>
      <c r="AN113" s="1006" t="s">
        <v>4781</v>
      </c>
      <c r="AO113" s="1006" t="s">
        <v>4782</v>
      </c>
      <c r="AP113" s="1308">
        <v>0</v>
      </c>
      <c r="AQ113" s="1064" t="s">
        <v>978</v>
      </c>
      <c r="AR113" s="1097" t="s">
        <v>154</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961</v>
      </c>
      <c r="CE113" s="1107" t="s">
        <v>961</v>
      </c>
      <c r="CF113" s="1107" t="s">
        <v>961</v>
      </c>
      <c r="CG113" s="1107" t="s">
        <v>961</v>
      </c>
      <c r="CH113" s="1108" t="s">
        <v>961</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969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629</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984</v>
      </c>
      <c r="AK114" s="1055" t="s">
        <v>964</v>
      </c>
      <c r="AL114" s="1055" t="s">
        <v>965</v>
      </c>
      <c r="AM114" s="1056" t="s">
        <v>629</v>
      </c>
      <c r="AN114" s="1050" t="s">
        <v>293</v>
      </c>
      <c r="AO114" s="1050" t="s">
        <v>4783</v>
      </c>
      <c r="AP114" s="1308">
        <v>1</v>
      </c>
      <c r="AQ114" s="821" t="s">
        <v>966</v>
      </c>
      <c r="AR114" s="1059" t="s">
        <v>629</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961</v>
      </c>
      <c r="CE114" s="1073" t="s">
        <v>961</v>
      </c>
      <c r="CF114" s="1073" t="s">
        <v>961</v>
      </c>
      <c r="CG114" s="1073" t="s">
        <v>961</v>
      </c>
      <c r="CH114" s="1074" t="s">
        <v>961</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969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984</v>
      </c>
      <c r="AK115" s="1055" t="s">
        <v>964</v>
      </c>
      <c r="AL115" s="1414" t="s">
        <v>977</v>
      </c>
      <c r="AM115" s="1056" t="s">
        <v>2083</v>
      </c>
      <c r="AN115" s="1050" t="s">
        <v>2147</v>
      </c>
      <c r="AO115" s="1050" t="s">
        <v>4783</v>
      </c>
      <c r="AP115" s="1308">
        <v>1</v>
      </c>
      <c r="AQ115" s="821" t="s">
        <v>966</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961</v>
      </c>
      <c r="CE115" s="1073" t="s">
        <v>961</v>
      </c>
      <c r="CF115" s="1073" t="s">
        <v>961</v>
      </c>
      <c r="CG115" s="1073" t="s">
        <v>961</v>
      </c>
      <c r="CH115" s="1074" t="s">
        <v>961</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969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499</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963</v>
      </c>
      <c r="AK116" s="1094" t="s">
        <v>1971</v>
      </c>
      <c r="AL116" s="1094" t="s">
        <v>1971</v>
      </c>
      <c r="AM116" s="1095" t="s">
        <v>1939</v>
      </c>
      <c r="AN116" s="1006" t="s">
        <v>293</v>
      </c>
      <c r="AO116" s="1006" t="s">
        <v>4784</v>
      </c>
      <c r="AP116" s="1308">
        <v>1</v>
      </c>
      <c r="AQ116" s="1064" t="s">
        <v>978</v>
      </c>
      <c r="AR116" s="1097" t="s">
        <v>499</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969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178</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984</v>
      </c>
      <c r="AK117" s="1094" t="s">
        <v>964</v>
      </c>
      <c r="AL117" s="1094" t="s">
        <v>965</v>
      </c>
      <c r="AM117" s="1095" t="s">
        <v>2103</v>
      </c>
      <c r="AN117" s="1006" t="s">
        <v>2204</v>
      </c>
      <c r="AO117" s="1006" t="s">
        <v>4786</v>
      </c>
      <c r="AP117" s="1308">
        <v>1</v>
      </c>
      <c r="AQ117" s="1064" t="s">
        <v>978</v>
      </c>
      <c r="AR117" s="1097" t="s">
        <v>178</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961</v>
      </c>
      <c r="CE117" s="1107" t="s">
        <v>961</v>
      </c>
      <c r="CF117" s="1107" t="s">
        <v>961</v>
      </c>
      <c r="CG117" s="1107" t="s">
        <v>961</v>
      </c>
      <c r="CH117" s="1108" t="s">
        <v>961</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969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184</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984</v>
      </c>
      <c r="AK118" s="1094" t="s">
        <v>964</v>
      </c>
      <c r="AL118" s="1094" t="s">
        <v>965</v>
      </c>
      <c r="AM118" s="1095" t="s">
        <v>1944</v>
      </c>
      <c r="AN118" s="1006" t="s">
        <v>293</v>
      </c>
      <c r="AO118" s="1006" t="s">
        <v>4785</v>
      </c>
      <c r="AP118" s="1308">
        <v>2</v>
      </c>
      <c r="AQ118" s="1064" t="s">
        <v>978</v>
      </c>
      <c r="AR118" s="1097" t="s">
        <v>184</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961</v>
      </c>
      <c r="CE118" s="1107" t="s">
        <v>961</v>
      </c>
      <c r="CF118" s="1107" t="s">
        <v>961</v>
      </c>
      <c r="CG118" s="1107" t="s">
        <v>961</v>
      </c>
      <c r="CH118" s="1108" t="s">
        <v>961</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969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984</v>
      </c>
      <c r="AK119" s="1094" t="s">
        <v>964</v>
      </c>
      <c r="AL119" s="1094" t="s">
        <v>965</v>
      </c>
      <c r="AM119" s="1095" t="s">
        <v>2014</v>
      </c>
      <c r="AN119" s="1006" t="s">
        <v>2204</v>
      </c>
      <c r="AO119" s="1006" t="s">
        <v>4788</v>
      </c>
      <c r="AP119" s="1309">
        <v>0</v>
      </c>
      <c r="AQ119" s="1064" t="s">
        <v>978</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customHeight="1">
      <c r="A120" s="1085" t="s">
        <v>969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988</v>
      </c>
      <c r="AK120" s="1094" t="s">
        <v>964</v>
      </c>
      <c r="AL120" s="1094" t="s">
        <v>977</v>
      </c>
      <c r="AM120" s="1095" t="s">
        <v>2135</v>
      </c>
      <c r="AN120" s="1006" t="s">
        <v>991</v>
      </c>
      <c r="AO120" s="1006" t="s">
        <v>2403</v>
      </c>
      <c r="AP120" s="1309">
        <v>1</v>
      </c>
      <c r="AQ120" s="1064" t="s">
        <v>966</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customHeight="1">
      <c r="A121" s="1085" t="s">
        <v>969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988</v>
      </c>
      <c r="AK121" s="1094" t="s">
        <v>964</v>
      </c>
      <c r="AL121" s="1094" t="s">
        <v>965</v>
      </c>
      <c r="AM121" s="1095" t="s">
        <v>2315</v>
      </c>
      <c r="AN121" s="1006" t="s">
        <v>991</v>
      </c>
      <c r="AO121" s="1006" t="s">
        <v>2408</v>
      </c>
      <c r="AP121" s="1309">
        <v>2</v>
      </c>
      <c r="AQ121" s="1064" t="s">
        <v>966</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customHeight="1">
      <c r="A122" s="1085" t="s">
        <v>969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984</v>
      </c>
      <c r="AK122" s="1094" t="s">
        <v>964</v>
      </c>
      <c r="AL122" s="1094" t="s">
        <v>965</v>
      </c>
      <c r="AM122" s="1095" t="s">
        <v>711</v>
      </c>
      <c r="AN122" s="1006" t="s">
        <v>293</v>
      </c>
      <c r="AO122" s="1006" t="s">
        <v>2413</v>
      </c>
      <c r="AP122" s="1309">
        <v>2</v>
      </c>
      <c r="AQ122" s="1064" t="s">
        <v>966</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customHeight="1">
      <c r="A123" s="1085" t="s">
        <v>969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1016</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984</v>
      </c>
      <c r="AK123" s="1094" t="s">
        <v>964</v>
      </c>
      <c r="AL123" s="1094" t="s">
        <v>965</v>
      </c>
      <c r="AM123" s="1095" t="s">
        <v>2114</v>
      </c>
      <c r="AN123" s="1006" t="s">
        <v>293</v>
      </c>
      <c r="AO123" s="1006" t="s">
        <v>2472</v>
      </c>
      <c r="AP123" s="1308">
        <v>2</v>
      </c>
      <c r="AQ123" s="1064" t="s">
        <v>966</v>
      </c>
      <c r="AR123" s="1097" t="s">
        <v>1016</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961</v>
      </c>
      <c r="CE123" s="1107" t="s">
        <v>961</v>
      </c>
      <c r="CF123" s="1107" t="s">
        <v>961</v>
      </c>
      <c r="CG123" s="1107" t="s">
        <v>961</v>
      </c>
      <c r="CH123" s="1108" t="s">
        <v>961</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969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963</v>
      </c>
      <c r="AK124" s="1094" t="s">
        <v>1971</v>
      </c>
      <c r="AL124" s="1094" t="s">
        <v>1971</v>
      </c>
      <c r="AM124" s="1095" t="s">
        <v>2423</v>
      </c>
      <c r="AN124" s="1006" t="s">
        <v>991</v>
      </c>
      <c r="AO124" s="1006" t="s">
        <v>2424</v>
      </c>
      <c r="AP124" s="1309">
        <v>0</v>
      </c>
      <c r="AQ124" s="1064" t="s">
        <v>966</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customHeight="1">
      <c r="A125" s="1085" t="s">
        <v>969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687</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988</v>
      </c>
      <c r="AK125" s="1094" t="s">
        <v>964</v>
      </c>
      <c r="AL125" s="1094" t="s">
        <v>965</v>
      </c>
      <c r="AM125" s="1095" t="s">
        <v>2087</v>
      </c>
      <c r="AN125" s="1006" t="s">
        <v>2204</v>
      </c>
      <c r="AO125" s="1006" t="s">
        <v>4477</v>
      </c>
      <c r="AP125" s="1308">
        <v>2</v>
      </c>
      <c r="AQ125" s="1064" t="s">
        <v>978</v>
      </c>
      <c r="AR125" s="1097" t="s">
        <v>687</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961</v>
      </c>
      <c r="CE125" s="1107" t="s">
        <v>961</v>
      </c>
      <c r="CF125" s="1107" t="s">
        <v>961</v>
      </c>
      <c r="CG125" s="1107" t="s">
        <v>961</v>
      </c>
      <c r="CH125" s="1108" t="s">
        <v>961</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969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689</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984</v>
      </c>
      <c r="AK126" s="1094" t="s">
        <v>964</v>
      </c>
      <c r="AL126" s="1094" t="s">
        <v>965</v>
      </c>
      <c r="AM126" s="1095" t="s">
        <v>689</v>
      </c>
      <c r="AN126" s="1006" t="s">
        <v>2204</v>
      </c>
      <c r="AO126" s="1006" t="s">
        <v>4798</v>
      </c>
      <c r="AP126" s="1308">
        <v>2</v>
      </c>
      <c r="AQ126" s="1064" t="s">
        <v>978</v>
      </c>
      <c r="AR126" s="1097" t="s">
        <v>689</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961</v>
      </c>
      <c r="CE126" s="1107" t="s">
        <v>961</v>
      </c>
      <c r="CF126" s="1107" t="s">
        <v>961</v>
      </c>
      <c r="CG126" s="1107" t="s">
        <v>961</v>
      </c>
      <c r="CH126" s="1108" t="s">
        <v>961</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969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988</v>
      </c>
      <c r="AK127" s="1094" t="s">
        <v>964</v>
      </c>
      <c r="AL127" s="1094" t="s">
        <v>965</v>
      </c>
      <c r="AM127" s="1095" t="s">
        <v>2110</v>
      </c>
      <c r="AN127" s="1006" t="s">
        <v>2204</v>
      </c>
      <c r="AO127" s="1006" t="s">
        <v>4814</v>
      </c>
      <c r="AP127" s="1309">
        <v>0</v>
      </c>
      <c r="AQ127" s="1064" t="s">
        <v>978</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customHeight="1">
      <c r="A128" s="1085" t="s">
        <v>969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778</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963</v>
      </c>
      <c r="AK128" s="1094" t="s">
        <v>1971</v>
      </c>
      <c r="AL128" s="1094" t="s">
        <v>1971</v>
      </c>
      <c r="AM128" s="1095" t="s">
        <v>1939</v>
      </c>
      <c r="AN128" s="1006" t="s">
        <v>293</v>
      </c>
      <c r="AO128" s="1006" t="s">
        <v>4784</v>
      </c>
      <c r="AP128" s="1308">
        <v>2</v>
      </c>
      <c r="AQ128" s="1064" t="s">
        <v>966</v>
      </c>
      <c r="AR128" s="1097" t="s">
        <v>778</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969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693</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984</v>
      </c>
      <c r="AK129" s="1094" t="s">
        <v>964</v>
      </c>
      <c r="AL129" s="1094" t="s">
        <v>965</v>
      </c>
      <c r="AM129" s="1095" t="s">
        <v>2110</v>
      </c>
      <c r="AN129" s="1006" t="s">
        <v>2204</v>
      </c>
      <c r="AO129" s="1006" t="s">
        <v>4799</v>
      </c>
      <c r="AP129" s="1308">
        <v>2</v>
      </c>
      <c r="AQ129" s="1064" t="s">
        <v>978</v>
      </c>
      <c r="AR129" s="1097" t="s">
        <v>693</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961</v>
      </c>
      <c r="CE129" s="1107" t="s">
        <v>961</v>
      </c>
      <c r="CF129" s="1107" t="s">
        <v>961</v>
      </c>
      <c r="CG129" s="1107" t="s">
        <v>961</v>
      </c>
      <c r="CH129" s="1108" t="s">
        <v>961</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969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988</v>
      </c>
      <c r="AK130" s="1094" t="s">
        <v>964</v>
      </c>
      <c r="AL130" s="1094" t="s">
        <v>965</v>
      </c>
      <c r="AM130" s="1095" t="s">
        <v>2146</v>
      </c>
      <c r="AN130" s="1006" t="s">
        <v>2147</v>
      </c>
      <c r="AO130" s="1006" t="s">
        <v>2453</v>
      </c>
      <c r="AP130" s="1309">
        <v>2</v>
      </c>
      <c r="AQ130" s="1064" t="s">
        <v>978</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customHeight="1">
      <c r="A131" s="1085" t="s">
        <v>969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988</v>
      </c>
      <c r="AK131" s="1094" t="s">
        <v>964</v>
      </c>
      <c r="AL131" s="1094" t="s">
        <v>965</v>
      </c>
      <c r="AM131" s="1095" t="s">
        <v>1027</v>
      </c>
      <c r="AN131" s="1006" t="s">
        <v>1039</v>
      </c>
      <c r="AO131" s="1006" t="s">
        <v>2458</v>
      </c>
      <c r="AP131" s="1309">
        <v>2</v>
      </c>
      <c r="AQ131" s="1064" t="s">
        <v>966</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961</v>
      </c>
      <c r="CE131" s="1107" t="s">
        <v>961</v>
      </c>
      <c r="CF131" s="1107" t="s">
        <v>961</v>
      </c>
      <c r="CG131" s="1107" t="s">
        <v>961</v>
      </c>
      <c r="CH131" s="1108" t="s">
        <v>961</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969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988</v>
      </c>
      <c r="AK132" s="1094" t="s">
        <v>964</v>
      </c>
      <c r="AL132" s="1094" t="s">
        <v>965</v>
      </c>
      <c r="AM132" s="1095" t="s">
        <v>1031</v>
      </c>
      <c r="AN132" s="1006" t="s">
        <v>1039</v>
      </c>
      <c r="AO132" s="1006" t="s">
        <v>2462</v>
      </c>
      <c r="AP132" s="1309">
        <v>2</v>
      </c>
      <c r="AQ132" s="1064" t="s">
        <v>966</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961</v>
      </c>
      <c r="CE132" s="1107" t="s">
        <v>961</v>
      </c>
      <c r="CF132" s="1107" t="s">
        <v>961</v>
      </c>
      <c r="CG132" s="1107" t="s">
        <v>961</v>
      </c>
      <c r="CH132" s="1108" t="s">
        <v>961</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969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988</v>
      </c>
      <c r="AK133" s="1094" t="s">
        <v>964</v>
      </c>
      <c r="AL133" s="1094" t="s">
        <v>965</v>
      </c>
      <c r="AM133" s="1095" t="s">
        <v>1976</v>
      </c>
      <c r="AN133" s="1006" t="s">
        <v>1039</v>
      </c>
      <c r="AO133" s="1006" t="s">
        <v>2467</v>
      </c>
      <c r="AP133" s="1309">
        <v>1</v>
      </c>
      <c r="AQ133" s="1064" t="s">
        <v>966</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customHeight="1">
      <c r="A134" s="1085" t="s">
        <v>969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963</v>
      </c>
      <c r="AK134" s="1094" t="s">
        <v>1971</v>
      </c>
      <c r="AL134" s="1094" t="s">
        <v>1971</v>
      </c>
      <c r="AM134" s="1095" t="s">
        <v>1976</v>
      </c>
      <c r="AN134" s="1006" t="s">
        <v>293</v>
      </c>
      <c r="AO134" s="1006" t="s">
        <v>2472</v>
      </c>
      <c r="AP134" s="1309">
        <v>1</v>
      </c>
      <c r="AQ134" s="1064" t="s">
        <v>966</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customHeight="1">
      <c r="A135" s="1085" t="s">
        <v>969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658</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963</v>
      </c>
      <c r="AK135" s="1094" t="s">
        <v>1971</v>
      </c>
      <c r="AL135" s="1094" t="s">
        <v>1971</v>
      </c>
      <c r="AM135" s="1095" t="s">
        <v>2058</v>
      </c>
      <c r="AN135" s="1006" t="s">
        <v>293</v>
      </c>
      <c r="AO135" s="1006" t="s">
        <v>4791</v>
      </c>
      <c r="AP135" s="1308">
        <v>1</v>
      </c>
      <c r="AQ135" s="1064" t="s">
        <v>966</v>
      </c>
      <c r="AR135" s="1097" t="s">
        <v>658</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969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963</v>
      </c>
      <c r="AK136" s="1094" t="s">
        <v>1971</v>
      </c>
      <c r="AL136" s="1094" t="s">
        <v>1971</v>
      </c>
      <c r="AM136" s="1095" t="s">
        <v>2058</v>
      </c>
      <c r="AN136" s="1006" t="s">
        <v>293</v>
      </c>
      <c r="AO136" s="1006" t="s">
        <v>2482</v>
      </c>
      <c r="AP136" s="1309">
        <v>0</v>
      </c>
      <c r="AQ136" s="1064" t="s">
        <v>966</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customHeight="1">
      <c r="A137" s="1085" t="s">
        <v>969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963</v>
      </c>
      <c r="AK137" s="1094" t="s">
        <v>1971</v>
      </c>
      <c r="AL137" s="1094" t="s">
        <v>1971</v>
      </c>
      <c r="AM137" s="1095" t="s">
        <v>2058</v>
      </c>
      <c r="AN137" s="1006" t="s">
        <v>293</v>
      </c>
      <c r="AO137" s="1006" t="s">
        <v>2487</v>
      </c>
      <c r="AP137" s="1309">
        <v>1</v>
      </c>
      <c r="AQ137" s="1064" t="s">
        <v>966</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customHeight="1">
      <c r="A138" s="1085" t="s">
        <v>969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963</v>
      </c>
      <c r="AK138" s="1094" t="s">
        <v>1971</v>
      </c>
      <c r="AL138" s="1094" t="s">
        <v>1971</v>
      </c>
      <c r="AM138" s="1095" t="s">
        <v>1971</v>
      </c>
      <c r="AN138" s="1006" t="s">
        <v>1971</v>
      </c>
      <c r="AO138" s="1006" t="s">
        <v>1971</v>
      </c>
      <c r="AP138" s="1309">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customHeight="1">
      <c r="A139" s="1085" t="s">
        <v>969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963</v>
      </c>
      <c r="AK139" s="1094" t="s">
        <v>1971</v>
      </c>
      <c r="AL139" s="1094" t="s">
        <v>1971</v>
      </c>
      <c r="AM139" s="1095" t="s">
        <v>1971</v>
      </c>
      <c r="AN139" s="1006" t="s">
        <v>1971</v>
      </c>
      <c r="AO139" s="1006" t="s">
        <v>2063</v>
      </c>
      <c r="AP139" s="1309">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customHeight="1">
      <c r="A140" s="1085" t="s">
        <v>969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984</v>
      </c>
      <c r="AK140" s="1094" t="s">
        <v>964</v>
      </c>
      <c r="AL140" s="1094" t="s">
        <v>4820</v>
      </c>
      <c r="AM140" s="1095" t="s">
        <v>1971</v>
      </c>
      <c r="AN140" s="1006"/>
      <c r="AO140" s="1006"/>
      <c r="AP140" s="1309">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990</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988</v>
      </c>
      <c r="AK141" s="1094" t="s">
        <v>964</v>
      </c>
      <c r="AL141" s="1094" t="s">
        <v>965</v>
      </c>
      <c r="AM141" s="1095" t="s">
        <v>1027</v>
      </c>
      <c r="AN141" s="1006" t="s">
        <v>1039</v>
      </c>
      <c r="AO141" s="1006" t="s">
        <v>2068</v>
      </c>
      <c r="AP141" s="821">
        <v>2</v>
      </c>
      <c r="AQ141" s="1064" t="s">
        <v>966</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961</v>
      </c>
      <c r="CE141" s="1107" t="s">
        <v>961</v>
      </c>
      <c r="CF141" s="1107" t="s">
        <v>961</v>
      </c>
      <c r="CG141" s="1107" t="s">
        <v>961</v>
      </c>
      <c r="CH141" s="1108" t="s">
        <v>961</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990</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988</v>
      </c>
      <c r="AK142" s="1094" t="s">
        <v>964</v>
      </c>
      <c r="AL142" s="1094" t="s">
        <v>965</v>
      </c>
      <c r="AM142" s="1095" t="s">
        <v>1031</v>
      </c>
      <c r="AN142" s="1006" t="s">
        <v>1039</v>
      </c>
      <c r="AO142" s="1006" t="s">
        <v>431</v>
      </c>
      <c r="AP142" s="821">
        <v>2</v>
      </c>
      <c r="AQ142" s="1064" t="s">
        <v>966</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961</v>
      </c>
      <c r="CE142" s="1107" t="s">
        <v>961</v>
      </c>
      <c r="CF142" s="1107" t="s">
        <v>961</v>
      </c>
      <c r="CG142" s="1107" t="s">
        <v>961</v>
      </c>
      <c r="CH142" s="1108" t="s">
        <v>961</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990</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984</v>
      </c>
      <c r="AK143" s="1094" t="s">
        <v>964</v>
      </c>
      <c r="AL143" s="1094" t="s">
        <v>965</v>
      </c>
      <c r="AM143" s="1095" t="s">
        <v>1955</v>
      </c>
      <c r="AN143" s="1006" t="s">
        <v>2204</v>
      </c>
      <c r="AO143" s="1006" t="s">
        <v>4787</v>
      </c>
      <c r="AP143" s="1302">
        <v>2</v>
      </c>
      <c r="AQ143" s="1064" t="s">
        <v>978</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961</v>
      </c>
      <c r="CE143" s="1107" t="s">
        <v>961</v>
      </c>
      <c r="CF143" s="1107" t="s">
        <v>961</v>
      </c>
      <c r="CG143" s="1107" t="s">
        <v>961</v>
      </c>
      <c r="CH143" s="1108" t="s">
        <v>961</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990</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154</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988</v>
      </c>
      <c r="AK144" s="1094" t="s">
        <v>964</v>
      </c>
      <c r="AL144" s="1094" t="s">
        <v>965</v>
      </c>
      <c r="AM144" s="1095" t="s">
        <v>1923</v>
      </c>
      <c r="AN144" s="1006" t="s">
        <v>4781</v>
      </c>
      <c r="AO144" s="1006" t="s">
        <v>4782</v>
      </c>
      <c r="AP144" s="1302">
        <v>0</v>
      </c>
      <c r="AQ144" s="1064" t="s">
        <v>978</v>
      </c>
      <c r="AR144" s="1097" t="s">
        <v>154</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961</v>
      </c>
      <c r="CE144" s="1107" t="s">
        <v>961</v>
      </c>
      <c r="CF144" s="1107" t="s">
        <v>961</v>
      </c>
      <c r="CG144" s="1107" t="s">
        <v>961</v>
      </c>
      <c r="CH144" s="1108" t="s">
        <v>961</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990</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988</v>
      </c>
      <c r="AK145" s="1055" t="s">
        <v>964</v>
      </c>
      <c r="AL145" s="1055" t="s">
        <v>965</v>
      </c>
      <c r="AM145" s="1056" t="s">
        <v>629</v>
      </c>
      <c r="AN145" s="1050" t="s">
        <v>293</v>
      </c>
      <c r="AO145" s="1050" t="s">
        <v>4783</v>
      </c>
      <c r="AP145" s="1068">
        <v>1</v>
      </c>
      <c r="AQ145" s="821" t="s">
        <v>966</v>
      </c>
      <c r="AR145" s="1059" t="s">
        <v>629</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961</v>
      </c>
      <c r="CE145" s="1073" t="s">
        <v>961</v>
      </c>
      <c r="CF145" s="1073" t="s">
        <v>961</v>
      </c>
      <c r="CG145" s="1073" t="s">
        <v>961</v>
      </c>
      <c r="CH145" s="1074" t="s">
        <v>961</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395" t="s">
        <v>4797</v>
      </c>
      <c r="DD145" s="1395" t="s">
        <v>4797</v>
      </c>
      <c r="DE145" s="1395" t="s">
        <v>4797</v>
      </c>
      <c r="DF145" s="1395" t="s">
        <v>4797</v>
      </c>
      <c r="DG145" s="1395"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990</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988</v>
      </c>
      <c r="AK146" s="1055" t="s">
        <v>964</v>
      </c>
      <c r="AL146" s="1055" t="s">
        <v>965</v>
      </c>
      <c r="AM146" s="1056" t="s">
        <v>629</v>
      </c>
      <c r="AN146" s="1050" t="s">
        <v>293</v>
      </c>
      <c r="AO146" s="1050" t="s">
        <v>4783</v>
      </c>
      <c r="AP146" s="1068">
        <v>1</v>
      </c>
      <c r="AQ146" s="821" t="s">
        <v>966</v>
      </c>
      <c r="AR146" s="1059" t="s">
        <v>629</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961</v>
      </c>
      <c r="CE146" s="1073" t="s">
        <v>961</v>
      </c>
      <c r="CF146" s="1073" t="s">
        <v>961</v>
      </c>
      <c r="CG146" s="1073" t="s">
        <v>961</v>
      </c>
      <c r="CH146" s="1074" t="s">
        <v>961</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395" t="s">
        <v>4797</v>
      </c>
      <c r="DD146" s="1395" t="s">
        <v>4797</v>
      </c>
      <c r="DE146" s="1395" t="s">
        <v>4797</v>
      </c>
      <c r="DF146" s="1395" t="s">
        <v>4797</v>
      </c>
      <c r="DG146" s="1395"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990</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988</v>
      </c>
      <c r="AK147" s="1055" t="s">
        <v>964</v>
      </c>
      <c r="AL147" s="1414" t="s">
        <v>977</v>
      </c>
      <c r="AM147" s="1056" t="s">
        <v>2083</v>
      </c>
      <c r="AN147" s="1050" t="s">
        <v>2147</v>
      </c>
      <c r="AO147" s="1050" t="s">
        <v>4783</v>
      </c>
      <c r="AP147" s="1068">
        <v>1</v>
      </c>
      <c r="AQ147" s="821" t="s">
        <v>966</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961</v>
      </c>
      <c r="CE147" s="1073" t="s">
        <v>961</v>
      </c>
      <c r="CF147" s="1073" t="s">
        <v>961</v>
      </c>
      <c r="CG147" s="1073" t="s">
        <v>961</v>
      </c>
      <c r="CH147" s="1074" t="s">
        <v>961</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990</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687</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988</v>
      </c>
      <c r="AK148" s="1094" t="s">
        <v>964</v>
      </c>
      <c r="AL148" s="1094" t="s">
        <v>965</v>
      </c>
      <c r="AM148" s="1095" t="s">
        <v>2087</v>
      </c>
      <c r="AN148" s="1006" t="s">
        <v>2204</v>
      </c>
      <c r="AO148" s="1006" t="s">
        <v>4477</v>
      </c>
      <c r="AP148" s="1302">
        <v>2</v>
      </c>
      <c r="AQ148" s="1064" t="s">
        <v>978</v>
      </c>
      <c r="AR148" s="1097" t="s">
        <v>687</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961</v>
      </c>
      <c r="CE148" s="1107" t="s">
        <v>961</v>
      </c>
      <c r="CF148" s="1107" t="s">
        <v>961</v>
      </c>
      <c r="CG148" s="1107" t="s">
        <v>961</v>
      </c>
      <c r="CH148" s="1108" t="s">
        <v>961</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990</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689</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988</v>
      </c>
      <c r="AK149" s="1094" t="s">
        <v>964</v>
      </c>
      <c r="AL149" s="1094" t="s">
        <v>965</v>
      </c>
      <c r="AM149" s="1095" t="s">
        <v>689</v>
      </c>
      <c r="AN149" s="1006" t="s">
        <v>2204</v>
      </c>
      <c r="AO149" s="1006" t="s">
        <v>4798</v>
      </c>
      <c r="AP149" s="1302">
        <v>2</v>
      </c>
      <c r="AQ149" s="1064" t="s">
        <v>978</v>
      </c>
      <c r="AR149" s="1097" t="s">
        <v>689</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961</v>
      </c>
      <c r="CE149" s="1107" t="s">
        <v>961</v>
      </c>
      <c r="CF149" s="1107" t="s">
        <v>961</v>
      </c>
      <c r="CG149" s="1107" t="s">
        <v>961</v>
      </c>
      <c r="CH149" s="1108" t="s">
        <v>961</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990</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499</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963</v>
      </c>
      <c r="AK150" s="1094" t="s">
        <v>1971</v>
      </c>
      <c r="AL150" s="1094" t="s">
        <v>1971</v>
      </c>
      <c r="AM150" s="1095" t="s">
        <v>2536</v>
      </c>
      <c r="AN150" s="1006" t="s">
        <v>293</v>
      </c>
      <c r="AO150" s="1006" t="s">
        <v>4784</v>
      </c>
      <c r="AP150" s="1302">
        <v>1</v>
      </c>
      <c r="AQ150" s="1064" t="s">
        <v>978</v>
      </c>
      <c r="AR150" s="1097" t="s">
        <v>499</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990</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778</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963</v>
      </c>
      <c r="AK151" s="1094" t="s">
        <v>1971</v>
      </c>
      <c r="AL151" s="1094" t="s">
        <v>1971</v>
      </c>
      <c r="AM151" s="1095" t="s">
        <v>2087</v>
      </c>
      <c r="AN151" s="1006" t="s">
        <v>293</v>
      </c>
      <c r="AO151" s="1006" t="s">
        <v>4784</v>
      </c>
      <c r="AP151" s="1302">
        <v>2</v>
      </c>
      <c r="AQ151" s="1064" t="s">
        <v>978</v>
      </c>
      <c r="AR151" s="1097" t="s">
        <v>778</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990</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178</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988</v>
      </c>
      <c r="AK152" s="1094" t="s">
        <v>964</v>
      </c>
      <c r="AL152" s="1094" t="s">
        <v>965</v>
      </c>
      <c r="AM152" s="1095" t="s">
        <v>1949</v>
      </c>
      <c r="AN152" s="1006" t="s">
        <v>2204</v>
      </c>
      <c r="AO152" s="1006" t="s">
        <v>4786</v>
      </c>
      <c r="AP152" s="1302">
        <v>1</v>
      </c>
      <c r="AQ152" s="1064" t="s">
        <v>978</v>
      </c>
      <c r="AR152" s="1097" t="s">
        <v>178</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961</v>
      </c>
      <c r="CE152" s="1107" t="s">
        <v>961</v>
      </c>
      <c r="CF152" s="1107" t="s">
        <v>961</v>
      </c>
      <c r="CG152" s="1107" t="s">
        <v>961</v>
      </c>
      <c r="CH152" s="1108" t="s">
        <v>961</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990</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184</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984</v>
      </c>
      <c r="AK153" s="1094" t="s">
        <v>964</v>
      </c>
      <c r="AL153" s="1094" t="s">
        <v>965</v>
      </c>
      <c r="AM153" s="1095" t="s">
        <v>1944</v>
      </c>
      <c r="AN153" s="1006" t="s">
        <v>293</v>
      </c>
      <c r="AO153" s="1006" t="s">
        <v>4785</v>
      </c>
      <c r="AP153" s="1302">
        <v>2</v>
      </c>
      <c r="AQ153" s="1064" t="s">
        <v>978</v>
      </c>
      <c r="AR153" s="1097" t="s">
        <v>184</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961</v>
      </c>
      <c r="CE153" s="1107" t="s">
        <v>961</v>
      </c>
      <c r="CF153" s="1107" t="s">
        <v>961</v>
      </c>
      <c r="CG153" s="1107" t="s">
        <v>961</v>
      </c>
      <c r="CH153" s="1108" t="s">
        <v>961</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990</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693</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984</v>
      </c>
      <c r="AK154" s="1094" t="s">
        <v>964</v>
      </c>
      <c r="AL154" s="1094" t="s">
        <v>965</v>
      </c>
      <c r="AM154" s="1095" t="s">
        <v>1949</v>
      </c>
      <c r="AN154" s="1006" t="s">
        <v>2204</v>
      </c>
      <c r="AO154" s="1006" t="s">
        <v>4799</v>
      </c>
      <c r="AP154" s="1302">
        <v>2</v>
      </c>
      <c r="AQ154" s="1064" t="s">
        <v>978</v>
      </c>
      <c r="AR154" s="1097" t="s">
        <v>693</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961</v>
      </c>
      <c r="CE154" s="1107" t="s">
        <v>961</v>
      </c>
      <c r="CF154" s="1107" t="s">
        <v>961</v>
      </c>
      <c r="CG154" s="1107" t="s">
        <v>961</v>
      </c>
      <c r="CH154" s="1108" t="s">
        <v>961</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990</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1016</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984</v>
      </c>
      <c r="AK155" s="1094" t="s">
        <v>964</v>
      </c>
      <c r="AL155" s="1094" t="s">
        <v>965</v>
      </c>
      <c r="AM155" s="1095" t="s">
        <v>2557</v>
      </c>
      <c r="AN155" s="1006" t="s">
        <v>293</v>
      </c>
      <c r="AO155" s="1006" t="s">
        <v>2472</v>
      </c>
      <c r="AP155" s="1302">
        <v>2</v>
      </c>
      <c r="AQ155" s="1064" t="s">
        <v>966</v>
      </c>
      <c r="AR155" s="1097" t="s">
        <v>1016</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961</v>
      </c>
      <c r="CE155" s="1107" t="s">
        <v>961</v>
      </c>
      <c r="CF155" s="1107" t="s">
        <v>961</v>
      </c>
      <c r="CG155" s="1107" t="s">
        <v>961</v>
      </c>
      <c r="CH155" s="1108" t="s">
        <v>961</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990</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963</v>
      </c>
      <c r="AK156" s="1094" t="s">
        <v>1971</v>
      </c>
      <c r="AL156" s="1094" t="s">
        <v>1971</v>
      </c>
      <c r="AM156" s="1095" t="s">
        <v>2146</v>
      </c>
      <c r="AN156" s="1006" t="s">
        <v>991</v>
      </c>
      <c r="AO156" s="1006" t="s">
        <v>2564</v>
      </c>
      <c r="AP156" s="821">
        <v>1</v>
      </c>
      <c r="AQ156" s="1064" t="s">
        <v>966</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990</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963</v>
      </c>
      <c r="AK157" s="1094" t="s">
        <v>1971</v>
      </c>
      <c r="AL157" s="1094" t="s">
        <v>1971</v>
      </c>
      <c r="AM157" s="1095" t="s">
        <v>2423</v>
      </c>
      <c r="AN157" s="1006" t="s">
        <v>293</v>
      </c>
      <c r="AO157" s="1006" t="s">
        <v>2569</v>
      </c>
      <c r="AP157" s="821">
        <v>1</v>
      </c>
      <c r="AQ157" s="1064" t="s">
        <v>966</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990</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963</v>
      </c>
      <c r="AK158" s="1094" t="s">
        <v>1971</v>
      </c>
      <c r="AL158" s="1094" t="s">
        <v>1971</v>
      </c>
      <c r="AM158" s="1095" t="s">
        <v>1976</v>
      </c>
      <c r="AN158" s="1006" t="s">
        <v>991</v>
      </c>
      <c r="AO158" s="1006" t="s">
        <v>2575</v>
      </c>
      <c r="AP158" s="821">
        <v>2</v>
      </c>
      <c r="AQ158" s="1064" t="s">
        <v>978</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990</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988</v>
      </c>
      <c r="AK159" s="1094" t="s">
        <v>964</v>
      </c>
      <c r="AL159" s="1094" t="s">
        <v>965</v>
      </c>
      <c r="AM159" s="1095" t="s">
        <v>2264</v>
      </c>
      <c r="AN159" s="1006" t="s">
        <v>991</v>
      </c>
      <c r="AO159" s="1006" t="s">
        <v>2580</v>
      </c>
      <c r="AP159" s="821">
        <v>1</v>
      </c>
      <c r="AQ159" s="1064" t="s">
        <v>978</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990</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963</v>
      </c>
      <c r="AK160" s="1094" t="s">
        <v>1971</v>
      </c>
      <c r="AL160" s="1094" t="s">
        <v>1971</v>
      </c>
      <c r="AM160" s="1095" t="s">
        <v>2146</v>
      </c>
      <c r="AN160" s="1006" t="s">
        <v>991</v>
      </c>
      <c r="AO160" s="1006" t="s">
        <v>2586</v>
      </c>
      <c r="AP160" s="821">
        <v>1</v>
      </c>
      <c r="AQ160" s="1064" t="s">
        <v>966</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990</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963</v>
      </c>
      <c r="AK161" s="1094" t="s">
        <v>1971</v>
      </c>
      <c r="AL161" s="1094" t="s">
        <v>1971</v>
      </c>
      <c r="AM161" s="1095" t="s">
        <v>2146</v>
      </c>
      <c r="AN161" s="1006" t="s">
        <v>293</v>
      </c>
      <c r="AO161" s="1006" t="s">
        <v>2591</v>
      </c>
      <c r="AP161" s="821">
        <v>2</v>
      </c>
      <c r="AQ161" s="1064" t="s">
        <v>978</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990</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963</v>
      </c>
      <c r="AK162" s="1094" t="s">
        <v>1971</v>
      </c>
      <c r="AL162" s="1094" t="s">
        <v>1971</v>
      </c>
      <c r="AM162" s="1095" t="s">
        <v>2146</v>
      </c>
      <c r="AN162" s="1006" t="s">
        <v>293</v>
      </c>
      <c r="AO162" s="1006" t="s">
        <v>2597</v>
      </c>
      <c r="AP162" s="821">
        <v>1</v>
      </c>
      <c r="AQ162" s="1064" t="s">
        <v>966</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990</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988</v>
      </c>
      <c r="AK163" s="1094" t="s">
        <v>964</v>
      </c>
      <c r="AL163" s="1094" t="s">
        <v>965</v>
      </c>
      <c r="AM163" s="1095" t="s">
        <v>2146</v>
      </c>
      <c r="AN163" s="1006" t="s">
        <v>293</v>
      </c>
      <c r="AO163" s="1006" t="s">
        <v>2602</v>
      </c>
      <c r="AP163" s="821">
        <v>2</v>
      </c>
      <c r="AQ163" s="1064" t="s">
        <v>978</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990</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988</v>
      </c>
      <c r="AK164" s="1094" t="s">
        <v>964</v>
      </c>
      <c r="AL164" s="1094" t="s">
        <v>965</v>
      </c>
      <c r="AM164" s="1095" t="s">
        <v>1923</v>
      </c>
      <c r="AN164" s="1006" t="s">
        <v>991</v>
      </c>
      <c r="AO164" s="1006" t="s">
        <v>2607</v>
      </c>
      <c r="AP164" s="821">
        <v>0</v>
      </c>
      <c r="AQ164" s="1064" t="s">
        <v>978</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990</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988</v>
      </c>
      <c r="AK165" s="1094" t="s">
        <v>964</v>
      </c>
      <c r="AL165" s="1094" t="s">
        <v>965</v>
      </c>
      <c r="AM165" s="1095" t="s">
        <v>2178</v>
      </c>
      <c r="AN165" s="1006" t="s">
        <v>410</v>
      </c>
      <c r="AO165" s="1006" t="s">
        <v>4790</v>
      </c>
      <c r="AP165" s="1302">
        <v>2</v>
      </c>
      <c r="AQ165" s="1064" t="s">
        <v>978</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990</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988</v>
      </c>
      <c r="AK166" s="1094" t="s">
        <v>964</v>
      </c>
      <c r="AL166" s="1094" t="s">
        <v>965</v>
      </c>
      <c r="AM166" s="1095" t="s">
        <v>2178</v>
      </c>
      <c r="AN166" s="1006" t="s">
        <v>410</v>
      </c>
      <c r="AO166" s="1006" t="s">
        <v>4790</v>
      </c>
      <c r="AP166" s="1302">
        <v>2</v>
      </c>
      <c r="AQ166" s="1064" t="s">
        <v>978</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990</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984</v>
      </c>
      <c r="AK167" s="1094" t="s">
        <v>964</v>
      </c>
      <c r="AL167" s="1094" t="s">
        <v>965</v>
      </c>
      <c r="AM167" s="1095" t="s">
        <v>1939</v>
      </c>
      <c r="AN167" s="1006" t="s">
        <v>991</v>
      </c>
      <c r="AO167" s="1006" t="s">
        <v>2622</v>
      </c>
      <c r="AP167" s="821">
        <v>3</v>
      </c>
      <c r="AQ167" s="1064" t="s">
        <v>978</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990</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988</v>
      </c>
      <c r="AK168" s="1094" t="s">
        <v>964</v>
      </c>
      <c r="AL168" s="1094" t="s">
        <v>965</v>
      </c>
      <c r="AM168" s="1095" t="s">
        <v>1923</v>
      </c>
      <c r="AN168" s="1006" t="s">
        <v>2147</v>
      </c>
      <c r="AO168" s="1006" t="s">
        <v>2627</v>
      </c>
      <c r="AP168" s="821">
        <v>1</v>
      </c>
      <c r="AQ168" s="1064" t="s">
        <v>978</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990</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988</v>
      </c>
      <c r="AK169" s="1094" t="s">
        <v>964</v>
      </c>
      <c r="AL169" s="1094" t="s">
        <v>965</v>
      </c>
      <c r="AM169" s="1095" t="s">
        <v>1949</v>
      </c>
      <c r="AN169" s="1006" t="s">
        <v>2204</v>
      </c>
      <c r="AO169" s="1006" t="s">
        <v>4814</v>
      </c>
      <c r="AP169" s="821">
        <v>2</v>
      </c>
      <c r="AQ169" s="1064" t="s">
        <v>978</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990</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988</v>
      </c>
      <c r="AK170" s="1094" t="s">
        <v>964</v>
      </c>
      <c r="AL170" s="1094" t="s">
        <v>965</v>
      </c>
      <c r="AM170" s="1095" t="s">
        <v>2087</v>
      </c>
      <c r="AN170" s="1006" t="s">
        <v>2204</v>
      </c>
      <c r="AO170" s="1006" t="s">
        <v>4477</v>
      </c>
      <c r="AP170" s="821">
        <v>0</v>
      </c>
      <c r="AQ170" s="1064" t="s">
        <v>978</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990</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988</v>
      </c>
      <c r="AK171" s="1094" t="s">
        <v>964</v>
      </c>
      <c r="AL171" s="1094" t="s">
        <v>965</v>
      </c>
      <c r="AM171" s="1095" t="s">
        <v>2087</v>
      </c>
      <c r="AN171" s="1006" t="s">
        <v>991</v>
      </c>
      <c r="AO171" s="1006" t="s">
        <v>2640</v>
      </c>
      <c r="AP171" s="821">
        <v>1</v>
      </c>
      <c r="AQ171" s="1064" t="s">
        <v>978</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990</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988</v>
      </c>
      <c r="AK172" s="1094" t="s">
        <v>964</v>
      </c>
      <c r="AL172" s="1094" t="s">
        <v>965</v>
      </c>
      <c r="AM172" s="1095" t="s">
        <v>2008</v>
      </c>
      <c r="AN172" s="1006" t="s">
        <v>991</v>
      </c>
      <c r="AO172" s="1006" t="s">
        <v>2338</v>
      </c>
      <c r="AP172" s="821" t="s">
        <v>991</v>
      </c>
      <c r="AQ172" s="1064" t="s">
        <v>978</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990</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988</v>
      </c>
      <c r="AK173" s="1094" t="s">
        <v>964</v>
      </c>
      <c r="AL173" s="1094" t="s">
        <v>965</v>
      </c>
      <c r="AM173" s="1095" t="s">
        <v>2135</v>
      </c>
      <c r="AN173" s="1006" t="s">
        <v>293</v>
      </c>
      <c r="AO173" s="1006" t="s">
        <v>2649</v>
      </c>
      <c r="AP173" s="821">
        <v>2</v>
      </c>
      <c r="AQ173" s="1064" t="s">
        <v>966</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990</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988</v>
      </c>
      <c r="AK174" s="1094" t="s">
        <v>964</v>
      </c>
      <c r="AL174" s="1094" t="s">
        <v>965</v>
      </c>
      <c r="AM174" s="1095" t="s">
        <v>2135</v>
      </c>
      <c r="AN174" s="1006" t="s">
        <v>991</v>
      </c>
      <c r="AO174" s="1006" t="s">
        <v>2655</v>
      </c>
      <c r="AP174" s="821">
        <v>1</v>
      </c>
      <c r="AQ174" s="1064" t="s">
        <v>966</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990</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988</v>
      </c>
      <c r="AK175" s="1094" t="s">
        <v>964</v>
      </c>
      <c r="AL175" s="1094" t="s">
        <v>965</v>
      </c>
      <c r="AM175" s="1095" t="s">
        <v>2161</v>
      </c>
      <c r="AN175" s="1006" t="s">
        <v>2660</v>
      </c>
      <c r="AO175" s="1006" t="s">
        <v>2661</v>
      </c>
      <c r="AP175" s="821">
        <v>0</v>
      </c>
      <c r="AQ175" s="1064" t="s">
        <v>978</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990</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963</v>
      </c>
      <c r="AK176" s="1094" t="s">
        <v>1971</v>
      </c>
      <c r="AL176" s="1094" t="s">
        <v>1971</v>
      </c>
      <c r="AM176" s="1095" t="s">
        <v>711</v>
      </c>
      <c r="AN176" s="1006" t="s">
        <v>293</v>
      </c>
      <c r="AO176" s="1006" t="s">
        <v>2666</v>
      </c>
      <c r="AP176" s="821">
        <v>1</v>
      </c>
      <c r="AQ176" s="1064" t="s">
        <v>966</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990</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963</v>
      </c>
      <c r="AK177" s="1094" t="s">
        <v>1971</v>
      </c>
      <c r="AL177" s="1094" t="s">
        <v>1971</v>
      </c>
      <c r="AM177" s="1095" t="s">
        <v>2146</v>
      </c>
      <c r="AN177" s="1006" t="s">
        <v>991</v>
      </c>
      <c r="AO177" s="1006" t="s">
        <v>2564</v>
      </c>
      <c r="AP177" s="821">
        <v>1</v>
      </c>
      <c r="AQ177" s="1064" t="s">
        <v>966</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990</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963</v>
      </c>
      <c r="AK178" s="1094" t="s">
        <v>1971</v>
      </c>
      <c r="AL178" s="1094" t="s">
        <v>1971</v>
      </c>
      <c r="AM178" s="1095" t="s">
        <v>2423</v>
      </c>
      <c r="AN178" s="1006" t="s">
        <v>293</v>
      </c>
      <c r="AO178" s="1006" t="s">
        <v>2675</v>
      </c>
      <c r="AP178" s="821">
        <v>1</v>
      </c>
      <c r="AQ178" s="1064" t="s">
        <v>966</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990</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658</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963</v>
      </c>
      <c r="AK179" s="1094" t="s">
        <v>1971</v>
      </c>
      <c r="AL179" s="1094" t="s">
        <v>1971</v>
      </c>
      <c r="AM179" s="1095" t="s">
        <v>2058</v>
      </c>
      <c r="AN179" s="1006" t="s">
        <v>293</v>
      </c>
      <c r="AO179" s="1006" t="s">
        <v>4791</v>
      </c>
      <c r="AP179" s="1302">
        <v>1</v>
      </c>
      <c r="AQ179" s="1064" t="s">
        <v>966</v>
      </c>
      <c r="AR179" s="1097" t="s">
        <v>658</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990</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963</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990</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984</v>
      </c>
      <c r="AK181" s="1094" t="s">
        <v>964</v>
      </c>
      <c r="AL181" s="1094" t="s">
        <v>977</v>
      </c>
      <c r="AM181" s="1095" t="s">
        <v>1939</v>
      </c>
      <c r="AN181" s="1006" t="s">
        <v>293</v>
      </c>
      <c r="AO181" s="1006" t="s">
        <v>2689</v>
      </c>
      <c r="AP181" s="821">
        <v>1</v>
      </c>
      <c r="AQ181" s="1064" t="s">
        <v>966</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990</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984</v>
      </c>
      <c r="AK182" s="1094" t="s">
        <v>964</v>
      </c>
      <c r="AL182" s="1094" t="s">
        <v>965</v>
      </c>
      <c r="AM182" s="1095" t="s">
        <v>1955</v>
      </c>
      <c r="AN182" s="1006" t="s">
        <v>293</v>
      </c>
      <c r="AO182" s="1006" t="s">
        <v>2689</v>
      </c>
      <c r="AP182" s="821">
        <v>1</v>
      </c>
      <c r="AQ182" s="1064" t="s">
        <v>966</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990</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984</v>
      </c>
      <c r="AK183" s="1094" t="s">
        <v>964</v>
      </c>
      <c r="AL183" s="1094" t="s">
        <v>965</v>
      </c>
      <c r="AM183" s="1095" t="s">
        <v>2698</v>
      </c>
      <c r="AN183" s="1006" t="s">
        <v>293</v>
      </c>
      <c r="AO183" s="1006" t="s">
        <v>2689</v>
      </c>
      <c r="AP183" s="821">
        <v>1</v>
      </c>
      <c r="AQ183" s="1064" t="s">
        <v>966</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990</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984</v>
      </c>
      <c r="AK184" s="1094" t="s">
        <v>964</v>
      </c>
      <c r="AL184" s="1094" t="s">
        <v>977</v>
      </c>
      <c r="AM184" s="1095" t="s">
        <v>1939</v>
      </c>
      <c r="AN184" s="1006" t="s">
        <v>1030</v>
      </c>
      <c r="AO184" s="1006" t="s">
        <v>2701</v>
      </c>
      <c r="AP184" s="821">
        <v>0</v>
      </c>
      <c r="AQ184" s="1874" t="s">
        <v>966</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990</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984</v>
      </c>
      <c r="AK185" s="1094" t="s">
        <v>964</v>
      </c>
      <c r="AL185" s="1094" t="s">
        <v>965</v>
      </c>
      <c r="AM185" s="1095" t="s">
        <v>1939</v>
      </c>
      <c r="AN185" s="1006" t="s">
        <v>293</v>
      </c>
      <c r="AO185" s="1006" t="s">
        <v>2689</v>
      </c>
      <c r="AP185" s="821">
        <v>1</v>
      </c>
      <c r="AQ185" s="1064" t="s">
        <v>966</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990</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963</v>
      </c>
      <c r="AK186" s="1094" t="s">
        <v>1971</v>
      </c>
      <c r="AL186" s="1094" t="s">
        <v>1971</v>
      </c>
      <c r="AM186" s="1095" t="s">
        <v>2058</v>
      </c>
      <c r="AN186" s="1006" t="s">
        <v>991</v>
      </c>
      <c r="AO186" s="1006" t="s">
        <v>2709</v>
      </c>
      <c r="AP186" s="821">
        <v>1</v>
      </c>
      <c r="AQ186" s="1064" t="s">
        <v>966</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990</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963</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990</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984</v>
      </c>
      <c r="AK188" s="1094" t="s">
        <v>964</v>
      </c>
      <c r="AL188" s="1094" t="s">
        <v>965</v>
      </c>
      <c r="AM188" s="1095" t="s">
        <v>1971</v>
      </c>
      <c r="AN188" s="1006" t="s">
        <v>1971</v>
      </c>
      <c r="AO188" s="1006" t="s">
        <v>2713</v>
      </c>
      <c r="AP188" s="1302">
        <v>0</v>
      </c>
      <c r="AQ188" s="1064" t="s">
        <v>966</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990</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customHeight="1">
      <c r="A190" s="1042" t="s">
        <v>1026</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629</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988</v>
      </c>
      <c r="AK190" s="1055" t="s">
        <v>964</v>
      </c>
      <c r="AL190" s="1055" t="s">
        <v>965</v>
      </c>
      <c r="AM190" s="1056" t="s">
        <v>629</v>
      </c>
      <c r="AN190" s="1050" t="s">
        <v>293</v>
      </c>
      <c r="AO190" s="1050" t="s">
        <v>4783</v>
      </c>
      <c r="AP190" s="1295">
        <v>1</v>
      </c>
      <c r="AQ190" s="821" t="s">
        <v>966</v>
      </c>
      <c r="AR190" s="1059" t="s">
        <v>629</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961</v>
      </c>
      <c r="CE190" s="1073" t="s">
        <v>961</v>
      </c>
      <c r="CF190" s="1073" t="s">
        <v>961</v>
      </c>
      <c r="CG190" s="1073" t="s">
        <v>961</v>
      </c>
      <c r="CH190" s="1074" t="s">
        <v>961</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1026</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988</v>
      </c>
      <c r="AK191" s="1055" t="s">
        <v>964</v>
      </c>
      <c r="AL191" s="1414" t="s">
        <v>977</v>
      </c>
      <c r="AM191" s="1056" t="s">
        <v>2083</v>
      </c>
      <c r="AN191" s="1050" t="s">
        <v>2147</v>
      </c>
      <c r="AO191" s="1050" t="s">
        <v>4783</v>
      </c>
      <c r="AP191" s="1295">
        <v>1</v>
      </c>
      <c r="AQ191" s="821" t="s">
        <v>966</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961</v>
      </c>
      <c r="CE191" s="1073" t="s">
        <v>961</v>
      </c>
      <c r="CF191" s="1073" t="s">
        <v>961</v>
      </c>
      <c r="CG191" s="1073" t="s">
        <v>961</v>
      </c>
      <c r="CH191" s="1074" t="s">
        <v>961</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1026</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984</v>
      </c>
      <c r="AK192" s="1094" t="s">
        <v>964</v>
      </c>
      <c r="AL192" s="1094" t="s">
        <v>965</v>
      </c>
      <c r="AM192" s="1095" t="s">
        <v>1955</v>
      </c>
      <c r="AN192" s="1006" t="s">
        <v>2204</v>
      </c>
      <c r="AO192" s="1006" t="s">
        <v>4787</v>
      </c>
      <c r="AP192" s="1296">
        <v>2</v>
      </c>
      <c r="AQ192" s="1064" t="s">
        <v>978</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961</v>
      </c>
      <c r="CE192" s="1107" t="s">
        <v>961</v>
      </c>
      <c r="CF192" s="1107" t="s">
        <v>961</v>
      </c>
      <c r="CG192" s="1107" t="s">
        <v>961</v>
      </c>
      <c r="CH192" s="1108" t="s">
        <v>961</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1026</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154</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988</v>
      </c>
      <c r="AK193" s="1094" t="s">
        <v>964</v>
      </c>
      <c r="AL193" s="1094" t="s">
        <v>965</v>
      </c>
      <c r="AM193" s="1095" t="s">
        <v>1923</v>
      </c>
      <c r="AN193" s="1006" t="s">
        <v>4781</v>
      </c>
      <c r="AO193" s="1006" t="s">
        <v>4782</v>
      </c>
      <c r="AP193" s="1296">
        <v>0</v>
      </c>
      <c r="AQ193" s="1064" t="s">
        <v>978</v>
      </c>
      <c r="AR193" s="1097" t="s">
        <v>154</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961</v>
      </c>
      <c r="CE193" s="1107" t="s">
        <v>961</v>
      </c>
      <c r="CF193" s="1107" t="s">
        <v>961</v>
      </c>
      <c r="CG193" s="1107" t="s">
        <v>961</v>
      </c>
      <c r="CH193" s="1108" t="s">
        <v>961</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35">
        <v>1.9328703703703704E-3</v>
      </c>
      <c r="DD193" s="1335">
        <v>1.712962962962963E-3</v>
      </c>
      <c r="DE193" s="1335">
        <v>1.5046296296296294E-3</v>
      </c>
      <c r="DF193" s="1335">
        <v>1.2962962962962963E-3</v>
      </c>
      <c r="DG193" s="1335">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1026</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178</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984</v>
      </c>
      <c r="AK194" s="1094" t="s">
        <v>964</v>
      </c>
      <c r="AL194" s="1094" t="s">
        <v>965</v>
      </c>
      <c r="AM194" s="1095" t="s">
        <v>2103</v>
      </c>
      <c r="AN194" s="1006" t="s">
        <v>2204</v>
      </c>
      <c r="AO194" s="1006" t="s">
        <v>4786</v>
      </c>
      <c r="AP194" s="1296">
        <v>1</v>
      </c>
      <c r="AQ194" s="1064" t="s">
        <v>978</v>
      </c>
      <c r="AR194" s="1097" t="s">
        <v>178</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961</v>
      </c>
      <c r="CE194" s="1107" t="s">
        <v>961</v>
      </c>
      <c r="CF194" s="1107" t="s">
        <v>961</v>
      </c>
      <c r="CG194" s="1107" t="s">
        <v>961</v>
      </c>
      <c r="CH194" s="1108" t="s">
        <v>961</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1026</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184</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984</v>
      </c>
      <c r="AK195" s="1094" t="s">
        <v>964</v>
      </c>
      <c r="AL195" s="1094" t="s">
        <v>965</v>
      </c>
      <c r="AM195" s="1095" t="s">
        <v>2114</v>
      </c>
      <c r="AN195" s="1006" t="s">
        <v>293</v>
      </c>
      <c r="AO195" s="1006" t="s">
        <v>4785</v>
      </c>
      <c r="AP195" s="1296">
        <v>2</v>
      </c>
      <c r="AQ195" s="1064" t="s">
        <v>978</v>
      </c>
      <c r="AR195" s="1097" t="s">
        <v>184</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961</v>
      </c>
      <c r="CE195" s="1107" t="s">
        <v>961</v>
      </c>
      <c r="CF195" s="1107" t="s">
        <v>961</v>
      </c>
      <c r="CG195" s="1107" t="s">
        <v>961</v>
      </c>
      <c r="CH195" s="1108" t="s">
        <v>961</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1026</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984</v>
      </c>
      <c r="AK196" s="1094" t="s">
        <v>964</v>
      </c>
      <c r="AL196" s="1094" t="s">
        <v>965</v>
      </c>
      <c r="AM196" s="1095" t="s">
        <v>2178</v>
      </c>
      <c r="AN196" s="1006" t="s">
        <v>410</v>
      </c>
      <c r="AO196" s="1006" t="s">
        <v>4790</v>
      </c>
      <c r="AP196" s="1296">
        <v>2</v>
      </c>
      <c r="AQ196" s="1064" t="s">
        <v>978</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customHeight="1">
      <c r="A197" s="1085" t="s">
        <v>1026</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984</v>
      </c>
      <c r="AK197" s="1094" t="s">
        <v>964</v>
      </c>
      <c r="AL197" s="1094" t="s">
        <v>965</v>
      </c>
      <c r="AM197" s="1095" t="s">
        <v>2014</v>
      </c>
      <c r="AN197" s="1006" t="s">
        <v>2204</v>
      </c>
      <c r="AO197" s="1006" t="s">
        <v>4788</v>
      </c>
      <c r="AP197" s="1263">
        <v>0</v>
      </c>
      <c r="AQ197" s="1064" t="s">
        <v>978</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customHeight="1">
      <c r="A198" s="1085" t="s">
        <v>1026</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988</v>
      </c>
      <c r="AK198" s="1094" t="s">
        <v>964</v>
      </c>
      <c r="AL198" s="1094" t="s">
        <v>965</v>
      </c>
      <c r="AM198" s="1095" t="s">
        <v>1996</v>
      </c>
      <c r="AN198" s="1006" t="s">
        <v>991</v>
      </c>
      <c r="AO198" s="1006" t="s">
        <v>2761</v>
      </c>
      <c r="AP198" s="1263">
        <v>0</v>
      </c>
      <c r="AQ198" s="1064" t="s">
        <v>966</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customHeight="1">
      <c r="A199" s="1085" t="s">
        <v>1026</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988</v>
      </c>
      <c r="AK199" s="1094" t="s">
        <v>964</v>
      </c>
      <c r="AL199" s="1094" t="s">
        <v>965</v>
      </c>
      <c r="AM199" s="1095" t="s">
        <v>2008</v>
      </c>
      <c r="AN199" s="1006" t="s">
        <v>991</v>
      </c>
      <c r="AO199" s="1006" t="s">
        <v>2009</v>
      </c>
      <c r="AP199" s="1263">
        <v>1</v>
      </c>
      <c r="AQ199" s="1064" t="s">
        <v>978</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customHeight="1">
      <c r="A200" s="1085" t="s">
        <v>1026</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988</v>
      </c>
      <c r="AK200" s="1094" t="s">
        <v>1971</v>
      </c>
      <c r="AL200" s="1094" t="s">
        <v>1971</v>
      </c>
      <c r="AM200" s="1095" t="s">
        <v>2315</v>
      </c>
      <c r="AN200" s="1006" t="s">
        <v>141</v>
      </c>
      <c r="AO200" s="1006" t="s">
        <v>2770</v>
      </c>
      <c r="AP200" s="1263">
        <v>3</v>
      </c>
      <c r="AQ200" s="1064" t="s">
        <v>966</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customHeight="1">
      <c r="A201" s="1085" t="s">
        <v>1026</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984</v>
      </c>
      <c r="AK201" s="1094" t="s">
        <v>964</v>
      </c>
      <c r="AL201" s="1094" t="s">
        <v>965</v>
      </c>
      <c r="AM201" s="1095" t="s">
        <v>2315</v>
      </c>
      <c r="AN201" s="1006" t="s">
        <v>293</v>
      </c>
      <c r="AO201" s="1006" t="s">
        <v>2775</v>
      </c>
      <c r="AP201" s="1263">
        <v>1</v>
      </c>
      <c r="AQ201" s="1064" t="s">
        <v>966</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customHeight="1">
      <c r="A202" s="1085" t="s">
        <v>1026</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988</v>
      </c>
      <c r="AK202" s="1094" t="s">
        <v>964</v>
      </c>
      <c r="AL202" s="1094" t="s">
        <v>965</v>
      </c>
      <c r="AM202" s="1095" t="s">
        <v>2781</v>
      </c>
      <c r="AN202" s="1006" t="s">
        <v>293</v>
      </c>
      <c r="AO202" s="1006" t="s">
        <v>2453</v>
      </c>
      <c r="AP202" s="1263">
        <v>2</v>
      </c>
      <c r="AQ202" s="1064" t="s">
        <v>978</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customHeight="1">
      <c r="A203" s="1085" t="s">
        <v>1026</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984</v>
      </c>
      <c r="AK203" s="1094" t="s">
        <v>964</v>
      </c>
      <c r="AL203" s="1094" t="s">
        <v>965</v>
      </c>
      <c r="AM203" s="1095" t="s">
        <v>2058</v>
      </c>
      <c r="AN203" s="1006" t="s">
        <v>991</v>
      </c>
      <c r="AO203" s="1006" t="s">
        <v>2786</v>
      </c>
      <c r="AP203" s="1263">
        <v>0</v>
      </c>
      <c r="AQ203" s="1064" t="s">
        <v>966</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customHeight="1">
      <c r="A204" s="1085" t="s">
        <v>1026</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988</v>
      </c>
      <c r="AK204" s="1094" t="s">
        <v>964</v>
      </c>
      <c r="AL204" s="1094" t="s">
        <v>965</v>
      </c>
      <c r="AM204" s="1095" t="s">
        <v>1027</v>
      </c>
      <c r="AN204" s="1006" t="s">
        <v>1039</v>
      </c>
      <c r="AO204" s="1006" t="s">
        <v>2790</v>
      </c>
      <c r="AP204" s="1263">
        <v>2</v>
      </c>
      <c r="AQ204" s="1064" t="s">
        <v>966</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961</v>
      </c>
      <c r="CE204" s="1107" t="s">
        <v>961</v>
      </c>
      <c r="CF204" s="1107" t="s">
        <v>961</v>
      </c>
      <c r="CG204" s="1107" t="s">
        <v>961</v>
      </c>
      <c r="CH204" s="1108" t="s">
        <v>961</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1026</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988</v>
      </c>
      <c r="AK205" s="1094" t="s">
        <v>964</v>
      </c>
      <c r="AL205" s="1094" t="s">
        <v>965</v>
      </c>
      <c r="AM205" s="1095" t="s">
        <v>1031</v>
      </c>
      <c r="AN205" s="1006" t="s">
        <v>1039</v>
      </c>
      <c r="AO205" s="1006" t="s">
        <v>2794</v>
      </c>
      <c r="AP205" s="1263">
        <v>2</v>
      </c>
      <c r="AQ205" s="1064" t="s">
        <v>966</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961</v>
      </c>
      <c r="CE205" s="1107" t="s">
        <v>961</v>
      </c>
      <c r="CF205" s="1107" t="s">
        <v>961</v>
      </c>
      <c r="CG205" s="1107" t="s">
        <v>961</v>
      </c>
      <c r="CH205" s="1108" t="s">
        <v>961</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1026</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963</v>
      </c>
      <c r="AK206" s="1094" t="s">
        <v>1971</v>
      </c>
      <c r="AL206" s="1094" t="s">
        <v>1971</v>
      </c>
      <c r="AM206" s="1095" t="s">
        <v>1939</v>
      </c>
      <c r="AN206" s="1006" t="s">
        <v>1041</v>
      </c>
      <c r="AO206" s="1006" t="s">
        <v>2799</v>
      </c>
      <c r="AP206" s="1263">
        <v>0</v>
      </c>
      <c r="AQ206" s="1064" t="s">
        <v>978</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customHeight="1">
      <c r="A207" s="1085" t="s">
        <v>1026</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499</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963</v>
      </c>
      <c r="AK207" s="1094" t="s">
        <v>1971</v>
      </c>
      <c r="AL207" s="1094" t="s">
        <v>1971</v>
      </c>
      <c r="AM207" s="1095" t="s">
        <v>1939</v>
      </c>
      <c r="AN207" s="1006" t="s">
        <v>293</v>
      </c>
      <c r="AO207" s="1006" t="s">
        <v>4784</v>
      </c>
      <c r="AP207" s="1296">
        <v>1</v>
      </c>
      <c r="AQ207" s="1064" t="s">
        <v>978</v>
      </c>
      <c r="AR207" s="1097" t="s">
        <v>499</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1026</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963</v>
      </c>
      <c r="AK208" s="1094" t="s">
        <v>1971</v>
      </c>
      <c r="AL208" s="1094" t="s">
        <v>1971</v>
      </c>
      <c r="AM208" s="1095" t="s">
        <v>1939</v>
      </c>
      <c r="AN208" s="1006" t="s">
        <v>991</v>
      </c>
      <c r="AO208" s="1006" t="s">
        <v>2808</v>
      </c>
      <c r="AP208" s="1263">
        <v>0</v>
      </c>
      <c r="AQ208" s="1064" t="s">
        <v>978</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customHeight="1">
      <c r="A209" s="1085" t="s">
        <v>1026</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963</v>
      </c>
      <c r="AK209" s="1094" t="s">
        <v>1971</v>
      </c>
      <c r="AL209" s="1094" t="s">
        <v>1971</v>
      </c>
      <c r="AM209" s="1095" t="s">
        <v>2161</v>
      </c>
      <c r="AN209" s="1006" t="s">
        <v>293</v>
      </c>
      <c r="AO209" s="1006" t="s">
        <v>2813</v>
      </c>
      <c r="AP209" s="1263">
        <v>1</v>
      </c>
      <c r="AQ209" s="1064" t="s">
        <v>978</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customHeight="1">
      <c r="A210" s="1085" t="s">
        <v>1026</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963</v>
      </c>
      <c r="AK210" s="1094" t="s">
        <v>1971</v>
      </c>
      <c r="AL210" s="1094" t="s">
        <v>1971</v>
      </c>
      <c r="AM210" s="1095" t="s">
        <v>2058</v>
      </c>
      <c r="AN210" s="1006" t="s">
        <v>293</v>
      </c>
      <c r="AO210" s="1006" t="s">
        <v>2819</v>
      </c>
      <c r="AP210" s="1263">
        <v>0</v>
      </c>
      <c r="AQ210" s="1064" t="s">
        <v>966</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customHeight="1">
      <c r="A211" s="1085" t="s">
        <v>1026</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963</v>
      </c>
      <c r="AK211" s="1094" t="s">
        <v>1971</v>
      </c>
      <c r="AL211" s="1094" t="s">
        <v>1971</v>
      </c>
      <c r="AM211" s="1095" t="s">
        <v>2825</v>
      </c>
      <c r="AN211" s="1006" t="s">
        <v>1041</v>
      </c>
      <c r="AO211" s="1006" t="s">
        <v>2826</v>
      </c>
      <c r="AP211" s="1263">
        <v>0</v>
      </c>
      <c r="AQ211" s="1064" t="s">
        <v>966</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customHeight="1">
      <c r="A212" s="1085" t="s">
        <v>1026</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658</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963</v>
      </c>
      <c r="AK212" s="1094" t="s">
        <v>1971</v>
      </c>
      <c r="AL212" s="1094" t="s">
        <v>1971</v>
      </c>
      <c r="AM212" s="1095" t="s">
        <v>2058</v>
      </c>
      <c r="AN212" s="1006" t="s">
        <v>293</v>
      </c>
      <c r="AO212" s="1006" t="s">
        <v>4791</v>
      </c>
      <c r="AP212" s="1296">
        <v>1</v>
      </c>
      <c r="AQ212" s="1064" t="s">
        <v>966</v>
      </c>
      <c r="AR212" s="1097" t="s">
        <v>658</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1026</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963</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customHeight="1">
      <c r="A214" s="1085" t="s">
        <v>1026</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984</v>
      </c>
      <c r="AK214" s="1094" t="s">
        <v>964</v>
      </c>
      <c r="AL214" s="1094" t="s">
        <v>965</v>
      </c>
      <c r="AM214" s="1095" t="s">
        <v>1971</v>
      </c>
      <c r="AN214" s="1006" t="s">
        <v>1971</v>
      </c>
      <c r="AO214" s="1006" t="s">
        <v>2834</v>
      </c>
      <c r="AP214" s="1264">
        <v>0</v>
      </c>
      <c r="AQ214" s="1064" t="s">
        <v>966</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customHeight="1">
      <c r="A215" s="1085" t="s">
        <v>1026</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1010</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154</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988</v>
      </c>
      <c r="AK216" s="1055" t="s">
        <v>964</v>
      </c>
      <c r="AL216" s="1055" t="s">
        <v>965</v>
      </c>
      <c r="AM216" s="1056" t="s">
        <v>1923</v>
      </c>
      <c r="AN216" s="1050" t="s">
        <v>4781</v>
      </c>
      <c r="AO216" s="1050" t="s">
        <v>4782</v>
      </c>
      <c r="AP216" s="1295">
        <v>0</v>
      </c>
      <c r="AQ216" s="1068" t="s">
        <v>978</v>
      </c>
      <c r="AR216" s="1059" t="s">
        <v>154</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961</v>
      </c>
      <c r="CE216" s="1073" t="s">
        <v>961</v>
      </c>
      <c r="CF216" s="1073" t="s">
        <v>961</v>
      </c>
      <c r="CG216" s="1073" t="s">
        <v>961</v>
      </c>
      <c r="CH216" s="1074" t="s">
        <v>961</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178</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984</v>
      </c>
      <c r="AK217" s="1094" t="s">
        <v>964</v>
      </c>
      <c r="AL217" s="1094" t="s">
        <v>965</v>
      </c>
      <c r="AM217" s="1095" t="s">
        <v>2103</v>
      </c>
      <c r="AN217" s="1006" t="s">
        <v>2204</v>
      </c>
      <c r="AO217" s="1006" t="s">
        <v>4786</v>
      </c>
      <c r="AP217" s="1296">
        <v>1</v>
      </c>
      <c r="AQ217" s="1064" t="s">
        <v>978</v>
      </c>
      <c r="AR217" s="1097" t="s">
        <v>178</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961</v>
      </c>
      <c r="CE217" s="1107" t="s">
        <v>961</v>
      </c>
      <c r="CF217" s="1107" t="s">
        <v>961</v>
      </c>
      <c r="CG217" s="1107" t="s">
        <v>961</v>
      </c>
      <c r="CH217" s="1108" t="s">
        <v>961</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984</v>
      </c>
      <c r="AK218" s="1094" t="s">
        <v>964</v>
      </c>
      <c r="AL218" s="1094" t="s">
        <v>965</v>
      </c>
      <c r="AM218" s="1095" t="s">
        <v>2178</v>
      </c>
      <c r="AN218" s="1006" t="s">
        <v>410</v>
      </c>
      <c r="AO218" s="1006" t="s">
        <v>4790</v>
      </c>
      <c r="AP218" s="1296">
        <v>2</v>
      </c>
      <c r="AQ218" s="1064" t="s">
        <v>978</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984</v>
      </c>
      <c r="AK219" s="1094" t="s">
        <v>964</v>
      </c>
      <c r="AL219" s="1094" t="s">
        <v>965</v>
      </c>
      <c r="AM219" s="1095" t="s">
        <v>1955</v>
      </c>
      <c r="AN219" s="1006" t="s">
        <v>2204</v>
      </c>
      <c r="AO219" s="1006" t="s">
        <v>4787</v>
      </c>
      <c r="AP219" s="1296">
        <v>2</v>
      </c>
      <c r="AQ219" s="1064" t="s">
        <v>978</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961</v>
      </c>
      <c r="CE219" s="1107" t="s">
        <v>961</v>
      </c>
      <c r="CF219" s="1107" t="s">
        <v>961</v>
      </c>
      <c r="CG219" s="1107" t="s">
        <v>961</v>
      </c>
      <c r="CH219" s="1108" t="s">
        <v>961</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984</v>
      </c>
      <c r="AK220" s="1094" t="s">
        <v>964</v>
      </c>
      <c r="AL220" s="1094" t="s">
        <v>965</v>
      </c>
      <c r="AM220" s="1095" t="s">
        <v>2146</v>
      </c>
      <c r="AN220" s="1006" t="s">
        <v>991</v>
      </c>
      <c r="AO220" s="1006" t="s">
        <v>2857</v>
      </c>
      <c r="AP220" s="1263">
        <v>0</v>
      </c>
      <c r="AQ220" s="1064" t="s">
        <v>966</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963</v>
      </c>
      <c r="AK221" s="1094" t="s">
        <v>1971</v>
      </c>
      <c r="AL221" s="1094" t="s">
        <v>1971</v>
      </c>
      <c r="AM221" s="1095" t="s">
        <v>2146</v>
      </c>
      <c r="AN221" s="1006" t="s">
        <v>293</v>
      </c>
      <c r="AO221" s="1006" t="s">
        <v>2482</v>
      </c>
      <c r="AP221" s="1263">
        <v>1</v>
      </c>
      <c r="AQ221" s="1064" t="s">
        <v>966</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963</v>
      </c>
      <c r="AK222" s="1094" t="s">
        <v>1971</v>
      </c>
      <c r="AL222" s="1094" t="s">
        <v>1971</v>
      </c>
      <c r="AM222" s="1095" t="s">
        <v>2146</v>
      </c>
      <c r="AN222" s="1006" t="s">
        <v>293</v>
      </c>
      <c r="AO222" s="1006" t="s">
        <v>2482</v>
      </c>
      <c r="AP222" s="1263">
        <v>1</v>
      </c>
      <c r="AQ222" s="1064" t="s">
        <v>966</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988</v>
      </c>
      <c r="AK223" s="1094" t="s">
        <v>964</v>
      </c>
      <c r="AL223" s="1094" t="s">
        <v>965</v>
      </c>
      <c r="AM223" s="1095" t="s">
        <v>2146</v>
      </c>
      <c r="AN223" s="1006" t="s">
        <v>293</v>
      </c>
      <c r="AO223" s="1006" t="s">
        <v>2869</v>
      </c>
      <c r="AP223" s="1263">
        <v>2</v>
      </c>
      <c r="AQ223" s="1064" t="s">
        <v>978</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658</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963</v>
      </c>
      <c r="AK224" s="1094" t="s">
        <v>1971</v>
      </c>
      <c r="AL224" s="1094" t="s">
        <v>1971</v>
      </c>
      <c r="AM224" s="1095" t="s">
        <v>2146</v>
      </c>
      <c r="AN224" s="1006" t="s">
        <v>293</v>
      </c>
      <c r="AO224" s="1006" t="s">
        <v>4791</v>
      </c>
      <c r="AP224" s="1296">
        <v>1</v>
      </c>
      <c r="AQ224" s="1064" t="s">
        <v>966</v>
      </c>
      <c r="AR224" s="1097" t="s">
        <v>658</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499</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963</v>
      </c>
      <c r="AK225" s="1094" t="s">
        <v>1971</v>
      </c>
      <c r="AL225" s="1094" t="s">
        <v>1971</v>
      </c>
      <c r="AM225" s="1095" t="s">
        <v>1939</v>
      </c>
      <c r="AN225" s="1006" t="s">
        <v>293</v>
      </c>
      <c r="AO225" s="1006" t="s">
        <v>4784</v>
      </c>
      <c r="AP225" s="1296">
        <v>1</v>
      </c>
      <c r="AQ225" s="1064" t="s">
        <v>978</v>
      </c>
      <c r="AR225" s="1097" t="s">
        <v>499</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184</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984</v>
      </c>
      <c r="AK226" s="1094" t="s">
        <v>964</v>
      </c>
      <c r="AL226" s="1094" t="s">
        <v>965</v>
      </c>
      <c r="AM226" s="1095" t="s">
        <v>1944</v>
      </c>
      <c r="AN226" s="1006" t="s">
        <v>293</v>
      </c>
      <c r="AO226" s="1006" t="s">
        <v>4785</v>
      </c>
      <c r="AP226" s="1296">
        <v>2</v>
      </c>
      <c r="AQ226" s="1064" t="s">
        <v>978</v>
      </c>
      <c r="AR226" s="1097" t="s">
        <v>184</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961</v>
      </c>
      <c r="CE226" s="1107" t="s">
        <v>961</v>
      </c>
      <c r="CF226" s="1107" t="s">
        <v>961</v>
      </c>
      <c r="CG226" s="1107" t="s">
        <v>961</v>
      </c>
      <c r="CH226" s="1108" t="s">
        <v>961</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629</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988</v>
      </c>
      <c r="AK227" s="1055" t="s">
        <v>964</v>
      </c>
      <c r="AL227" s="1055" t="s">
        <v>965</v>
      </c>
      <c r="AM227" s="1056" t="s">
        <v>629</v>
      </c>
      <c r="AN227" s="1050" t="s">
        <v>293</v>
      </c>
      <c r="AO227" s="1050" t="s">
        <v>4783</v>
      </c>
      <c r="AP227" s="1295">
        <v>1</v>
      </c>
      <c r="AQ227" s="821" t="s">
        <v>966</v>
      </c>
      <c r="AR227" s="1059" t="s">
        <v>629</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961</v>
      </c>
      <c r="CE227" s="1073" t="s">
        <v>961</v>
      </c>
      <c r="CF227" s="1073" t="s">
        <v>961</v>
      </c>
      <c r="CG227" s="1073" t="s">
        <v>961</v>
      </c>
      <c r="CH227" s="1074" t="s">
        <v>961</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984</v>
      </c>
      <c r="AK228" s="1094" t="s">
        <v>964</v>
      </c>
      <c r="AL228" s="1094" t="s">
        <v>965</v>
      </c>
      <c r="AM228" s="1095" t="s">
        <v>1976</v>
      </c>
      <c r="AN228" s="1006" t="s">
        <v>293</v>
      </c>
      <c r="AO228" s="1006" t="s">
        <v>2888</v>
      </c>
      <c r="AP228" s="1263">
        <v>1</v>
      </c>
      <c r="AQ228" s="1064" t="s">
        <v>966</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988</v>
      </c>
      <c r="AK229" s="1094" t="s">
        <v>964</v>
      </c>
      <c r="AL229" s="1094" t="s">
        <v>965</v>
      </c>
      <c r="AM229" s="1095" t="s">
        <v>1027</v>
      </c>
      <c r="AN229" s="1006" t="s">
        <v>1039</v>
      </c>
      <c r="AO229" s="1006" t="s">
        <v>2891</v>
      </c>
      <c r="AP229" s="1263">
        <v>2</v>
      </c>
      <c r="AQ229" s="1064" t="s">
        <v>966</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961</v>
      </c>
      <c r="CE229" s="1107" t="s">
        <v>961</v>
      </c>
      <c r="CF229" s="1107" t="s">
        <v>961</v>
      </c>
      <c r="CG229" s="1107" t="s">
        <v>961</v>
      </c>
      <c r="CH229" s="1108" t="s">
        <v>961</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988</v>
      </c>
      <c r="AK230" s="1094" t="s">
        <v>964</v>
      </c>
      <c r="AL230" s="1094" t="s">
        <v>965</v>
      </c>
      <c r="AM230" s="1095" t="s">
        <v>1031</v>
      </c>
      <c r="AN230" s="1006" t="s">
        <v>1039</v>
      </c>
      <c r="AO230" s="1006" t="s">
        <v>2794</v>
      </c>
      <c r="AP230" s="1263">
        <v>2</v>
      </c>
      <c r="AQ230" s="1064" t="s">
        <v>966</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961</v>
      </c>
      <c r="CE230" s="1107" t="s">
        <v>961</v>
      </c>
      <c r="CF230" s="1107" t="s">
        <v>961</v>
      </c>
      <c r="CG230" s="1107" t="s">
        <v>961</v>
      </c>
      <c r="CH230" s="1108" t="s">
        <v>961</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973</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984</v>
      </c>
      <c r="AK231" s="1055" t="s">
        <v>964</v>
      </c>
      <c r="AL231" s="1414" t="s">
        <v>977</v>
      </c>
      <c r="AM231" s="1056" t="s">
        <v>2083</v>
      </c>
      <c r="AN231" s="1050" t="s">
        <v>2147</v>
      </c>
      <c r="AO231" s="1050" t="s">
        <v>4783</v>
      </c>
      <c r="AP231" s="1295">
        <v>1</v>
      </c>
      <c r="AQ231" s="821" t="s">
        <v>966</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961</v>
      </c>
      <c r="CE231" s="1073" t="s">
        <v>961</v>
      </c>
      <c r="CF231" s="1073" t="s">
        <v>961</v>
      </c>
      <c r="CG231" s="1073" t="s">
        <v>961</v>
      </c>
      <c r="CH231" s="1074" t="s">
        <v>961</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973</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984</v>
      </c>
      <c r="AK232" s="1094" t="s">
        <v>964</v>
      </c>
      <c r="AL232" s="1094" t="s">
        <v>965</v>
      </c>
      <c r="AM232" s="1095" t="s">
        <v>2161</v>
      </c>
      <c r="AN232" s="1006" t="s">
        <v>991</v>
      </c>
      <c r="AO232" s="1006" t="s">
        <v>2901</v>
      </c>
      <c r="AP232" s="1263">
        <v>0</v>
      </c>
      <c r="AQ232" s="1064" t="s">
        <v>978</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689</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963</v>
      </c>
      <c r="AK233" s="1094" t="s">
        <v>1971</v>
      </c>
      <c r="AL233" s="1094" t="s">
        <v>1971</v>
      </c>
      <c r="AM233" s="1095" t="s">
        <v>689</v>
      </c>
      <c r="AN233" s="1006" t="s">
        <v>991</v>
      </c>
      <c r="AO233" s="1006" t="s">
        <v>2905</v>
      </c>
      <c r="AP233" s="1263">
        <v>0</v>
      </c>
      <c r="AQ233" s="1064" t="s">
        <v>978</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963</v>
      </c>
      <c r="AK234" s="1094" t="s">
        <v>1971</v>
      </c>
      <c r="AL234" s="1094" t="s">
        <v>1971</v>
      </c>
      <c r="AM234" s="1095" t="s">
        <v>2008</v>
      </c>
      <c r="AN234" s="1006" t="s">
        <v>991</v>
      </c>
      <c r="AO234" s="1006" t="s">
        <v>2338</v>
      </c>
      <c r="AP234" s="1263">
        <v>0</v>
      </c>
      <c r="AQ234" s="1064" t="s">
        <v>978</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963</v>
      </c>
      <c r="AK235" s="1094" t="s">
        <v>1971</v>
      </c>
      <c r="AL235" s="1094" t="s">
        <v>1971</v>
      </c>
      <c r="AM235" s="1095" t="s">
        <v>2315</v>
      </c>
      <c r="AN235" s="1006" t="s">
        <v>991</v>
      </c>
      <c r="AO235" s="1006" t="s">
        <v>2701</v>
      </c>
      <c r="AP235" s="1263">
        <v>0</v>
      </c>
      <c r="AQ235" s="1064" t="s">
        <v>966</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984</v>
      </c>
      <c r="AK236" s="1094" t="s">
        <v>964</v>
      </c>
      <c r="AL236" s="1094" t="s">
        <v>965</v>
      </c>
      <c r="AM236" s="1095" t="s">
        <v>2135</v>
      </c>
      <c r="AN236" s="1006" t="s">
        <v>991</v>
      </c>
      <c r="AO236" s="1006" t="s">
        <v>2919</v>
      </c>
      <c r="AP236" s="1263">
        <v>0</v>
      </c>
      <c r="AQ236" s="1064" t="s">
        <v>966</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984</v>
      </c>
      <c r="AK237" s="1094" t="s">
        <v>964</v>
      </c>
      <c r="AL237" s="1094" t="s">
        <v>965</v>
      </c>
      <c r="AM237" s="1095" t="s">
        <v>1971</v>
      </c>
      <c r="AN237" s="1006" t="s">
        <v>991</v>
      </c>
      <c r="AO237" s="1006" t="s">
        <v>2924</v>
      </c>
      <c r="AP237" s="1263">
        <v>1</v>
      </c>
      <c r="AQ237" s="1064" t="s">
        <v>978</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963</v>
      </c>
      <c r="AK238" s="1094" t="s">
        <v>1971</v>
      </c>
      <c r="AL238" s="1094" t="s">
        <v>1971</v>
      </c>
      <c r="AM238" s="1095" t="s">
        <v>2146</v>
      </c>
      <c r="AN238" s="1006" t="s">
        <v>293</v>
      </c>
      <c r="AO238" s="1006" t="s">
        <v>2482</v>
      </c>
      <c r="AP238" s="1263">
        <v>0</v>
      </c>
      <c r="AQ238" s="1064" t="s">
        <v>978</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963</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988</v>
      </c>
      <c r="AK240" s="1094" t="s">
        <v>964</v>
      </c>
      <c r="AL240" s="1094" t="s">
        <v>965</v>
      </c>
      <c r="AM240" s="1095" t="s">
        <v>1027</v>
      </c>
      <c r="AN240" s="1006" t="s">
        <v>1039</v>
      </c>
      <c r="AO240" s="1006" t="s">
        <v>2937</v>
      </c>
      <c r="AP240" s="1309">
        <v>2</v>
      </c>
      <c r="AQ240" s="1064" t="s">
        <v>966</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961</v>
      </c>
      <c r="CE240" s="1107" t="s">
        <v>961</v>
      </c>
      <c r="CF240" s="1107" t="s">
        <v>961</v>
      </c>
      <c r="CG240" s="1107" t="s">
        <v>961</v>
      </c>
      <c r="CH240" s="1108" t="s">
        <v>961</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988</v>
      </c>
      <c r="AK241" s="1094" t="s">
        <v>964</v>
      </c>
      <c r="AL241" s="1094" t="s">
        <v>965</v>
      </c>
      <c r="AM241" s="1095" t="s">
        <v>1031</v>
      </c>
      <c r="AN241" s="1006" t="s">
        <v>1039</v>
      </c>
      <c r="AO241" s="1006" t="s">
        <v>2937</v>
      </c>
      <c r="AP241" s="1309">
        <v>2</v>
      </c>
      <c r="AQ241" s="1064" t="s">
        <v>966</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961</v>
      </c>
      <c r="CE241" s="1107" t="s">
        <v>961</v>
      </c>
      <c r="CF241" s="1107" t="s">
        <v>961</v>
      </c>
      <c r="CG241" s="1107" t="s">
        <v>961</v>
      </c>
      <c r="CH241" s="1108" t="s">
        <v>961</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984</v>
      </c>
      <c r="AK242" s="1094" t="s">
        <v>964</v>
      </c>
      <c r="AL242" s="1094" t="s">
        <v>965</v>
      </c>
      <c r="AM242" s="1095" t="s">
        <v>1955</v>
      </c>
      <c r="AN242" s="1006" t="s">
        <v>2204</v>
      </c>
      <c r="AO242" s="1006" t="s">
        <v>4787</v>
      </c>
      <c r="AP242" s="1296">
        <v>2</v>
      </c>
      <c r="AQ242" s="1064" t="s">
        <v>978</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961</v>
      </c>
      <c r="CE242" s="1107" t="s">
        <v>961</v>
      </c>
      <c r="CF242" s="1107" t="s">
        <v>961</v>
      </c>
      <c r="CG242" s="1107" t="s">
        <v>961</v>
      </c>
      <c r="CH242" s="1108" t="s">
        <v>961</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973</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154</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988</v>
      </c>
      <c r="AK243" s="1094" t="s">
        <v>964</v>
      </c>
      <c r="AL243" s="1094" t="s">
        <v>965</v>
      </c>
      <c r="AM243" s="1095" t="s">
        <v>1923</v>
      </c>
      <c r="AN243" s="1006" t="s">
        <v>4781</v>
      </c>
      <c r="AO243" s="1006" t="s">
        <v>4782</v>
      </c>
      <c r="AP243" s="1296">
        <v>0</v>
      </c>
      <c r="AQ243" s="1064" t="s">
        <v>978</v>
      </c>
      <c r="AR243" s="1097" t="s">
        <v>154</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961</v>
      </c>
      <c r="CE243" s="1107" t="s">
        <v>961</v>
      </c>
      <c r="CF243" s="1107" t="s">
        <v>961</v>
      </c>
      <c r="CG243" s="1107" t="s">
        <v>961</v>
      </c>
      <c r="CH243" s="1108" t="s">
        <v>961</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973</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629</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988</v>
      </c>
      <c r="AK244" s="1055" t="s">
        <v>964</v>
      </c>
      <c r="AL244" s="1055" t="s">
        <v>965</v>
      </c>
      <c r="AM244" s="1056" t="s">
        <v>629</v>
      </c>
      <c r="AN244" s="1050" t="s">
        <v>293</v>
      </c>
      <c r="AO244" s="1050" t="s">
        <v>4783</v>
      </c>
      <c r="AP244" s="1296">
        <v>1</v>
      </c>
      <c r="AQ244" s="821" t="s">
        <v>966</v>
      </c>
      <c r="AR244" s="1059" t="s">
        <v>629</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961</v>
      </c>
      <c r="CE244" s="1073" t="s">
        <v>961</v>
      </c>
      <c r="CF244" s="1073" t="s">
        <v>961</v>
      </c>
      <c r="CG244" s="1073" t="s">
        <v>961</v>
      </c>
      <c r="CH244" s="1074" t="s">
        <v>961</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988</v>
      </c>
      <c r="AK245" s="1055" t="s">
        <v>964</v>
      </c>
      <c r="AL245" s="1414" t="s">
        <v>977</v>
      </c>
      <c r="AM245" s="1056" t="s">
        <v>2083</v>
      </c>
      <c r="AN245" s="1050" t="s">
        <v>2147</v>
      </c>
      <c r="AO245" s="1050" t="s">
        <v>4783</v>
      </c>
      <c r="AP245" s="1296">
        <v>1</v>
      </c>
      <c r="AQ245" s="821" t="s">
        <v>966</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961</v>
      </c>
      <c r="CE245" s="1073" t="s">
        <v>961</v>
      </c>
      <c r="CF245" s="1073" t="s">
        <v>961</v>
      </c>
      <c r="CG245" s="1073" t="s">
        <v>961</v>
      </c>
      <c r="CH245" s="1074" t="s">
        <v>961</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499</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963</v>
      </c>
      <c r="AK246" s="1094" t="s">
        <v>1971</v>
      </c>
      <c r="AL246" s="1094" t="s">
        <v>1971</v>
      </c>
      <c r="AM246" s="1095" t="s">
        <v>2960</v>
      </c>
      <c r="AN246" s="1006" t="s">
        <v>293</v>
      </c>
      <c r="AO246" s="1006" t="s">
        <v>4784</v>
      </c>
      <c r="AP246" s="1296">
        <v>1</v>
      </c>
      <c r="AQ246" s="1064" t="s">
        <v>978</v>
      </c>
      <c r="AR246" s="1097" t="s">
        <v>499</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178</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984</v>
      </c>
      <c r="AK247" s="1094" t="s">
        <v>964</v>
      </c>
      <c r="AL247" s="1094" t="s">
        <v>965</v>
      </c>
      <c r="AM247" s="1095" t="s">
        <v>2103</v>
      </c>
      <c r="AN247" s="1006" t="s">
        <v>2204</v>
      </c>
      <c r="AO247" s="1006" t="s">
        <v>4786</v>
      </c>
      <c r="AP247" s="1296">
        <v>1</v>
      </c>
      <c r="AQ247" s="1064" t="s">
        <v>978</v>
      </c>
      <c r="AR247" s="1097" t="s">
        <v>178</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961</v>
      </c>
      <c r="CE247" s="1107" t="s">
        <v>961</v>
      </c>
      <c r="CF247" s="1107" t="s">
        <v>961</v>
      </c>
      <c r="CG247" s="1107" t="s">
        <v>961</v>
      </c>
      <c r="CH247" s="1108" t="s">
        <v>961</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184</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984</v>
      </c>
      <c r="AK248" s="1094" t="s">
        <v>964</v>
      </c>
      <c r="AL248" s="1094" t="s">
        <v>965</v>
      </c>
      <c r="AM248" s="1095" t="s">
        <v>1944</v>
      </c>
      <c r="AN248" s="1006" t="s">
        <v>293</v>
      </c>
      <c r="AO248" s="1006" t="s">
        <v>4785</v>
      </c>
      <c r="AP248" s="1296">
        <v>2</v>
      </c>
      <c r="AQ248" s="1064" t="s">
        <v>978</v>
      </c>
      <c r="AR248" s="1097" t="s">
        <v>184</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961</v>
      </c>
      <c r="CE248" s="1107" t="s">
        <v>961</v>
      </c>
      <c r="CF248" s="1107" t="s">
        <v>961</v>
      </c>
      <c r="CG248" s="1107" t="s">
        <v>961</v>
      </c>
      <c r="CH248" s="1108" t="s">
        <v>961</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963</v>
      </c>
      <c r="AK249" s="1094" t="s">
        <v>1971</v>
      </c>
      <c r="AL249" s="1094" t="s">
        <v>1971</v>
      </c>
      <c r="AM249" s="1095" t="s">
        <v>1976</v>
      </c>
      <c r="AN249" s="1006" t="s">
        <v>1039</v>
      </c>
      <c r="AO249" s="1006" t="s">
        <v>2971</v>
      </c>
      <c r="AP249" s="1309">
        <v>1</v>
      </c>
      <c r="AQ249" s="1064" t="s">
        <v>966</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963</v>
      </c>
      <c r="AK250" s="1094" t="s">
        <v>1971</v>
      </c>
      <c r="AL250" s="1094" t="s">
        <v>1971</v>
      </c>
      <c r="AM250" s="1095" t="s">
        <v>1976</v>
      </c>
      <c r="AN250" s="1006" t="s">
        <v>1039</v>
      </c>
      <c r="AO250" s="1006" t="s">
        <v>2971</v>
      </c>
      <c r="AP250" s="1309">
        <v>1</v>
      </c>
      <c r="AQ250" s="1064" t="s">
        <v>966</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963</v>
      </c>
      <c r="AK251" s="1094" t="s">
        <v>1971</v>
      </c>
      <c r="AL251" s="1094" t="s">
        <v>1971</v>
      </c>
      <c r="AM251" s="1095" t="s">
        <v>1976</v>
      </c>
      <c r="AN251" s="1006" t="s">
        <v>1039</v>
      </c>
      <c r="AO251" s="1006" t="s">
        <v>2971</v>
      </c>
      <c r="AP251" s="1309">
        <v>1</v>
      </c>
      <c r="AQ251" s="1064" t="s">
        <v>966</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963</v>
      </c>
      <c r="AK252" s="1094" t="s">
        <v>1971</v>
      </c>
      <c r="AL252" s="1094" t="s">
        <v>1971</v>
      </c>
      <c r="AM252" s="1095" t="s">
        <v>1976</v>
      </c>
      <c r="AN252" s="1006" t="s">
        <v>1039</v>
      </c>
      <c r="AO252" s="1006" t="s">
        <v>2971</v>
      </c>
      <c r="AP252" s="1309">
        <v>1</v>
      </c>
      <c r="AQ252" s="1064" t="s">
        <v>966</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963</v>
      </c>
      <c r="AK253" s="1094" t="s">
        <v>1971</v>
      </c>
      <c r="AL253" s="1094" t="s">
        <v>1971</v>
      </c>
      <c r="AM253" s="1095" t="s">
        <v>1976</v>
      </c>
      <c r="AN253" s="1006" t="s">
        <v>1039</v>
      </c>
      <c r="AO253" s="1006" t="s">
        <v>2971</v>
      </c>
      <c r="AP253" s="1309">
        <v>1</v>
      </c>
      <c r="AQ253" s="1064" t="s">
        <v>966</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963</v>
      </c>
      <c r="AK254" s="1094" t="s">
        <v>1971</v>
      </c>
      <c r="AL254" s="1094" t="s">
        <v>1971</v>
      </c>
      <c r="AM254" s="1095" t="s">
        <v>1976</v>
      </c>
      <c r="AN254" s="1006" t="s">
        <v>1039</v>
      </c>
      <c r="AO254" s="1006" t="s">
        <v>2971</v>
      </c>
      <c r="AP254" s="1309">
        <v>1</v>
      </c>
      <c r="AQ254" s="1064" t="s">
        <v>966</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963</v>
      </c>
      <c r="AK255" s="1094" t="s">
        <v>1971</v>
      </c>
      <c r="AL255" s="1094" t="s">
        <v>1971</v>
      </c>
      <c r="AM255" s="1095" t="s">
        <v>2146</v>
      </c>
      <c r="AN255" s="1006" t="s">
        <v>1039</v>
      </c>
      <c r="AO255" s="1006" t="s">
        <v>2971</v>
      </c>
      <c r="AP255" s="1309">
        <v>1</v>
      </c>
      <c r="AQ255" s="1064" t="s">
        <v>966</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963</v>
      </c>
      <c r="AK256" s="1094" t="s">
        <v>1971</v>
      </c>
      <c r="AL256" s="1094" t="s">
        <v>1971</v>
      </c>
      <c r="AM256" s="1095" t="s">
        <v>2146</v>
      </c>
      <c r="AN256" s="1006" t="s">
        <v>1039</v>
      </c>
      <c r="AO256" s="1006" t="s">
        <v>2971</v>
      </c>
      <c r="AP256" s="1309">
        <v>1</v>
      </c>
      <c r="AQ256" s="1064" t="s">
        <v>966</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963</v>
      </c>
      <c r="AK257" s="1094" t="s">
        <v>1971</v>
      </c>
      <c r="AL257" s="1094" t="s">
        <v>1971</v>
      </c>
      <c r="AM257" s="1095" t="s">
        <v>2146</v>
      </c>
      <c r="AN257" s="844" t="s">
        <v>1039</v>
      </c>
      <c r="AO257" s="1326" t="s">
        <v>3002</v>
      </c>
      <c r="AP257" s="1309">
        <v>1</v>
      </c>
      <c r="AQ257" s="1064" t="s">
        <v>966</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988</v>
      </c>
      <c r="AK258" s="1094" t="s">
        <v>964</v>
      </c>
      <c r="AL258" s="1094" t="s">
        <v>965</v>
      </c>
      <c r="AM258" s="1095" t="s">
        <v>2178</v>
      </c>
      <c r="AN258" s="1006" t="s">
        <v>410</v>
      </c>
      <c r="AO258" s="1006" t="s">
        <v>4790</v>
      </c>
      <c r="AP258" s="1296">
        <v>2</v>
      </c>
      <c r="AQ258" s="1064" t="s">
        <v>978</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988</v>
      </c>
      <c r="AK259" s="1094" t="s">
        <v>964</v>
      </c>
      <c r="AL259" s="1094" t="s">
        <v>965</v>
      </c>
      <c r="AM259" s="1095" t="s">
        <v>2178</v>
      </c>
      <c r="AN259" s="1006" t="s">
        <v>410</v>
      </c>
      <c r="AO259" s="1006" t="s">
        <v>4790</v>
      </c>
      <c r="AP259" s="1296">
        <v>2</v>
      </c>
      <c r="AQ259" s="1064" t="s">
        <v>978</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963</v>
      </c>
      <c r="AK260" s="1094" t="s">
        <v>1971</v>
      </c>
      <c r="AL260" s="1094" t="s">
        <v>1971</v>
      </c>
      <c r="AM260" s="1095" t="s">
        <v>2146</v>
      </c>
      <c r="AN260" s="1006" t="s">
        <v>991</v>
      </c>
      <c r="AO260" s="1006" t="s">
        <v>2857</v>
      </c>
      <c r="AP260" s="1309">
        <v>0</v>
      </c>
      <c r="AQ260" s="1064" t="s">
        <v>966</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658</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963</v>
      </c>
      <c r="AK261" s="1094" t="s">
        <v>1971</v>
      </c>
      <c r="AL261" s="1094" t="s">
        <v>1971</v>
      </c>
      <c r="AM261" s="1095" t="s">
        <v>2146</v>
      </c>
      <c r="AN261" s="1006" t="s">
        <v>293</v>
      </c>
      <c r="AO261" s="1006" t="s">
        <v>4791</v>
      </c>
      <c r="AP261" s="1296">
        <v>1</v>
      </c>
      <c r="AQ261" s="1064" t="s">
        <v>966</v>
      </c>
      <c r="AR261" s="1097" t="s">
        <v>658</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963</v>
      </c>
      <c r="AK262" s="1094" t="s">
        <v>1971</v>
      </c>
      <c r="AL262" s="1094" t="s">
        <v>1971</v>
      </c>
      <c r="AM262" s="1095" t="s">
        <v>2146</v>
      </c>
      <c r="AN262" s="844" t="s">
        <v>1039</v>
      </c>
      <c r="AO262" s="1326" t="s">
        <v>3002</v>
      </c>
      <c r="AP262" s="1309">
        <v>1</v>
      </c>
      <c r="AQ262" s="1064" t="s">
        <v>966</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963</v>
      </c>
      <c r="AK263" s="1094" t="s">
        <v>1971</v>
      </c>
      <c r="AL263" s="1094" t="s">
        <v>1971</v>
      </c>
      <c r="AM263" s="1095" t="s">
        <v>2146</v>
      </c>
      <c r="AN263" s="1006" t="s">
        <v>991</v>
      </c>
      <c r="AO263" s="1006" t="s">
        <v>3028</v>
      </c>
      <c r="AP263" s="1309">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988</v>
      </c>
      <c r="AK264" s="1094" t="s">
        <v>964</v>
      </c>
      <c r="AL264" s="1094" t="s">
        <v>965</v>
      </c>
      <c r="AM264" s="1095" t="s">
        <v>2146</v>
      </c>
      <c r="AN264" s="1006" t="s">
        <v>293</v>
      </c>
      <c r="AO264" s="1006" t="s">
        <v>3033</v>
      </c>
      <c r="AP264" s="1309">
        <v>2</v>
      </c>
      <c r="AQ264" s="1064" t="s">
        <v>978</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988</v>
      </c>
      <c r="AK265" s="1094" t="s">
        <v>964</v>
      </c>
      <c r="AL265" s="1414" t="s">
        <v>977</v>
      </c>
      <c r="AM265" s="1095" t="s">
        <v>2146</v>
      </c>
      <c r="AN265" s="1006" t="s">
        <v>293</v>
      </c>
      <c r="AO265" s="1006" t="s">
        <v>3033</v>
      </c>
      <c r="AP265" s="1309">
        <v>2</v>
      </c>
      <c r="AQ265" s="1064" t="s">
        <v>978</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984</v>
      </c>
      <c r="AK266" s="1094" t="s">
        <v>964</v>
      </c>
      <c r="AL266" s="1094" t="s">
        <v>977</v>
      </c>
      <c r="AM266" s="1095" t="s">
        <v>1939</v>
      </c>
      <c r="AN266" s="1006" t="s">
        <v>991</v>
      </c>
      <c r="AO266" s="1006" t="s">
        <v>3039</v>
      </c>
      <c r="AP266" s="1309">
        <v>0</v>
      </c>
      <c r="AQ266" s="1064" t="s">
        <v>966</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963</v>
      </c>
      <c r="AK267" s="1094" t="s">
        <v>1971</v>
      </c>
      <c r="AL267" s="1094" t="s">
        <v>1971</v>
      </c>
      <c r="AM267" s="1095" t="s">
        <v>1955</v>
      </c>
      <c r="AN267" s="1006" t="s">
        <v>1039</v>
      </c>
      <c r="AO267" s="1006" t="s">
        <v>2945</v>
      </c>
      <c r="AP267" s="1309">
        <v>3</v>
      </c>
      <c r="AQ267" s="1064" t="s">
        <v>978</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988</v>
      </c>
      <c r="AK268" s="1094" t="s">
        <v>964</v>
      </c>
      <c r="AL268" s="1094" t="s">
        <v>965</v>
      </c>
      <c r="AM268" s="1095" t="s">
        <v>2014</v>
      </c>
      <c r="AN268" s="1006" t="s">
        <v>2204</v>
      </c>
      <c r="AO268" s="1006" t="s">
        <v>4788</v>
      </c>
      <c r="AP268" s="1309">
        <v>1</v>
      </c>
      <c r="AQ268" s="1064" t="s">
        <v>978</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988</v>
      </c>
      <c r="AK269" s="1094" t="s">
        <v>964</v>
      </c>
      <c r="AL269" s="1094" t="s">
        <v>977</v>
      </c>
      <c r="AM269" s="1095" t="s">
        <v>1996</v>
      </c>
      <c r="AN269" s="1006" t="s">
        <v>991</v>
      </c>
      <c r="AO269" s="1006" t="s">
        <v>3050</v>
      </c>
      <c r="AP269" s="1309">
        <v>1</v>
      </c>
      <c r="AQ269" s="1064" t="s">
        <v>966</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988</v>
      </c>
      <c r="AK270" s="1094" t="s">
        <v>964</v>
      </c>
      <c r="AL270" s="1094" t="s">
        <v>977</v>
      </c>
      <c r="AM270" s="1095" t="s">
        <v>2315</v>
      </c>
      <c r="AN270" s="1006" t="s">
        <v>991</v>
      </c>
      <c r="AO270" s="1006" t="s">
        <v>3055</v>
      </c>
      <c r="AP270" s="1309">
        <v>1</v>
      </c>
      <c r="AQ270" s="1064" t="s">
        <v>966</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984</v>
      </c>
      <c r="AK271" s="1094" t="s">
        <v>964</v>
      </c>
      <c r="AL271" s="1094" t="s">
        <v>965</v>
      </c>
      <c r="AM271" s="1095" t="s">
        <v>2135</v>
      </c>
      <c r="AN271" s="1006" t="s">
        <v>991</v>
      </c>
      <c r="AO271" s="1006" t="s">
        <v>2834</v>
      </c>
      <c r="AP271" s="1309">
        <v>0</v>
      </c>
      <c r="AQ271" s="1064" t="s">
        <v>966</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963</v>
      </c>
      <c r="AK272" s="1094" t="s">
        <v>1971</v>
      </c>
      <c r="AL272" s="1094" t="s">
        <v>1971</v>
      </c>
      <c r="AM272" s="1095" t="s">
        <v>2161</v>
      </c>
      <c r="AN272" s="1006" t="s">
        <v>991</v>
      </c>
      <c r="AO272" s="1006" t="s">
        <v>3063</v>
      </c>
      <c r="AP272" s="1309">
        <v>1</v>
      </c>
      <c r="AQ272" s="1064" t="s">
        <v>978</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984</v>
      </c>
      <c r="AK273" s="1094" t="s">
        <v>964</v>
      </c>
      <c r="AL273" s="1094" t="s">
        <v>965</v>
      </c>
      <c r="AM273" s="1095" t="s">
        <v>2008</v>
      </c>
      <c r="AN273" s="1006" t="s">
        <v>991</v>
      </c>
      <c r="AO273" s="1006" t="s">
        <v>3068</v>
      </c>
      <c r="AP273" s="1309">
        <v>0</v>
      </c>
      <c r="AQ273" s="1064" t="s">
        <v>978</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963</v>
      </c>
      <c r="AK274" s="1094" t="s">
        <v>1971</v>
      </c>
      <c r="AL274" s="1094" t="s">
        <v>1971</v>
      </c>
      <c r="AM274" s="1095" t="s">
        <v>2008</v>
      </c>
      <c r="AN274" s="1006" t="s">
        <v>293</v>
      </c>
      <c r="AO274" s="1006" t="s">
        <v>3073</v>
      </c>
      <c r="AP274" s="1309">
        <v>0</v>
      </c>
      <c r="AQ274" s="1064" t="s">
        <v>966</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963</v>
      </c>
      <c r="AK275" s="1094" t="s">
        <v>1971</v>
      </c>
      <c r="AL275" s="1094" t="s">
        <v>1971</v>
      </c>
      <c r="AM275" s="1095" t="s">
        <v>1976</v>
      </c>
      <c r="AN275" s="1006" t="s">
        <v>1039</v>
      </c>
      <c r="AO275" s="1006" t="s">
        <v>2971</v>
      </c>
      <c r="AP275" s="1309">
        <v>1</v>
      </c>
      <c r="AQ275" s="1064" t="s">
        <v>966</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963</v>
      </c>
      <c r="AK276" s="1094" t="s">
        <v>1971</v>
      </c>
      <c r="AL276" s="1094" t="s">
        <v>1971</v>
      </c>
      <c r="AM276" s="1095" t="s">
        <v>1971</v>
      </c>
      <c r="AN276" s="1006" t="s">
        <v>1971</v>
      </c>
      <c r="AO276" s="1006" t="s">
        <v>2063</v>
      </c>
      <c r="AP276" s="1309">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1010</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customHeight="1">
      <c r="A278" s="1085" t="s">
        <v>996</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984</v>
      </c>
      <c r="AK278" s="1094" t="s">
        <v>964</v>
      </c>
      <c r="AL278" s="1094" t="s">
        <v>965</v>
      </c>
      <c r="AM278" s="1095" t="s">
        <v>3087</v>
      </c>
      <c r="AN278" s="1006" t="s">
        <v>2204</v>
      </c>
      <c r="AO278" s="1006" t="s">
        <v>4787</v>
      </c>
      <c r="AP278" s="1296">
        <v>2</v>
      </c>
      <c r="AQ278" s="1064" t="s">
        <v>978</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961</v>
      </c>
      <c r="CE278" s="1107" t="s">
        <v>961</v>
      </c>
      <c r="CF278" s="1107" t="s">
        <v>961</v>
      </c>
      <c r="CG278" s="1107" t="s">
        <v>961</v>
      </c>
      <c r="CH278" s="1108" t="s">
        <v>961</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996</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629</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988</v>
      </c>
      <c r="AK279" s="1055" t="s">
        <v>964</v>
      </c>
      <c r="AL279" s="1055" t="s">
        <v>965</v>
      </c>
      <c r="AM279" s="1056" t="s">
        <v>3094</v>
      </c>
      <c r="AN279" s="1050" t="s">
        <v>293</v>
      </c>
      <c r="AO279" s="1050" t="s">
        <v>4783</v>
      </c>
      <c r="AP279" s="1295">
        <v>1</v>
      </c>
      <c r="AQ279" s="821" t="s">
        <v>966</v>
      </c>
      <c r="AR279" s="1059" t="s">
        <v>629</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961</v>
      </c>
      <c r="CE279" s="1073" t="s">
        <v>961</v>
      </c>
      <c r="CF279" s="1073" t="s">
        <v>961</v>
      </c>
      <c r="CG279" s="1073" t="s">
        <v>961</v>
      </c>
      <c r="CH279" s="1074" t="s">
        <v>961</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996</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988</v>
      </c>
      <c r="AK280" s="1055" t="s">
        <v>964</v>
      </c>
      <c r="AL280" s="1414" t="s">
        <v>977</v>
      </c>
      <c r="AM280" s="1056" t="s">
        <v>3099</v>
      </c>
      <c r="AN280" s="1050" t="s">
        <v>2147</v>
      </c>
      <c r="AO280" s="1050" t="s">
        <v>4783</v>
      </c>
      <c r="AP280" s="1295">
        <v>1</v>
      </c>
      <c r="AQ280" s="821" t="s">
        <v>966</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961</v>
      </c>
      <c r="CE280" s="1073" t="s">
        <v>961</v>
      </c>
      <c r="CF280" s="1073" t="s">
        <v>961</v>
      </c>
      <c r="CG280" s="1073" t="s">
        <v>961</v>
      </c>
      <c r="CH280" s="1074" t="s">
        <v>961</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996</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988</v>
      </c>
      <c r="AK281" s="1094" t="s">
        <v>964</v>
      </c>
      <c r="AL281" s="1094" t="s">
        <v>965</v>
      </c>
      <c r="AM281" s="1095" t="s">
        <v>3105</v>
      </c>
      <c r="AN281" s="1006" t="s">
        <v>410</v>
      </c>
      <c r="AO281" s="1006" t="s">
        <v>4790</v>
      </c>
      <c r="AP281" s="1296">
        <v>2</v>
      </c>
      <c r="AQ281" s="1064" t="s">
        <v>978</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customHeight="1">
      <c r="A282" s="1085" t="s">
        <v>996</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988</v>
      </c>
      <c r="AK282" s="1094" t="s">
        <v>964</v>
      </c>
      <c r="AL282" s="1094" t="s">
        <v>965</v>
      </c>
      <c r="AM282" s="1095" t="s">
        <v>3105</v>
      </c>
      <c r="AN282" s="1006" t="s">
        <v>991</v>
      </c>
      <c r="AO282" s="1006" t="s">
        <v>3106</v>
      </c>
      <c r="AP282" s="1263">
        <v>2</v>
      </c>
      <c r="AQ282" s="1064" t="s">
        <v>978</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customHeight="1">
      <c r="A283" s="1085" t="s">
        <v>996</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975</v>
      </c>
      <c r="AK283" s="1094" t="s">
        <v>964</v>
      </c>
      <c r="AL283" s="1094" t="s">
        <v>965</v>
      </c>
      <c r="AM283" s="1095" t="s">
        <v>3117</v>
      </c>
      <c r="AN283" s="1006" t="s">
        <v>991</v>
      </c>
      <c r="AO283" s="1006" t="s">
        <v>3118</v>
      </c>
      <c r="AP283" s="1263">
        <v>0</v>
      </c>
      <c r="AQ283" s="1064" t="s">
        <v>966</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customHeight="1">
      <c r="A284" s="1085" t="s">
        <v>996</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988</v>
      </c>
      <c r="AK284" s="1094" t="s">
        <v>964</v>
      </c>
      <c r="AL284" s="1094" t="s">
        <v>965</v>
      </c>
      <c r="AM284" s="1095" t="s">
        <v>3123</v>
      </c>
      <c r="AN284" s="1006" t="s">
        <v>293</v>
      </c>
      <c r="AO284" s="1006" t="s">
        <v>3124</v>
      </c>
      <c r="AP284" s="1263">
        <v>2</v>
      </c>
      <c r="AQ284" s="1064" t="s">
        <v>966</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customHeight="1">
      <c r="A285" s="1085" t="s">
        <v>996</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984</v>
      </c>
      <c r="AK285" s="1094" t="s">
        <v>964</v>
      </c>
      <c r="AL285" s="1094" t="s">
        <v>965</v>
      </c>
      <c r="AM285" s="1095" t="s">
        <v>3129</v>
      </c>
      <c r="AN285" s="1006" t="s">
        <v>293</v>
      </c>
      <c r="AO285" s="1006" t="s">
        <v>3130</v>
      </c>
      <c r="AP285" s="1263">
        <v>2</v>
      </c>
      <c r="AQ285" s="1064" t="s">
        <v>966</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customHeight="1">
      <c r="A286" s="1085" t="s">
        <v>996</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984</v>
      </c>
      <c r="AK286" s="1094" t="s">
        <v>964</v>
      </c>
      <c r="AL286" s="1094" t="s">
        <v>965</v>
      </c>
      <c r="AM286" s="1095" t="s">
        <v>3117</v>
      </c>
      <c r="AN286" s="1006" t="s">
        <v>991</v>
      </c>
      <c r="AO286" s="1006" t="s">
        <v>3136</v>
      </c>
      <c r="AP286" s="1263">
        <v>2</v>
      </c>
      <c r="AQ286" s="1064" t="s">
        <v>966</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customHeight="1">
      <c r="A287" s="1085" t="s">
        <v>996</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988</v>
      </c>
      <c r="AK287" s="1094" t="s">
        <v>964</v>
      </c>
      <c r="AL287" s="1094" t="s">
        <v>965</v>
      </c>
      <c r="AM287" s="1095" t="s">
        <v>3140</v>
      </c>
      <c r="AN287" s="1006" t="s">
        <v>991</v>
      </c>
      <c r="AO287" s="1006" t="s">
        <v>3141</v>
      </c>
      <c r="AP287" s="1263">
        <v>0</v>
      </c>
      <c r="AQ287" s="1064" t="s">
        <v>978</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customHeight="1">
      <c r="A288" s="1085" t="s">
        <v>996</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984</v>
      </c>
      <c r="AK288" s="1094" t="s">
        <v>964</v>
      </c>
      <c r="AL288" s="1094" t="s">
        <v>965</v>
      </c>
      <c r="AM288" s="1095" t="s">
        <v>3117</v>
      </c>
      <c r="AN288" s="1006" t="s">
        <v>991</v>
      </c>
      <c r="AO288" s="1006" t="s">
        <v>3146</v>
      </c>
      <c r="AP288" s="1263">
        <v>0</v>
      </c>
      <c r="AQ288" s="1064" t="s">
        <v>966</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customHeight="1">
      <c r="A289" s="1085" t="s">
        <v>996</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988</v>
      </c>
      <c r="AK289" s="1094" t="s">
        <v>964</v>
      </c>
      <c r="AL289" s="1094" t="s">
        <v>965</v>
      </c>
      <c r="AM289" s="1095" t="s">
        <v>3117</v>
      </c>
      <c r="AN289" s="1006" t="s">
        <v>991</v>
      </c>
      <c r="AO289" s="1006" t="s">
        <v>3151</v>
      </c>
      <c r="AP289" s="1263">
        <v>0</v>
      </c>
      <c r="AQ289" s="1064" t="s">
        <v>966</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customHeight="1">
      <c r="A290" s="1085" t="s">
        <v>996</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963</v>
      </c>
      <c r="AK290" s="1094" t="s">
        <v>4842</v>
      </c>
      <c r="AL290" s="1094" t="s">
        <v>4842</v>
      </c>
      <c r="AM290" s="1095" t="s">
        <v>3099</v>
      </c>
      <c r="AN290" s="1006" t="s">
        <v>293</v>
      </c>
      <c r="AO290" s="1006" t="s">
        <v>3156</v>
      </c>
      <c r="AP290" s="1263">
        <v>0</v>
      </c>
      <c r="AQ290" s="1064" t="s">
        <v>966</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customHeight="1">
      <c r="A291" s="1085" t="s">
        <v>996</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963</v>
      </c>
      <c r="AK291" s="1094" t="s">
        <v>1971</v>
      </c>
      <c r="AL291" s="1094" t="s">
        <v>1971</v>
      </c>
      <c r="AM291" s="1095" t="s">
        <v>3099</v>
      </c>
      <c r="AN291" s="1006" t="s">
        <v>991</v>
      </c>
      <c r="AO291" s="1006" t="s">
        <v>3161</v>
      </c>
      <c r="AP291" s="1263">
        <v>0</v>
      </c>
      <c r="AQ291" s="1064" t="s">
        <v>966</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customHeight="1">
      <c r="A292" s="1085" t="s">
        <v>996</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975</v>
      </c>
      <c r="AK292" s="1094" t="s">
        <v>964</v>
      </c>
      <c r="AL292" s="1094" t="s">
        <v>965</v>
      </c>
      <c r="AM292" s="1095" t="s">
        <v>3099</v>
      </c>
      <c r="AN292" s="1006" t="s">
        <v>991</v>
      </c>
      <c r="AO292" s="1006" t="s">
        <v>3166</v>
      </c>
      <c r="AP292" s="1263">
        <v>0</v>
      </c>
      <c r="AQ292" s="1064" t="s">
        <v>966</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customHeight="1">
      <c r="A293" s="1085" t="s">
        <v>996</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988</v>
      </c>
      <c r="AK293" s="1094" t="s">
        <v>964</v>
      </c>
      <c r="AL293" s="1094" t="s">
        <v>965</v>
      </c>
      <c r="AM293" s="1095" t="s">
        <v>3171</v>
      </c>
      <c r="AN293" s="1006" t="s">
        <v>1039</v>
      </c>
      <c r="AO293" s="1006" t="s">
        <v>3172</v>
      </c>
      <c r="AP293" s="1263">
        <v>2</v>
      </c>
      <c r="AQ293" s="1064" t="s">
        <v>966</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961</v>
      </c>
      <c r="CE293" s="1107" t="s">
        <v>961</v>
      </c>
      <c r="CF293" s="1107" t="s">
        <v>961</v>
      </c>
      <c r="CG293" s="1107" t="s">
        <v>961</v>
      </c>
      <c r="CH293" s="1108" t="s">
        <v>961</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996</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988</v>
      </c>
      <c r="AK294" s="1094" t="s">
        <v>964</v>
      </c>
      <c r="AL294" s="1094" t="s">
        <v>965</v>
      </c>
      <c r="AM294" s="1095" t="s">
        <v>3117</v>
      </c>
      <c r="AN294" s="1006" t="s">
        <v>991</v>
      </c>
      <c r="AO294" s="1006" t="s">
        <v>3177</v>
      </c>
      <c r="AP294" s="1263">
        <v>0</v>
      </c>
      <c r="AQ294" s="1064" t="s">
        <v>966</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customHeight="1">
      <c r="A295" s="1085" t="s">
        <v>996</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988</v>
      </c>
      <c r="AK295" s="1094" t="s">
        <v>964</v>
      </c>
      <c r="AL295" s="1094" t="s">
        <v>965</v>
      </c>
      <c r="AM295" s="1095" t="s">
        <v>3182</v>
      </c>
      <c r="AN295" s="1006" t="s">
        <v>1039</v>
      </c>
      <c r="AO295" s="1006" t="s">
        <v>3183</v>
      </c>
      <c r="AP295" s="1263">
        <v>2</v>
      </c>
      <c r="AQ295" s="1064" t="s">
        <v>966</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961</v>
      </c>
      <c r="CE295" s="1107" t="s">
        <v>961</v>
      </c>
      <c r="CF295" s="1107" t="s">
        <v>961</v>
      </c>
      <c r="CG295" s="1107" t="s">
        <v>961</v>
      </c>
      <c r="CH295" s="1108" t="s">
        <v>961</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996</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988</v>
      </c>
      <c r="AK296" s="1094" t="s">
        <v>964</v>
      </c>
      <c r="AL296" s="1094" t="s">
        <v>965</v>
      </c>
      <c r="AM296" s="1095" t="s">
        <v>3188</v>
      </c>
      <c r="AN296" s="1006" t="s">
        <v>293</v>
      </c>
      <c r="AO296" s="1006" t="s">
        <v>3189</v>
      </c>
      <c r="AP296" s="1263">
        <v>2</v>
      </c>
      <c r="AQ296" s="1064" t="s">
        <v>978</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customHeight="1">
      <c r="A297" s="1085" t="s">
        <v>996</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963</v>
      </c>
      <c r="AK297" s="1094" t="s">
        <v>4842</v>
      </c>
      <c r="AL297" s="1094" t="s">
        <v>4842</v>
      </c>
      <c r="AM297" s="1095" t="s">
        <v>3194</v>
      </c>
      <c r="AN297" s="1006" t="s">
        <v>293</v>
      </c>
      <c r="AO297" s="1006" t="s">
        <v>3195</v>
      </c>
      <c r="AP297" s="1263">
        <v>0</v>
      </c>
      <c r="AQ297" s="1064" t="s">
        <v>966</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customHeight="1">
      <c r="A298" s="1085" t="s">
        <v>996</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963</v>
      </c>
      <c r="AK298" s="1094" t="s">
        <v>4842</v>
      </c>
      <c r="AL298" s="1094" t="s">
        <v>4842</v>
      </c>
      <c r="AM298" s="1095" t="s">
        <v>3194</v>
      </c>
      <c r="AN298" s="1006" t="s">
        <v>293</v>
      </c>
      <c r="AO298" s="1006" t="s">
        <v>3201</v>
      </c>
      <c r="AP298" s="1263">
        <v>0</v>
      </c>
      <c r="AQ298" s="1064" t="s">
        <v>966</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customHeight="1">
      <c r="A299" s="1085" t="s">
        <v>996</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975</v>
      </c>
      <c r="AK299" s="1094" t="s">
        <v>964</v>
      </c>
      <c r="AL299" s="1094" t="s">
        <v>965</v>
      </c>
      <c r="AM299" s="1095" t="s">
        <v>3206</v>
      </c>
      <c r="AN299" s="1006" t="s">
        <v>991</v>
      </c>
      <c r="AO299" s="1006" t="s">
        <v>3207</v>
      </c>
      <c r="AP299" s="1263">
        <v>0</v>
      </c>
      <c r="AQ299" s="1064" t="s">
        <v>966</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customHeight="1">
      <c r="A300" s="1085" t="s">
        <v>996</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988</v>
      </c>
      <c r="AK300" s="1094" t="s">
        <v>964</v>
      </c>
      <c r="AL300" s="1094" t="s">
        <v>965</v>
      </c>
      <c r="AM300" s="1095" t="s">
        <v>3213</v>
      </c>
      <c r="AN300" s="1006" t="s">
        <v>1004</v>
      </c>
      <c r="AO300" s="1006" t="s">
        <v>3214</v>
      </c>
      <c r="AP300" s="1263">
        <v>0</v>
      </c>
      <c r="AQ300" s="1064" t="s">
        <v>966</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customHeight="1">
      <c r="A301" s="1085" t="s">
        <v>996</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963</v>
      </c>
      <c r="AK301" s="1094" t="s">
        <v>4842</v>
      </c>
      <c r="AL301" s="1094" t="s">
        <v>4842</v>
      </c>
      <c r="AM301" s="1095" t="s">
        <v>3219</v>
      </c>
      <c r="AN301" s="1006" t="s">
        <v>1044</v>
      </c>
      <c r="AO301" s="1006" t="s">
        <v>3220</v>
      </c>
      <c r="AP301" s="1263">
        <v>0</v>
      </c>
      <c r="AQ301" s="1064" t="s">
        <v>966</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customHeight="1">
      <c r="A302" s="1085" t="s">
        <v>996</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963</v>
      </c>
      <c r="AK302" s="1094" t="s">
        <v>4842</v>
      </c>
      <c r="AL302" s="1094" t="s">
        <v>4842</v>
      </c>
      <c r="AM302" s="1095" t="s">
        <v>2332</v>
      </c>
      <c r="AN302" s="1006" t="s">
        <v>293</v>
      </c>
      <c r="AO302" s="1006" t="s">
        <v>3225</v>
      </c>
      <c r="AP302" s="1263">
        <v>0</v>
      </c>
      <c r="AQ302" s="1064" t="s">
        <v>966</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customHeight="1">
      <c r="A303" s="1085" t="s">
        <v>996</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154</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988</v>
      </c>
      <c r="AK303" s="1094" t="s">
        <v>964</v>
      </c>
      <c r="AL303" s="1094" t="s">
        <v>965</v>
      </c>
      <c r="AM303" s="1095" t="s">
        <v>3230</v>
      </c>
      <c r="AN303" s="1006" t="s">
        <v>4781</v>
      </c>
      <c r="AO303" s="1006" t="s">
        <v>4782</v>
      </c>
      <c r="AP303" s="1296">
        <v>0</v>
      </c>
      <c r="AQ303" s="1064" t="s">
        <v>978</v>
      </c>
      <c r="AR303" s="1097" t="s">
        <v>154</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961</v>
      </c>
      <c r="CE303" s="1107" t="s">
        <v>961</v>
      </c>
      <c r="CF303" s="1107" t="s">
        <v>961</v>
      </c>
      <c r="CG303" s="1107" t="s">
        <v>961</v>
      </c>
      <c r="CH303" s="1108" t="s">
        <v>961</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996</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687</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988</v>
      </c>
      <c r="AK304" s="1094" t="s">
        <v>964</v>
      </c>
      <c r="AL304" s="1094" t="s">
        <v>965</v>
      </c>
      <c r="AM304" s="1095" t="s">
        <v>3213</v>
      </c>
      <c r="AN304" s="1006" t="s">
        <v>2204</v>
      </c>
      <c r="AO304" s="1006" t="s">
        <v>4477</v>
      </c>
      <c r="AP304" s="1296">
        <v>2</v>
      </c>
      <c r="AQ304" s="1064" t="s">
        <v>978</v>
      </c>
      <c r="AR304" s="1097" t="s">
        <v>687</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961</v>
      </c>
      <c r="CE304" s="1107" t="s">
        <v>961</v>
      </c>
      <c r="CF304" s="1107" t="s">
        <v>961</v>
      </c>
      <c r="CG304" s="1107" t="s">
        <v>961</v>
      </c>
      <c r="CH304" s="1108" t="s">
        <v>961</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996</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689</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988</v>
      </c>
      <c r="AK305" s="1094" t="s">
        <v>964</v>
      </c>
      <c r="AL305" s="1094" t="s">
        <v>965</v>
      </c>
      <c r="AM305" s="1095" t="s">
        <v>3239</v>
      </c>
      <c r="AN305" s="1006" t="s">
        <v>2204</v>
      </c>
      <c r="AO305" s="1006" t="s">
        <v>4798</v>
      </c>
      <c r="AP305" s="1296">
        <v>2</v>
      </c>
      <c r="AQ305" s="1064" t="s">
        <v>978</v>
      </c>
      <c r="AR305" s="1097" t="s">
        <v>689</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961</v>
      </c>
      <c r="CE305" s="1107" t="s">
        <v>961</v>
      </c>
      <c r="CF305" s="1107" t="s">
        <v>961</v>
      </c>
      <c r="CG305" s="1107" t="s">
        <v>961</v>
      </c>
      <c r="CH305" s="1108" t="s">
        <v>961</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996</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499</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963</v>
      </c>
      <c r="AK306" s="1094" t="s">
        <v>4842</v>
      </c>
      <c r="AL306" s="1094" t="s">
        <v>4842</v>
      </c>
      <c r="AM306" s="1095" t="s">
        <v>3244</v>
      </c>
      <c r="AN306" s="1006" t="s">
        <v>293</v>
      </c>
      <c r="AO306" s="1006" t="s">
        <v>4784</v>
      </c>
      <c r="AP306" s="1296">
        <v>1</v>
      </c>
      <c r="AQ306" s="1064" t="s">
        <v>978</v>
      </c>
      <c r="AR306" s="1097" t="s">
        <v>499</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996</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778</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963</v>
      </c>
      <c r="AK307" s="1094" t="s">
        <v>4842</v>
      </c>
      <c r="AL307" s="1094" t="s">
        <v>4842</v>
      </c>
      <c r="AM307" s="1095" t="s">
        <v>3244</v>
      </c>
      <c r="AN307" s="1006" t="s">
        <v>293</v>
      </c>
      <c r="AO307" s="1006" t="s">
        <v>4784</v>
      </c>
      <c r="AP307" s="1296">
        <v>2</v>
      </c>
      <c r="AQ307" s="1064" t="s">
        <v>978</v>
      </c>
      <c r="AR307" s="1097" t="s">
        <v>778</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996</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178</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988</v>
      </c>
      <c r="AK308" s="1094" t="s">
        <v>964</v>
      </c>
      <c r="AL308" s="1094" t="s">
        <v>965</v>
      </c>
      <c r="AM308" s="1095" t="s">
        <v>3253</v>
      </c>
      <c r="AN308" s="1006" t="s">
        <v>2204</v>
      </c>
      <c r="AO308" s="1006" t="s">
        <v>4786</v>
      </c>
      <c r="AP308" s="1296">
        <v>1</v>
      </c>
      <c r="AQ308" s="1064" t="s">
        <v>978</v>
      </c>
      <c r="AR308" s="1097" t="s">
        <v>178</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961</v>
      </c>
      <c r="CE308" s="1107" t="s">
        <v>961</v>
      </c>
      <c r="CF308" s="1107" t="s">
        <v>961</v>
      </c>
      <c r="CG308" s="1107" t="s">
        <v>961</v>
      </c>
      <c r="CH308" s="1108" t="s">
        <v>961</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996</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184</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984</v>
      </c>
      <c r="AK309" s="1094" t="s">
        <v>964</v>
      </c>
      <c r="AL309" s="1094" t="s">
        <v>965</v>
      </c>
      <c r="AM309" s="1095" t="s">
        <v>3258</v>
      </c>
      <c r="AN309" s="1006" t="s">
        <v>293</v>
      </c>
      <c r="AO309" s="1006" t="s">
        <v>4785</v>
      </c>
      <c r="AP309" s="1296">
        <v>2</v>
      </c>
      <c r="AQ309" s="1064" t="s">
        <v>978</v>
      </c>
      <c r="AR309" s="1097" t="s">
        <v>184</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961</v>
      </c>
      <c r="CE309" s="1107" t="s">
        <v>961</v>
      </c>
      <c r="CF309" s="1107" t="s">
        <v>961</v>
      </c>
      <c r="CG309" s="1107" t="s">
        <v>961</v>
      </c>
      <c r="CH309" s="1108" t="s">
        <v>961</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996</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693</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984</v>
      </c>
      <c r="AK310" s="1094" t="s">
        <v>964</v>
      </c>
      <c r="AL310" s="1094" t="s">
        <v>965</v>
      </c>
      <c r="AM310" s="1095" t="s">
        <v>3262</v>
      </c>
      <c r="AN310" s="1006" t="s">
        <v>2204</v>
      </c>
      <c r="AO310" s="1006" t="s">
        <v>4799</v>
      </c>
      <c r="AP310" s="1296">
        <v>2</v>
      </c>
      <c r="AQ310" s="1064" t="s">
        <v>978</v>
      </c>
      <c r="AR310" s="1097" t="s">
        <v>693</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961</v>
      </c>
      <c r="CE310" s="1107" t="s">
        <v>961</v>
      </c>
      <c r="CF310" s="1107" t="s">
        <v>961</v>
      </c>
      <c r="CG310" s="1107" t="s">
        <v>961</v>
      </c>
      <c r="CH310" s="1108" t="s">
        <v>961</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996</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1016</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984</v>
      </c>
      <c r="AK311" s="1094" t="s">
        <v>964</v>
      </c>
      <c r="AL311" s="1094" t="s">
        <v>965</v>
      </c>
      <c r="AM311" s="1095" t="s">
        <v>3267</v>
      </c>
      <c r="AN311" s="1006" t="s">
        <v>293</v>
      </c>
      <c r="AO311" s="1006" t="s">
        <v>2472</v>
      </c>
      <c r="AP311" s="1296">
        <v>2</v>
      </c>
      <c r="AQ311" s="1064" t="s">
        <v>966</v>
      </c>
      <c r="AR311" s="1097" t="s">
        <v>1016</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961</v>
      </c>
      <c r="CE311" s="1107" t="s">
        <v>961</v>
      </c>
      <c r="CF311" s="1107" t="s">
        <v>961</v>
      </c>
      <c r="CG311" s="1107" t="s">
        <v>961</v>
      </c>
      <c r="CH311" s="1108" t="s">
        <v>961</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996</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963</v>
      </c>
      <c r="AK312" s="1094" t="s">
        <v>4842</v>
      </c>
      <c r="AL312" s="1094" t="s">
        <v>4842</v>
      </c>
      <c r="AM312" s="1095" t="s">
        <v>3244</v>
      </c>
      <c r="AN312" s="1006" t="s">
        <v>991</v>
      </c>
      <c r="AO312" s="1006" t="s">
        <v>3273</v>
      </c>
      <c r="AP312" s="1263">
        <v>0</v>
      </c>
      <c r="AQ312" s="1064" t="s">
        <v>978</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customHeight="1">
      <c r="A313" s="1085" t="s">
        <v>996</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984</v>
      </c>
      <c r="AK313" s="1094" t="s">
        <v>964</v>
      </c>
      <c r="AL313" s="1094" t="s">
        <v>965</v>
      </c>
      <c r="AM313" s="1095" t="s">
        <v>3278</v>
      </c>
      <c r="AN313" s="1006" t="s">
        <v>2204</v>
      </c>
      <c r="AO313" s="1006" t="s">
        <v>4788</v>
      </c>
      <c r="AP313" s="1263">
        <v>0</v>
      </c>
      <c r="AQ313" s="1064" t="s">
        <v>978</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customHeight="1">
      <c r="A314" s="1085" t="s">
        <v>996</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988</v>
      </c>
      <c r="AK314" s="1094" t="s">
        <v>964</v>
      </c>
      <c r="AL314" s="1094" t="s">
        <v>965</v>
      </c>
      <c r="AM314" s="1095" t="s">
        <v>3213</v>
      </c>
      <c r="AN314" s="1006" t="s">
        <v>2204</v>
      </c>
      <c r="AO314" s="1006" t="s">
        <v>4477</v>
      </c>
      <c r="AP314" s="1263">
        <v>0</v>
      </c>
      <c r="AQ314" s="1064" t="s">
        <v>978</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customHeight="1">
      <c r="A315" s="1085" t="s">
        <v>996</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963</v>
      </c>
      <c r="AK315" s="1094" t="s">
        <v>4842</v>
      </c>
      <c r="AL315" s="1094" t="s">
        <v>4842</v>
      </c>
      <c r="AM315" s="1095" t="s">
        <v>3244</v>
      </c>
      <c r="AN315" s="1006" t="s">
        <v>293</v>
      </c>
      <c r="AO315" s="1006" t="s">
        <v>3288</v>
      </c>
      <c r="AP315" s="1263">
        <v>2</v>
      </c>
      <c r="AQ315" s="1064" t="s">
        <v>966</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customHeight="1">
      <c r="A316" s="1085" t="s">
        <v>996</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963</v>
      </c>
      <c r="AK316" s="1094" t="s">
        <v>4842</v>
      </c>
      <c r="AL316" s="1094" t="s">
        <v>4842</v>
      </c>
      <c r="AM316" s="1095" t="s">
        <v>3117</v>
      </c>
      <c r="AN316" s="1006" t="s">
        <v>991</v>
      </c>
      <c r="AO316" s="1006" t="s">
        <v>3293</v>
      </c>
      <c r="AP316" s="1263">
        <v>0</v>
      </c>
      <c r="AQ316" s="1064" t="s">
        <v>966</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customHeight="1">
      <c r="A317" s="1085" t="s">
        <v>996</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963</v>
      </c>
      <c r="AK317" s="1094" t="s">
        <v>4842</v>
      </c>
      <c r="AL317" s="1094" t="s">
        <v>4842</v>
      </c>
      <c r="AM317" s="1095" t="s">
        <v>3188</v>
      </c>
      <c r="AN317" s="1006" t="s">
        <v>991</v>
      </c>
      <c r="AO317" s="1006" t="s">
        <v>3299</v>
      </c>
      <c r="AP317" s="1263">
        <v>0</v>
      </c>
      <c r="AQ317" s="1064" t="s">
        <v>966</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customHeight="1">
      <c r="A318" s="1085" t="s">
        <v>996</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984</v>
      </c>
      <c r="AK318" s="1094" t="s">
        <v>976</v>
      </c>
      <c r="AL318" s="1094" t="s">
        <v>4845</v>
      </c>
      <c r="AM318" s="1095" t="s">
        <v>3244</v>
      </c>
      <c r="AN318" s="1006" t="s">
        <v>983</v>
      </c>
      <c r="AO318" s="1006" t="s">
        <v>1971</v>
      </c>
      <c r="AP318" s="1263">
        <v>0</v>
      </c>
      <c r="AQ318" s="1064" t="s">
        <v>966</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customHeight="1">
      <c r="A319" s="1085" t="s">
        <v>996</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963</v>
      </c>
      <c r="AK319" s="1094" t="s">
        <v>4842</v>
      </c>
      <c r="AL319" s="1094" t="s">
        <v>4842</v>
      </c>
      <c r="AM319" s="1095" t="s">
        <v>2135</v>
      </c>
      <c r="AN319" s="1006" t="s">
        <v>991</v>
      </c>
      <c r="AO319" s="1006" t="s">
        <v>3095</v>
      </c>
      <c r="AP319" s="1263">
        <v>0</v>
      </c>
      <c r="AQ319" s="1064" t="s">
        <v>978</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customHeight="1">
      <c r="A320" s="1085" t="s">
        <v>996</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963</v>
      </c>
      <c r="AK320" s="1094" t="s">
        <v>1971</v>
      </c>
      <c r="AL320" s="1094" t="s">
        <v>1971</v>
      </c>
      <c r="AM320" s="1095" t="s">
        <v>2423</v>
      </c>
      <c r="AN320" s="1006" t="s">
        <v>293</v>
      </c>
      <c r="AO320" s="1006" t="s">
        <v>3309</v>
      </c>
      <c r="AP320" s="1263">
        <v>0</v>
      </c>
      <c r="AQ320" s="1064" t="s">
        <v>966</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customHeight="1">
      <c r="A321" s="1085" t="s">
        <v>996</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658</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963</v>
      </c>
      <c r="AK321" s="1094" t="s">
        <v>1971</v>
      </c>
      <c r="AL321" s="1094" t="s">
        <v>1971</v>
      </c>
      <c r="AM321" s="1095" t="s">
        <v>1976</v>
      </c>
      <c r="AN321" s="1006" t="s">
        <v>293</v>
      </c>
      <c r="AO321" s="1006" t="s">
        <v>4791</v>
      </c>
      <c r="AP321" s="1296">
        <v>1</v>
      </c>
      <c r="AQ321" s="1064" t="s">
        <v>966</v>
      </c>
      <c r="AR321" s="1097" t="s">
        <v>658</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996</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984</v>
      </c>
      <c r="AK322" s="1094" t="s">
        <v>964</v>
      </c>
      <c r="AL322" s="1094" t="s">
        <v>4845</v>
      </c>
      <c r="AM322" s="1095" t="s">
        <v>1939</v>
      </c>
      <c r="AN322" s="1006" t="s">
        <v>983</v>
      </c>
      <c r="AO322" s="1006" t="s">
        <v>2346</v>
      </c>
      <c r="AP322" s="1263">
        <v>0</v>
      </c>
      <c r="AQ322" s="1064" t="s">
        <v>978</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customHeight="1">
      <c r="A323" s="1085" t="s">
        <v>996</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984</v>
      </c>
      <c r="AK323" s="1094" t="s">
        <v>964</v>
      </c>
      <c r="AL323" s="1094" t="s">
        <v>965</v>
      </c>
      <c r="AM323" s="1095" t="s">
        <v>1971</v>
      </c>
      <c r="AN323" s="1006" t="s">
        <v>293</v>
      </c>
      <c r="AO323" s="1006" t="s">
        <v>3321</v>
      </c>
      <c r="AP323" s="1263">
        <v>1</v>
      </c>
      <c r="AQ323" s="1064" t="s">
        <v>966</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customHeight="1">
      <c r="A324" s="1085" t="s">
        <v>996</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963</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988</v>
      </c>
      <c r="AK325" s="1094" t="s">
        <v>964</v>
      </c>
      <c r="AL325" s="1094" t="s">
        <v>965</v>
      </c>
      <c r="AM325" s="1095" t="s">
        <v>1027</v>
      </c>
      <c r="AN325" s="1006" t="s">
        <v>1039</v>
      </c>
      <c r="AO325" s="1006" t="s">
        <v>3326</v>
      </c>
      <c r="AP325" s="1309">
        <v>2</v>
      </c>
      <c r="AQ325" s="1064" t="s">
        <v>966</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961</v>
      </c>
      <c r="CE325" s="1107" t="s">
        <v>961</v>
      </c>
      <c r="CF325" s="1107" t="s">
        <v>961</v>
      </c>
      <c r="CG325" s="1107" t="s">
        <v>961</v>
      </c>
      <c r="CH325" s="1108" t="s">
        <v>961</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988</v>
      </c>
      <c r="AK326" s="1094" t="s">
        <v>964</v>
      </c>
      <c r="AL326" s="1094" t="s">
        <v>965</v>
      </c>
      <c r="AM326" s="1095" t="s">
        <v>1031</v>
      </c>
      <c r="AN326" s="1006" t="s">
        <v>1039</v>
      </c>
      <c r="AO326" s="1006" t="s">
        <v>3329</v>
      </c>
      <c r="AP326" s="1309">
        <v>2</v>
      </c>
      <c r="AQ326" s="1064" t="s">
        <v>966</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961</v>
      </c>
      <c r="CE326" s="1107" t="s">
        <v>961</v>
      </c>
      <c r="CF326" s="1107" t="s">
        <v>961</v>
      </c>
      <c r="CG326" s="1107" t="s">
        <v>961</v>
      </c>
      <c r="CH326" s="1108" t="s">
        <v>961</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963</v>
      </c>
      <c r="AK327" s="1094" t="s">
        <v>1971</v>
      </c>
      <c r="AL327" s="1094" t="s">
        <v>1971</v>
      </c>
      <c r="AM327" s="1095" t="s">
        <v>2371</v>
      </c>
      <c r="AN327" s="1006" t="s">
        <v>293</v>
      </c>
      <c r="AO327" s="1006" t="s">
        <v>1061</v>
      </c>
      <c r="AP327" s="1309">
        <v>1</v>
      </c>
      <c r="AQ327" s="1064" t="s">
        <v>966</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984</v>
      </c>
      <c r="AK328" s="1094" t="s">
        <v>964</v>
      </c>
      <c r="AL328" s="1094" t="s">
        <v>965</v>
      </c>
      <c r="AM328" s="1095" t="s">
        <v>2058</v>
      </c>
      <c r="AN328" s="1006" t="s">
        <v>991</v>
      </c>
      <c r="AO328" s="1006" t="s">
        <v>3337</v>
      </c>
      <c r="AP328" s="1309">
        <v>0</v>
      </c>
      <c r="AQ328" s="1064" t="s">
        <v>966</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984</v>
      </c>
      <c r="AK329" s="1094" t="s">
        <v>964</v>
      </c>
      <c r="AL329" s="1094" t="s">
        <v>965</v>
      </c>
      <c r="AM329" s="1095" t="s">
        <v>2058</v>
      </c>
      <c r="AN329" s="1006" t="s">
        <v>293</v>
      </c>
      <c r="AO329" s="1006" t="s">
        <v>1061</v>
      </c>
      <c r="AP329" s="1309">
        <v>1</v>
      </c>
      <c r="AQ329" s="1064" t="s">
        <v>966</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988</v>
      </c>
      <c r="AK330" s="1094" t="s">
        <v>964</v>
      </c>
      <c r="AL330" s="1094" t="s">
        <v>965</v>
      </c>
      <c r="AM330" s="1095" t="s">
        <v>2423</v>
      </c>
      <c r="AN330" s="1006" t="s">
        <v>991</v>
      </c>
      <c r="AO330" s="1006" t="s">
        <v>2424</v>
      </c>
      <c r="AP330" s="1309">
        <v>0</v>
      </c>
      <c r="AQ330" s="1064" t="s">
        <v>966</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658</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963</v>
      </c>
      <c r="AK331" s="1094" t="s">
        <v>1971</v>
      </c>
      <c r="AL331" s="1094" t="s">
        <v>1971</v>
      </c>
      <c r="AM331" s="1095" t="s">
        <v>2058</v>
      </c>
      <c r="AN331" s="1006" t="s">
        <v>293</v>
      </c>
      <c r="AO331" s="1006" t="s">
        <v>4791</v>
      </c>
      <c r="AP331" s="1296">
        <v>1</v>
      </c>
      <c r="AQ331" s="1064" t="s">
        <v>966</v>
      </c>
      <c r="AR331" s="1097" t="s">
        <v>658</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988</v>
      </c>
      <c r="AK332" s="1055" t="s">
        <v>964</v>
      </c>
      <c r="AL332" s="1055" t="s">
        <v>965</v>
      </c>
      <c r="AM332" s="1056" t="s">
        <v>629</v>
      </c>
      <c r="AN332" s="1050" t="s">
        <v>293</v>
      </c>
      <c r="AO332" s="1050" t="s">
        <v>4783</v>
      </c>
      <c r="AP332" s="1296">
        <v>1</v>
      </c>
      <c r="AQ332" s="821" t="s">
        <v>966</v>
      </c>
      <c r="AR332" s="1059" t="s">
        <v>629</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961</v>
      </c>
      <c r="CE332" s="1073" t="s">
        <v>961</v>
      </c>
      <c r="CF332" s="1073" t="s">
        <v>961</v>
      </c>
      <c r="CG332" s="1073" t="s">
        <v>961</v>
      </c>
      <c r="CH332" s="1074" t="s">
        <v>961</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988</v>
      </c>
      <c r="AK333" s="1055" t="s">
        <v>964</v>
      </c>
      <c r="AL333" s="1055" t="s">
        <v>965</v>
      </c>
      <c r="AM333" s="1056" t="s">
        <v>629</v>
      </c>
      <c r="AN333" s="1050" t="s">
        <v>293</v>
      </c>
      <c r="AO333" s="1050" t="s">
        <v>4783</v>
      </c>
      <c r="AP333" s="1296">
        <v>1</v>
      </c>
      <c r="AQ333" s="821" t="s">
        <v>966</v>
      </c>
      <c r="AR333" s="1059" t="s">
        <v>629</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961</v>
      </c>
      <c r="CE333" s="1073" t="s">
        <v>961</v>
      </c>
      <c r="CF333" s="1073" t="s">
        <v>961</v>
      </c>
      <c r="CG333" s="1073" t="s">
        <v>961</v>
      </c>
      <c r="CH333" s="1074" t="s">
        <v>961</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988</v>
      </c>
      <c r="AK334" s="1055" t="s">
        <v>964</v>
      </c>
      <c r="AL334" s="1414" t="s">
        <v>977</v>
      </c>
      <c r="AM334" s="1056" t="s">
        <v>2083</v>
      </c>
      <c r="AN334" s="1050" t="s">
        <v>2147</v>
      </c>
      <c r="AO334" s="1050" t="s">
        <v>4783</v>
      </c>
      <c r="AP334" s="1296">
        <v>1</v>
      </c>
      <c r="AQ334" s="821" t="s">
        <v>966</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961</v>
      </c>
      <c r="CE334" s="1073" t="s">
        <v>961</v>
      </c>
      <c r="CF334" s="1073" t="s">
        <v>961</v>
      </c>
      <c r="CG334" s="1073" t="s">
        <v>961</v>
      </c>
      <c r="CH334" s="1074" t="s">
        <v>961</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988</v>
      </c>
      <c r="AK335" s="1055" t="s">
        <v>964</v>
      </c>
      <c r="AL335" s="1414" t="s">
        <v>977</v>
      </c>
      <c r="AM335" s="1056" t="s">
        <v>2083</v>
      </c>
      <c r="AN335" s="1050" t="s">
        <v>2147</v>
      </c>
      <c r="AO335" s="1050" t="s">
        <v>4783</v>
      </c>
      <c r="AP335" s="1296">
        <v>1</v>
      </c>
      <c r="AQ335" s="821" t="s">
        <v>966</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961</v>
      </c>
      <c r="CE335" s="1073" t="s">
        <v>961</v>
      </c>
      <c r="CF335" s="1073" t="s">
        <v>961</v>
      </c>
      <c r="CG335" s="1073" t="s">
        <v>961</v>
      </c>
      <c r="CH335" s="1074" t="s">
        <v>961</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988</v>
      </c>
      <c r="AK336" s="1094" t="s">
        <v>964</v>
      </c>
      <c r="AL336" s="1094" t="s">
        <v>965</v>
      </c>
      <c r="AM336" s="1095" t="s">
        <v>2008</v>
      </c>
      <c r="AN336" s="844" t="s">
        <v>410</v>
      </c>
      <c r="AO336" s="1006" t="s">
        <v>3362</v>
      </c>
      <c r="AP336" s="1309">
        <v>2</v>
      </c>
      <c r="AQ336" s="1064" t="s">
        <v>966</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963</v>
      </c>
      <c r="AK337" s="1094" t="s">
        <v>1971</v>
      </c>
      <c r="AL337" s="1094" t="s">
        <v>1971</v>
      </c>
      <c r="AM337" s="1095" t="s">
        <v>2083</v>
      </c>
      <c r="AN337" s="1006" t="s">
        <v>991</v>
      </c>
      <c r="AO337" s="1006" t="s">
        <v>3367</v>
      </c>
      <c r="AP337" s="1309">
        <v>1</v>
      </c>
      <c r="AQ337" s="1064" t="s">
        <v>966</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988</v>
      </c>
      <c r="AK338" s="1094" t="s">
        <v>964</v>
      </c>
      <c r="AL338" s="1094" t="s">
        <v>965</v>
      </c>
      <c r="AM338" s="1095" t="s">
        <v>2315</v>
      </c>
      <c r="AN338" s="1006" t="s">
        <v>991</v>
      </c>
      <c r="AO338" s="1006" t="s">
        <v>3372</v>
      </c>
      <c r="AP338" s="1309">
        <v>1</v>
      </c>
      <c r="AQ338" s="1064" t="s">
        <v>966</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963</v>
      </c>
      <c r="AK339" s="1094" t="s">
        <v>1971</v>
      </c>
      <c r="AL339" s="1094" t="s">
        <v>1971</v>
      </c>
      <c r="AM339" s="1095" t="s">
        <v>2161</v>
      </c>
      <c r="AN339" s="1006" t="s">
        <v>991</v>
      </c>
      <c r="AO339" s="1006" t="s">
        <v>3377</v>
      </c>
      <c r="AP339" s="1309">
        <v>1</v>
      </c>
      <c r="AQ339" s="1064" t="s">
        <v>978</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984</v>
      </c>
      <c r="AK340" s="1094" t="s">
        <v>964</v>
      </c>
      <c r="AL340" s="1094" t="s">
        <v>965</v>
      </c>
      <c r="AM340" s="1095" t="s">
        <v>1955</v>
      </c>
      <c r="AN340" s="1006" t="s">
        <v>2204</v>
      </c>
      <c r="AO340" s="1006" t="s">
        <v>4787</v>
      </c>
      <c r="AP340" s="1296">
        <v>2</v>
      </c>
      <c r="AQ340" s="1064" t="s">
        <v>978</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961</v>
      </c>
      <c r="CE340" s="1107" t="s">
        <v>961</v>
      </c>
      <c r="CF340" s="1107" t="s">
        <v>961</v>
      </c>
      <c r="CG340" s="1107" t="s">
        <v>961</v>
      </c>
      <c r="CH340" s="1108" t="s">
        <v>961</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154</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988</v>
      </c>
      <c r="AK341" s="1094" t="s">
        <v>964</v>
      </c>
      <c r="AL341" s="1094" t="s">
        <v>965</v>
      </c>
      <c r="AM341" s="1095" t="s">
        <v>1923</v>
      </c>
      <c r="AN341" s="1006" t="s">
        <v>4781</v>
      </c>
      <c r="AO341" s="1006" t="s">
        <v>4782</v>
      </c>
      <c r="AP341" s="1296">
        <v>0</v>
      </c>
      <c r="AQ341" s="1064" t="s">
        <v>978</v>
      </c>
      <c r="AR341" s="1097" t="s">
        <v>154</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961</v>
      </c>
      <c r="CE341" s="1107" t="s">
        <v>961</v>
      </c>
      <c r="CF341" s="1107" t="s">
        <v>961</v>
      </c>
      <c r="CG341" s="1107" t="s">
        <v>961</v>
      </c>
      <c r="CH341" s="1108" t="s">
        <v>961</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499</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963</v>
      </c>
      <c r="AK342" s="1094" t="s">
        <v>1971</v>
      </c>
      <c r="AL342" s="1094" t="s">
        <v>1971</v>
      </c>
      <c r="AM342" s="1095" t="s">
        <v>2960</v>
      </c>
      <c r="AN342" s="1006" t="s">
        <v>293</v>
      </c>
      <c r="AO342" s="1006" t="s">
        <v>4784</v>
      </c>
      <c r="AP342" s="1296">
        <v>1</v>
      </c>
      <c r="AQ342" s="1064" t="s">
        <v>978</v>
      </c>
      <c r="AR342" s="1097" t="s">
        <v>499</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178</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988</v>
      </c>
      <c r="AK343" s="1094" t="s">
        <v>964</v>
      </c>
      <c r="AL343" s="1094" t="s">
        <v>965</v>
      </c>
      <c r="AM343" s="1095" t="s">
        <v>1949</v>
      </c>
      <c r="AN343" s="1006" t="s">
        <v>2204</v>
      </c>
      <c r="AO343" s="1006" t="s">
        <v>4786</v>
      </c>
      <c r="AP343" s="1296">
        <v>1</v>
      </c>
      <c r="AQ343" s="1064" t="s">
        <v>978</v>
      </c>
      <c r="AR343" s="1097" t="s">
        <v>178</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961</v>
      </c>
      <c r="CE343" s="1107" t="s">
        <v>961</v>
      </c>
      <c r="CF343" s="1107" t="s">
        <v>961</v>
      </c>
      <c r="CG343" s="1107" t="s">
        <v>961</v>
      </c>
      <c r="CH343" s="1108" t="s">
        <v>961</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184</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988</v>
      </c>
      <c r="AK344" s="1094" t="s">
        <v>964</v>
      </c>
      <c r="AL344" s="1094" t="s">
        <v>965</v>
      </c>
      <c r="AM344" s="1095" t="s">
        <v>1949</v>
      </c>
      <c r="AN344" s="1006" t="s">
        <v>293</v>
      </c>
      <c r="AO344" s="1006" t="s">
        <v>4785</v>
      </c>
      <c r="AP344" s="1296">
        <v>2</v>
      </c>
      <c r="AQ344" s="1064" t="s">
        <v>978</v>
      </c>
      <c r="AR344" s="1097" t="s">
        <v>184</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961</v>
      </c>
      <c r="CE344" s="1107" t="s">
        <v>961</v>
      </c>
      <c r="CF344" s="1107" t="s">
        <v>961</v>
      </c>
      <c r="CG344" s="1107" t="s">
        <v>961</v>
      </c>
      <c r="CH344" s="1108" t="s">
        <v>961</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988</v>
      </c>
      <c r="AK345" s="1094" t="s">
        <v>964</v>
      </c>
      <c r="AL345" s="1094" t="s">
        <v>965</v>
      </c>
      <c r="AM345" s="1095" t="s">
        <v>2178</v>
      </c>
      <c r="AN345" s="1006" t="s">
        <v>410</v>
      </c>
      <c r="AO345" s="1006" t="s">
        <v>4790</v>
      </c>
      <c r="AP345" s="1296">
        <v>2</v>
      </c>
      <c r="AQ345" s="1064" t="s">
        <v>978</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988</v>
      </c>
      <c r="AK346" s="1094" t="s">
        <v>964</v>
      </c>
      <c r="AL346" s="1094" t="s">
        <v>965</v>
      </c>
      <c r="AM346" s="1095" t="s">
        <v>2264</v>
      </c>
      <c r="AN346" s="1006" t="s">
        <v>1030</v>
      </c>
      <c r="AO346" s="1006" t="s">
        <v>3404</v>
      </c>
      <c r="AP346" s="1309">
        <v>0</v>
      </c>
      <c r="AQ346" s="1064" t="s">
        <v>978</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984</v>
      </c>
      <c r="AK347" s="1094" t="s">
        <v>964</v>
      </c>
      <c r="AL347" s="1094" t="s">
        <v>965</v>
      </c>
      <c r="AM347" s="1095" t="s">
        <v>2114</v>
      </c>
      <c r="AN347" s="1006" t="s">
        <v>293</v>
      </c>
      <c r="AO347" s="1006" t="s">
        <v>3409</v>
      </c>
      <c r="AP347" s="1309">
        <v>1</v>
      </c>
      <c r="AQ347" s="1064" t="s">
        <v>966</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963</v>
      </c>
      <c r="AK348" s="1094" t="s">
        <v>1971</v>
      </c>
      <c r="AL348" s="1094" t="s">
        <v>1971</v>
      </c>
      <c r="AM348" s="1095" t="s">
        <v>2698</v>
      </c>
      <c r="AN348" s="1006" t="s">
        <v>293</v>
      </c>
      <c r="AO348" s="1006" t="s">
        <v>1061</v>
      </c>
      <c r="AP348" s="1309">
        <v>2</v>
      </c>
      <c r="AQ348" s="1064" t="s">
        <v>978</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984</v>
      </c>
      <c r="AK349" s="1094" t="s">
        <v>964</v>
      </c>
      <c r="AL349" s="1094" t="s">
        <v>965</v>
      </c>
      <c r="AM349" s="1095" t="s">
        <v>2781</v>
      </c>
      <c r="AN349" s="1006" t="s">
        <v>293</v>
      </c>
      <c r="AO349" s="1006" t="s">
        <v>1061</v>
      </c>
      <c r="AP349" s="1309">
        <v>0</v>
      </c>
      <c r="AQ349" s="1064" t="s">
        <v>966</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963</v>
      </c>
      <c r="AK350" s="1094" t="s">
        <v>1971</v>
      </c>
      <c r="AL350" s="1094" t="s">
        <v>1971</v>
      </c>
      <c r="AM350" s="1095" t="s">
        <v>3420</v>
      </c>
      <c r="AN350" s="1006" t="s">
        <v>1039</v>
      </c>
      <c r="AO350" s="1006" t="s">
        <v>3421</v>
      </c>
      <c r="AP350" s="1309">
        <v>0</v>
      </c>
      <c r="AQ350" s="1064" t="s">
        <v>966</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963</v>
      </c>
      <c r="AK351" s="1094" t="s">
        <v>1971</v>
      </c>
      <c r="AL351" s="1094" t="s">
        <v>1971</v>
      </c>
      <c r="AM351" s="1095" t="s">
        <v>3425</v>
      </c>
      <c r="AN351" s="1006" t="s">
        <v>293</v>
      </c>
      <c r="AO351" s="1006" t="s">
        <v>1061</v>
      </c>
      <c r="AP351" s="1309">
        <v>0</v>
      </c>
      <c r="AQ351" s="1064" t="s">
        <v>966</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963</v>
      </c>
      <c r="AK352" s="1094" t="s">
        <v>1971</v>
      </c>
      <c r="AL352" s="1094" t="s">
        <v>1971</v>
      </c>
      <c r="AM352" s="1095" t="s">
        <v>1976</v>
      </c>
      <c r="AN352" s="1006" t="s">
        <v>991</v>
      </c>
      <c r="AO352" s="1006" t="s">
        <v>3430</v>
      </c>
      <c r="AP352" s="1309">
        <v>2</v>
      </c>
      <c r="AQ352" s="1064" t="s">
        <v>966</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963</v>
      </c>
      <c r="AK353" s="1094" t="s">
        <v>1971</v>
      </c>
      <c r="AL353" s="1094" t="s">
        <v>1971</v>
      </c>
      <c r="AM353" s="1095" t="s">
        <v>2698</v>
      </c>
      <c r="AN353" s="1006" t="s">
        <v>293</v>
      </c>
      <c r="AO353" s="1006" t="s">
        <v>1061</v>
      </c>
      <c r="AP353" s="1309">
        <v>0</v>
      </c>
      <c r="AQ353" s="1064" t="s">
        <v>966</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963</v>
      </c>
      <c r="AK354" s="1094" t="s">
        <v>1971</v>
      </c>
      <c r="AL354" s="1094" t="s">
        <v>1971</v>
      </c>
      <c r="AM354" s="1095" t="s">
        <v>1971</v>
      </c>
      <c r="AN354" s="1006" t="s">
        <v>1971</v>
      </c>
      <c r="AO354" s="1006" t="s">
        <v>2063</v>
      </c>
      <c r="AP354" s="1309">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customHeight="1">
      <c r="A355" s="1085" t="s">
        <v>993</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975</v>
      </c>
      <c r="AK355" s="1094" t="s">
        <v>964</v>
      </c>
      <c r="AL355" s="1094" t="s">
        <v>965</v>
      </c>
      <c r="AM355" s="1095" t="s">
        <v>2698</v>
      </c>
      <c r="AN355" s="1006" t="s">
        <v>991</v>
      </c>
      <c r="AO355" s="1006" t="s">
        <v>3439</v>
      </c>
      <c r="AP355" s="1309">
        <v>0</v>
      </c>
      <c r="AQ355" s="1064" t="s">
        <v>978</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customHeight="1">
      <c r="A356" s="1085" t="s">
        <v>993</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963</v>
      </c>
      <c r="AK356" s="1094" t="s">
        <v>1971</v>
      </c>
      <c r="AL356" s="1094" t="s">
        <v>1971</v>
      </c>
      <c r="AM356" s="1095" t="s">
        <v>2698</v>
      </c>
      <c r="AN356" s="1006" t="s">
        <v>991</v>
      </c>
      <c r="AO356" s="1006" t="s">
        <v>3444</v>
      </c>
      <c r="AP356" s="1309">
        <v>0</v>
      </c>
      <c r="AQ356" s="1064" t="s">
        <v>966</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customHeight="1">
      <c r="A357" s="1085" t="s">
        <v>993</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975</v>
      </c>
      <c r="AK357" s="1094" t="s">
        <v>964</v>
      </c>
      <c r="AL357" s="1094" t="s">
        <v>965</v>
      </c>
      <c r="AM357" s="1095" t="s">
        <v>2698</v>
      </c>
      <c r="AN357" s="1006" t="s">
        <v>991</v>
      </c>
      <c r="AO357" s="1006" t="s">
        <v>3449</v>
      </c>
      <c r="AP357" s="1309">
        <v>0</v>
      </c>
      <c r="AQ357" s="1064" t="s">
        <v>966</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customHeight="1">
      <c r="A358" s="1085" t="s">
        <v>993</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963</v>
      </c>
      <c r="AK358" s="1094" t="s">
        <v>1971</v>
      </c>
      <c r="AL358" s="1094" t="s">
        <v>1971</v>
      </c>
      <c r="AM358" s="1095" t="s">
        <v>2698</v>
      </c>
      <c r="AN358" s="1006" t="s">
        <v>293</v>
      </c>
      <c r="AO358" s="1006" t="s">
        <v>3453</v>
      </c>
      <c r="AP358" s="1309">
        <v>1</v>
      </c>
      <c r="AQ358" s="1064" t="s">
        <v>966</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customHeight="1">
      <c r="A359" s="1085" t="s">
        <v>993</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988</v>
      </c>
      <c r="AK359" s="1094" t="s">
        <v>964</v>
      </c>
      <c r="AL359" s="1094" t="s">
        <v>965</v>
      </c>
      <c r="AM359" s="1095" t="s">
        <v>2423</v>
      </c>
      <c r="AN359" s="1006" t="s">
        <v>991</v>
      </c>
      <c r="AO359" s="1006" t="s">
        <v>2424</v>
      </c>
      <c r="AP359" s="1309">
        <v>0</v>
      </c>
      <c r="AQ359" s="1064" t="s">
        <v>966</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customHeight="1">
      <c r="A360" s="1085" t="s">
        <v>993</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1016</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984</v>
      </c>
      <c r="AK360" s="1094" t="s">
        <v>964</v>
      </c>
      <c r="AL360" s="1094" t="s">
        <v>965</v>
      </c>
      <c r="AM360" s="1095" t="s">
        <v>2135</v>
      </c>
      <c r="AN360" s="1006" t="s">
        <v>293</v>
      </c>
      <c r="AO360" s="1006" t="s">
        <v>2472</v>
      </c>
      <c r="AP360" s="1296">
        <v>2</v>
      </c>
      <c r="AQ360" s="1064" t="s">
        <v>966</v>
      </c>
      <c r="AR360" s="1097" t="s">
        <v>1016</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961</v>
      </c>
      <c r="CE360" s="1107" t="s">
        <v>961</v>
      </c>
      <c r="CF360" s="1107" t="s">
        <v>961</v>
      </c>
      <c r="CG360" s="1107" t="s">
        <v>961</v>
      </c>
      <c r="CH360" s="1108" t="s">
        <v>961</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993</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988</v>
      </c>
      <c r="AK361" s="1094" t="s">
        <v>964</v>
      </c>
      <c r="AL361" s="1094" t="s">
        <v>977</v>
      </c>
      <c r="AM361" s="1095" t="s">
        <v>2135</v>
      </c>
      <c r="AN361" s="1006" t="s">
        <v>991</v>
      </c>
      <c r="AO361" s="1006" t="s">
        <v>3465</v>
      </c>
      <c r="AP361" s="1309">
        <v>0</v>
      </c>
      <c r="AQ361" s="1064" t="s">
        <v>966</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customHeight="1">
      <c r="A362" s="1085" t="s">
        <v>993</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988</v>
      </c>
      <c r="AK362" s="1094" t="s">
        <v>964</v>
      </c>
      <c r="AL362" s="1094" t="s">
        <v>965</v>
      </c>
      <c r="AM362" s="1095" t="s">
        <v>2315</v>
      </c>
      <c r="AN362" s="1006" t="s">
        <v>991</v>
      </c>
      <c r="AO362" s="1006" t="s">
        <v>3372</v>
      </c>
      <c r="AP362" s="1309">
        <v>1</v>
      </c>
      <c r="AQ362" s="1064" t="s">
        <v>966</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customHeight="1">
      <c r="A363" s="1085" t="s">
        <v>993</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988</v>
      </c>
      <c r="AK363" s="1094" t="s">
        <v>964</v>
      </c>
      <c r="AL363" s="1094" t="s">
        <v>965</v>
      </c>
      <c r="AM363" s="1095" t="s">
        <v>2315</v>
      </c>
      <c r="AN363" s="1006" t="s">
        <v>991</v>
      </c>
      <c r="AO363" s="1006" t="s">
        <v>3372</v>
      </c>
      <c r="AP363" s="1309">
        <v>1</v>
      </c>
      <c r="AQ363" s="1064" t="s">
        <v>966</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customHeight="1">
      <c r="A364" s="1085" t="s">
        <v>993</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984</v>
      </c>
      <c r="AK364" s="1094" t="s">
        <v>964</v>
      </c>
      <c r="AL364" s="1094" t="s">
        <v>965</v>
      </c>
      <c r="AM364" s="1095" t="s">
        <v>711</v>
      </c>
      <c r="AN364" s="1006" t="s">
        <v>293</v>
      </c>
      <c r="AO364" s="1006" t="s">
        <v>3477</v>
      </c>
      <c r="AP364" s="1309">
        <v>2</v>
      </c>
      <c r="AQ364" s="1064" t="s">
        <v>966</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customHeight="1">
      <c r="A365" s="1085" t="s">
        <v>993</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988</v>
      </c>
      <c r="AK365" s="1094" t="s">
        <v>964</v>
      </c>
      <c r="AL365" s="1094" t="s">
        <v>965</v>
      </c>
      <c r="AM365" s="1095" t="s">
        <v>1027</v>
      </c>
      <c r="AN365" s="1006" t="s">
        <v>1039</v>
      </c>
      <c r="AO365" s="1006" t="s">
        <v>2068</v>
      </c>
      <c r="AP365" s="1309">
        <v>2</v>
      </c>
      <c r="AQ365" s="1064" t="s">
        <v>966</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961</v>
      </c>
      <c r="CE365" s="1107" t="s">
        <v>961</v>
      </c>
      <c r="CF365" s="1107" t="s">
        <v>961</v>
      </c>
      <c r="CG365" s="1107" t="s">
        <v>961</v>
      </c>
      <c r="CH365" s="1108" t="s">
        <v>961</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993</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988</v>
      </c>
      <c r="AK366" s="1094" t="s">
        <v>964</v>
      </c>
      <c r="AL366" s="1094" t="s">
        <v>965</v>
      </c>
      <c r="AM366" s="1095" t="s">
        <v>1031</v>
      </c>
      <c r="AN366" s="1006" t="s">
        <v>1039</v>
      </c>
      <c r="AO366" s="1006" t="s">
        <v>431</v>
      </c>
      <c r="AP366" s="1309">
        <v>2</v>
      </c>
      <c r="AQ366" s="1064" t="s">
        <v>966</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961</v>
      </c>
      <c r="CE366" s="1107" t="s">
        <v>961</v>
      </c>
      <c r="CF366" s="1107" t="s">
        <v>961</v>
      </c>
      <c r="CG366" s="1107" t="s">
        <v>961</v>
      </c>
      <c r="CH366" s="1108" t="s">
        <v>961</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973</v>
      </c>
      <c r="DV366" s="1112">
        <v>1</v>
      </c>
      <c r="DW366" s="1113" t="s">
        <v>1971</v>
      </c>
    </row>
    <row r="367" spans="1:127" s="390" customFormat="1" ht="15.75" customHeight="1">
      <c r="A367" s="1085" t="s">
        <v>993</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963</v>
      </c>
      <c r="AK367" s="1094" t="s">
        <v>1971</v>
      </c>
      <c r="AL367" s="1094" t="s">
        <v>1971</v>
      </c>
      <c r="AM367" s="1095" t="s">
        <v>2146</v>
      </c>
      <c r="AN367" s="1006" t="s">
        <v>293</v>
      </c>
      <c r="AO367" s="1006" t="s">
        <v>2482</v>
      </c>
      <c r="AP367" s="1309">
        <v>0</v>
      </c>
      <c r="AQ367" s="1064" t="s">
        <v>966</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customHeight="1">
      <c r="A368" s="1085" t="s">
        <v>993</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658</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963</v>
      </c>
      <c r="AK368" s="1094" t="s">
        <v>1971</v>
      </c>
      <c r="AL368" s="1094" t="s">
        <v>1971</v>
      </c>
      <c r="AM368" s="1095" t="s">
        <v>2146</v>
      </c>
      <c r="AN368" s="1006" t="s">
        <v>293</v>
      </c>
      <c r="AO368" s="1006" t="s">
        <v>4791</v>
      </c>
      <c r="AP368" s="1296">
        <v>1</v>
      </c>
      <c r="AQ368" s="1064" t="s">
        <v>966</v>
      </c>
      <c r="AR368" s="1097" t="s">
        <v>658</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993</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687</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988</v>
      </c>
      <c r="AK369" s="1094" t="s">
        <v>964</v>
      </c>
      <c r="AL369" s="1094" t="s">
        <v>965</v>
      </c>
      <c r="AM369" s="1095" t="s">
        <v>2087</v>
      </c>
      <c r="AN369" s="1006" t="s">
        <v>2204</v>
      </c>
      <c r="AO369" s="1006" t="s">
        <v>4477</v>
      </c>
      <c r="AP369" s="1296">
        <v>2</v>
      </c>
      <c r="AQ369" s="1064" t="s">
        <v>978</v>
      </c>
      <c r="AR369" s="1097" t="s">
        <v>687</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961</v>
      </c>
      <c r="CE369" s="1107" t="s">
        <v>961</v>
      </c>
      <c r="CF369" s="1107" t="s">
        <v>961</v>
      </c>
      <c r="CG369" s="1107" t="s">
        <v>961</v>
      </c>
      <c r="CH369" s="1108" t="s">
        <v>961</v>
      </c>
      <c r="CI369" s="1394">
        <v>2.56</v>
      </c>
      <c r="CJ369" s="1394">
        <v>2.56</v>
      </c>
      <c r="CK369" s="1394">
        <v>2.56</v>
      </c>
      <c r="CL369" s="1394">
        <v>2.56</v>
      </c>
      <c r="CM369" s="1394">
        <v>2.56</v>
      </c>
      <c r="CN369" s="1395">
        <v>2.35</v>
      </c>
      <c r="CO369" s="1395">
        <v>2.35</v>
      </c>
      <c r="CP369" s="1395">
        <v>2.35</v>
      </c>
      <c r="CQ369" s="1395">
        <v>2.35</v>
      </c>
      <c r="CR369" s="1395">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993</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689</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988</v>
      </c>
      <c r="AK370" s="1094" t="s">
        <v>964</v>
      </c>
      <c r="AL370" s="1094" t="s">
        <v>965</v>
      </c>
      <c r="AM370" s="1095" t="s">
        <v>689</v>
      </c>
      <c r="AN370" s="1006" t="s">
        <v>2204</v>
      </c>
      <c r="AO370" s="1006" t="s">
        <v>4798</v>
      </c>
      <c r="AP370" s="1296">
        <v>2</v>
      </c>
      <c r="AQ370" s="1064" t="s">
        <v>978</v>
      </c>
      <c r="AR370" s="1097" t="s">
        <v>689</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961</v>
      </c>
      <c r="CE370" s="1107" t="s">
        <v>961</v>
      </c>
      <c r="CF370" s="1107" t="s">
        <v>961</v>
      </c>
      <c r="CG370" s="1107" t="s">
        <v>961</v>
      </c>
      <c r="CH370" s="1108" t="s">
        <v>961</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993</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693</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988</v>
      </c>
      <c r="AK371" s="1094" t="s">
        <v>964</v>
      </c>
      <c r="AL371" s="1094" t="s">
        <v>965</v>
      </c>
      <c r="AM371" s="1095" t="s">
        <v>1949</v>
      </c>
      <c r="AN371" s="1006" t="s">
        <v>2204</v>
      </c>
      <c r="AO371" s="1006" t="s">
        <v>4799</v>
      </c>
      <c r="AP371" s="1296">
        <v>2</v>
      </c>
      <c r="AQ371" s="1064" t="s">
        <v>978</v>
      </c>
      <c r="AR371" s="1097" t="s">
        <v>693</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961</v>
      </c>
      <c r="CE371" s="1107" t="s">
        <v>961</v>
      </c>
      <c r="CF371" s="1107" t="s">
        <v>961</v>
      </c>
      <c r="CG371" s="1107" t="s">
        <v>961</v>
      </c>
      <c r="CH371" s="1108" t="s">
        <v>961</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993</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778</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963</v>
      </c>
      <c r="AK372" s="1094" t="s">
        <v>1971</v>
      </c>
      <c r="AL372" s="1094" t="s">
        <v>1971</v>
      </c>
      <c r="AM372" s="1095" t="s">
        <v>1939</v>
      </c>
      <c r="AN372" s="1006" t="s">
        <v>293</v>
      </c>
      <c r="AO372" s="1006" t="s">
        <v>4784</v>
      </c>
      <c r="AP372" s="1296">
        <v>2</v>
      </c>
      <c r="AQ372" s="1064" t="s">
        <v>978</v>
      </c>
      <c r="AR372" s="1097" t="s">
        <v>778</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993</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988</v>
      </c>
      <c r="AK373" s="1094" t="s">
        <v>964</v>
      </c>
      <c r="AL373" s="1094" t="s">
        <v>965</v>
      </c>
      <c r="AM373" s="1095" t="s">
        <v>2087</v>
      </c>
      <c r="AN373" s="1006" t="s">
        <v>2204</v>
      </c>
      <c r="AO373" s="1006" t="s">
        <v>4477</v>
      </c>
      <c r="AP373" s="1309">
        <v>0</v>
      </c>
      <c r="AQ373" s="1064" t="s">
        <v>978</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customHeight="1">
      <c r="A374" s="1085" t="s">
        <v>993</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988</v>
      </c>
      <c r="AK374" s="1094" t="s">
        <v>964</v>
      </c>
      <c r="AL374" s="1094" t="s">
        <v>965</v>
      </c>
      <c r="AM374" s="1095" t="s">
        <v>2135</v>
      </c>
      <c r="AN374" s="1006" t="s">
        <v>2204</v>
      </c>
      <c r="AO374" s="1006" t="s">
        <v>4814</v>
      </c>
      <c r="AP374" s="1309">
        <v>0</v>
      </c>
      <c r="AQ374" s="1064" t="s">
        <v>978</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customHeight="1">
      <c r="A375" s="1085" t="s">
        <v>993</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988</v>
      </c>
      <c r="AK375" s="1094" t="s">
        <v>964</v>
      </c>
      <c r="AL375" s="1094" t="s">
        <v>965</v>
      </c>
      <c r="AM375" s="1095" t="s">
        <v>2087</v>
      </c>
      <c r="AN375" s="1006" t="s">
        <v>991</v>
      </c>
      <c r="AO375" s="1006" t="s">
        <v>3504</v>
      </c>
      <c r="AP375" s="1309">
        <v>0</v>
      </c>
      <c r="AQ375" s="1064" t="s">
        <v>978</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customHeight="1">
      <c r="A376" s="1085" t="s">
        <v>993</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988</v>
      </c>
      <c r="AK376" s="1094" t="s">
        <v>964</v>
      </c>
      <c r="AL376" s="1094" t="s">
        <v>965</v>
      </c>
      <c r="AM376" s="1095" t="s">
        <v>2087</v>
      </c>
      <c r="AN376" s="1006" t="s">
        <v>141</v>
      </c>
      <c r="AO376" s="1006" t="s">
        <v>3516</v>
      </c>
      <c r="AP376" s="1309">
        <v>3</v>
      </c>
      <c r="AQ376" s="1064" t="s">
        <v>966</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customHeight="1">
      <c r="A377" s="1085" t="s">
        <v>993</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988</v>
      </c>
      <c r="AK377" s="1094" t="s">
        <v>964</v>
      </c>
      <c r="AL377" s="1094" t="s">
        <v>977</v>
      </c>
      <c r="AM377" s="1095" t="s">
        <v>2087</v>
      </c>
      <c r="AN377" s="1006" t="s">
        <v>991</v>
      </c>
      <c r="AO377" s="1006" t="s">
        <v>3521</v>
      </c>
      <c r="AP377" s="1309">
        <v>0</v>
      </c>
      <c r="AQ377" s="1064" t="s">
        <v>966</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customHeight="1">
      <c r="A378" s="1085" t="s">
        <v>993</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154</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988</v>
      </c>
      <c r="AK378" s="1094" t="s">
        <v>964</v>
      </c>
      <c r="AL378" s="1094" t="s">
        <v>965</v>
      </c>
      <c r="AM378" s="1095" t="s">
        <v>1923</v>
      </c>
      <c r="AN378" s="1006" t="s">
        <v>4781</v>
      </c>
      <c r="AO378" s="1006" t="s">
        <v>4782</v>
      </c>
      <c r="AP378" s="1296">
        <v>0</v>
      </c>
      <c r="AQ378" s="1064" t="s">
        <v>978</v>
      </c>
      <c r="AR378" s="1097" t="s">
        <v>154</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961</v>
      </c>
      <c r="CE378" s="1107" t="s">
        <v>961</v>
      </c>
      <c r="CF378" s="1107" t="s">
        <v>961</v>
      </c>
      <c r="CG378" s="1107" t="s">
        <v>961</v>
      </c>
      <c r="CH378" s="1108" t="s">
        <v>961</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993</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629</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988</v>
      </c>
      <c r="AK379" s="1055" t="s">
        <v>964</v>
      </c>
      <c r="AL379" s="1055" t="s">
        <v>965</v>
      </c>
      <c r="AM379" s="1056" t="s">
        <v>629</v>
      </c>
      <c r="AN379" s="1050" t="s">
        <v>293</v>
      </c>
      <c r="AO379" s="1050" t="s">
        <v>4783</v>
      </c>
      <c r="AP379" s="1296">
        <v>1</v>
      </c>
      <c r="AQ379" s="821" t="s">
        <v>966</v>
      </c>
      <c r="AR379" s="1059" t="s">
        <v>629</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961</v>
      </c>
      <c r="CE379" s="1073" t="s">
        <v>961</v>
      </c>
      <c r="CF379" s="1073" t="s">
        <v>961</v>
      </c>
      <c r="CG379" s="1073" t="s">
        <v>961</v>
      </c>
      <c r="CH379" s="1074" t="s">
        <v>961</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993</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984</v>
      </c>
      <c r="AK380" s="1055" t="s">
        <v>964</v>
      </c>
      <c r="AL380" s="1414" t="s">
        <v>977</v>
      </c>
      <c r="AM380" s="1056" t="s">
        <v>2083</v>
      </c>
      <c r="AN380" s="1050" t="s">
        <v>2147</v>
      </c>
      <c r="AO380" s="1050" t="s">
        <v>4783</v>
      </c>
      <c r="AP380" s="1296">
        <v>1</v>
      </c>
      <c r="AQ380" s="821" t="s">
        <v>966</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961</v>
      </c>
      <c r="CE380" s="1073" t="s">
        <v>961</v>
      </c>
      <c r="CF380" s="1073" t="s">
        <v>961</v>
      </c>
      <c r="CG380" s="1073" t="s">
        <v>961</v>
      </c>
      <c r="CH380" s="1074" t="s">
        <v>961</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993</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178</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988</v>
      </c>
      <c r="AK381" s="1094" t="s">
        <v>964</v>
      </c>
      <c r="AL381" s="1094" t="s">
        <v>965</v>
      </c>
      <c r="AM381" s="1095" t="s">
        <v>2103</v>
      </c>
      <c r="AN381" s="1006" t="s">
        <v>2204</v>
      </c>
      <c r="AO381" s="1006" t="s">
        <v>4786</v>
      </c>
      <c r="AP381" s="1296">
        <v>1</v>
      </c>
      <c r="AQ381" s="1064" t="s">
        <v>978</v>
      </c>
      <c r="AR381" s="1097" t="s">
        <v>178</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961</v>
      </c>
      <c r="CE381" s="1107" t="s">
        <v>961</v>
      </c>
      <c r="CF381" s="1107" t="s">
        <v>961</v>
      </c>
      <c r="CG381" s="1107" t="s">
        <v>961</v>
      </c>
      <c r="CH381" s="1108" t="s">
        <v>961</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993</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184</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984</v>
      </c>
      <c r="AK382" s="1094" t="s">
        <v>964</v>
      </c>
      <c r="AL382" s="1094" t="s">
        <v>965</v>
      </c>
      <c r="AM382" s="1095" t="s">
        <v>1944</v>
      </c>
      <c r="AN382" s="1006" t="s">
        <v>293</v>
      </c>
      <c r="AO382" s="1006" t="s">
        <v>4785</v>
      </c>
      <c r="AP382" s="1296">
        <v>2</v>
      </c>
      <c r="AQ382" s="1064" t="s">
        <v>978</v>
      </c>
      <c r="AR382" s="1097" t="s">
        <v>184</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961</v>
      </c>
      <c r="CE382" s="1107" t="s">
        <v>961</v>
      </c>
      <c r="CF382" s="1107" t="s">
        <v>961</v>
      </c>
      <c r="CG382" s="1107" t="s">
        <v>961</v>
      </c>
      <c r="CH382" s="1108" t="s">
        <v>961</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993</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499</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963</v>
      </c>
      <c r="AK383" s="1094" t="s">
        <v>1971</v>
      </c>
      <c r="AL383" s="1094" t="s">
        <v>1971</v>
      </c>
      <c r="AM383" s="1095" t="s">
        <v>1939</v>
      </c>
      <c r="AN383" s="1006" t="s">
        <v>293</v>
      </c>
      <c r="AO383" s="1006" t="s">
        <v>4784</v>
      </c>
      <c r="AP383" s="1296">
        <v>1</v>
      </c>
      <c r="AQ383" s="1064" t="s">
        <v>978</v>
      </c>
      <c r="AR383" s="1097" t="s">
        <v>499</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993</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988</v>
      </c>
      <c r="AK384" s="1094" t="s">
        <v>964</v>
      </c>
      <c r="AL384" s="1094" t="s">
        <v>965</v>
      </c>
      <c r="AM384" s="1095" t="s">
        <v>629</v>
      </c>
      <c r="AN384" s="1006" t="s">
        <v>987</v>
      </c>
      <c r="AO384" s="1006" t="s">
        <v>3540</v>
      </c>
      <c r="AP384" s="1309">
        <v>1</v>
      </c>
      <c r="AQ384" s="1064" t="s">
        <v>978</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customHeight="1">
      <c r="A385" s="1085" t="s">
        <v>993</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988</v>
      </c>
      <c r="AK385" s="1094" t="s">
        <v>964</v>
      </c>
      <c r="AL385" s="1094" t="s">
        <v>965</v>
      </c>
      <c r="AM385" s="1095" t="s">
        <v>2016</v>
      </c>
      <c r="AN385" s="1006" t="s">
        <v>991</v>
      </c>
      <c r="AO385" s="1006" t="s">
        <v>3545</v>
      </c>
      <c r="AP385" s="1309">
        <v>0</v>
      </c>
      <c r="AQ385" s="1064" t="s">
        <v>978</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customHeight="1">
      <c r="A386" s="1085" t="s">
        <v>993</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988</v>
      </c>
      <c r="AK386" s="1094" t="s">
        <v>964</v>
      </c>
      <c r="AL386" s="1094" t="s">
        <v>965</v>
      </c>
      <c r="AM386" s="1095" t="s">
        <v>2008</v>
      </c>
      <c r="AN386" s="1006" t="s">
        <v>991</v>
      </c>
      <c r="AO386" s="1006" t="s">
        <v>2338</v>
      </c>
      <c r="AP386" s="1309">
        <v>0</v>
      </c>
      <c r="AQ386" s="1064" t="s">
        <v>978</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customHeight="1">
      <c r="A387" s="1085" t="s">
        <v>993</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988</v>
      </c>
      <c r="AK387" s="1094" t="s">
        <v>976</v>
      </c>
      <c r="AL387" s="1094" t="s">
        <v>977</v>
      </c>
      <c r="AM387" s="1095" t="s">
        <v>1939</v>
      </c>
      <c r="AN387" s="1006" t="s">
        <v>293</v>
      </c>
      <c r="AO387" s="1006" t="s">
        <v>3553</v>
      </c>
      <c r="AP387" s="1309">
        <v>1</v>
      </c>
      <c r="AQ387" s="1064" t="s">
        <v>966</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customHeight="1">
      <c r="A388" s="1085" t="s">
        <v>993</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988</v>
      </c>
      <c r="AK388" s="1094" t="s">
        <v>964</v>
      </c>
      <c r="AL388" s="1094" t="s">
        <v>965</v>
      </c>
      <c r="AM388" s="1095" t="s">
        <v>2016</v>
      </c>
      <c r="AN388" s="1006" t="s">
        <v>293</v>
      </c>
      <c r="AO388" s="1006" t="s">
        <v>1061</v>
      </c>
      <c r="AP388" s="1309">
        <v>1</v>
      </c>
      <c r="AQ388" s="1064" t="s">
        <v>966</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customHeight="1">
      <c r="A389" s="1085" t="s">
        <v>993</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984</v>
      </c>
      <c r="AK389" s="1094" t="s">
        <v>976</v>
      </c>
      <c r="AL389" s="1094" t="s">
        <v>977</v>
      </c>
      <c r="AM389" s="1095" t="s">
        <v>2536</v>
      </c>
      <c r="AN389" s="1006" t="s">
        <v>991</v>
      </c>
      <c r="AO389" s="1006" t="s">
        <v>2297</v>
      </c>
      <c r="AP389" s="1309">
        <v>1</v>
      </c>
      <c r="AQ389" s="1064" t="s">
        <v>966</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customHeight="1">
      <c r="A390" s="1085" t="s">
        <v>993</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988</v>
      </c>
      <c r="AK390" s="1094" t="s">
        <v>964</v>
      </c>
      <c r="AL390" s="1094" t="s">
        <v>965</v>
      </c>
      <c r="AM390" s="1095" t="s">
        <v>1990</v>
      </c>
      <c r="AN390" s="1006" t="s">
        <v>991</v>
      </c>
      <c r="AO390" s="1006" t="s">
        <v>3566</v>
      </c>
      <c r="AP390" s="1309">
        <v>0</v>
      </c>
      <c r="AQ390" s="1064" t="s">
        <v>966</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customHeight="1">
      <c r="A391" s="1085" t="s">
        <v>993</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984</v>
      </c>
      <c r="AK391" s="1094" t="s">
        <v>964</v>
      </c>
      <c r="AL391" s="1094" t="s">
        <v>965</v>
      </c>
      <c r="AM391" s="1095" t="s">
        <v>1955</v>
      </c>
      <c r="AN391" s="1006" t="s">
        <v>2204</v>
      </c>
      <c r="AO391" s="1006" t="s">
        <v>4787</v>
      </c>
      <c r="AP391" s="1296">
        <v>2</v>
      </c>
      <c r="AQ391" s="1064" t="s">
        <v>978</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961</v>
      </c>
      <c r="CE391" s="1107" t="s">
        <v>961</v>
      </c>
      <c r="CF391" s="1107" t="s">
        <v>961</v>
      </c>
      <c r="CG391" s="1107" t="s">
        <v>961</v>
      </c>
      <c r="CH391" s="1108" t="s">
        <v>961</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993</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988</v>
      </c>
      <c r="AK392" s="1094" t="s">
        <v>964</v>
      </c>
      <c r="AL392" s="1094" t="s">
        <v>965</v>
      </c>
      <c r="AM392" s="1095" t="s">
        <v>2178</v>
      </c>
      <c r="AN392" s="1006" t="s">
        <v>410</v>
      </c>
      <c r="AO392" s="1006" t="s">
        <v>4790</v>
      </c>
      <c r="AP392" s="1309">
        <v>0</v>
      </c>
      <c r="AQ392" s="1064" t="s">
        <v>978</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customHeight="1">
      <c r="A393" s="1085" t="s">
        <v>993</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988</v>
      </c>
      <c r="AK393" s="1094" t="s">
        <v>964</v>
      </c>
      <c r="AL393" s="1094" t="s">
        <v>977</v>
      </c>
      <c r="AM393" s="1095" t="s">
        <v>1996</v>
      </c>
      <c r="AN393" s="1006" t="s">
        <v>991</v>
      </c>
      <c r="AO393" s="1006" t="s">
        <v>3578</v>
      </c>
      <c r="AP393" s="1309">
        <v>0</v>
      </c>
      <c r="AQ393" s="1064" t="s">
        <v>966</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customHeight="1">
      <c r="A394" s="1085" t="s">
        <v>993</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988</v>
      </c>
      <c r="AK394" s="1094" t="s">
        <v>964</v>
      </c>
      <c r="AL394" s="1094" t="s">
        <v>977</v>
      </c>
      <c r="AM394" s="1095" t="s">
        <v>3206</v>
      </c>
      <c r="AN394" s="1006" t="s">
        <v>991</v>
      </c>
      <c r="AO394" s="1006" t="s">
        <v>3583</v>
      </c>
      <c r="AP394" s="1309">
        <v>0</v>
      </c>
      <c r="AQ394" s="1064" t="s">
        <v>966</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customHeight="1">
      <c r="A395" s="1085" t="s">
        <v>999</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984</v>
      </c>
      <c r="AK395" s="1094" t="s">
        <v>964</v>
      </c>
      <c r="AL395" s="1094" t="s">
        <v>965</v>
      </c>
      <c r="AM395" s="1095" t="s">
        <v>1955</v>
      </c>
      <c r="AN395" s="1006" t="s">
        <v>2204</v>
      </c>
      <c r="AO395" s="1006" t="s">
        <v>4787</v>
      </c>
      <c r="AP395" s="1296">
        <v>2</v>
      </c>
      <c r="AQ395" s="1064" t="s">
        <v>978</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961</v>
      </c>
      <c r="CE395" s="1107" t="s">
        <v>961</v>
      </c>
      <c r="CF395" s="1107" t="s">
        <v>961</v>
      </c>
      <c r="CG395" s="1107" t="s">
        <v>961</v>
      </c>
      <c r="CH395" s="1108" t="s">
        <v>961</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999</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154</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988</v>
      </c>
      <c r="AK396" s="1094" t="s">
        <v>964</v>
      </c>
      <c r="AL396" s="1094" t="s">
        <v>965</v>
      </c>
      <c r="AM396" s="1095" t="s">
        <v>1923</v>
      </c>
      <c r="AN396" s="1006" t="s">
        <v>4781</v>
      </c>
      <c r="AO396" s="1006" t="s">
        <v>4782</v>
      </c>
      <c r="AP396" s="1296">
        <v>0</v>
      </c>
      <c r="AQ396" s="1064" t="s">
        <v>978</v>
      </c>
      <c r="AR396" s="1097" t="s">
        <v>154</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961</v>
      </c>
      <c r="CE396" s="1107" t="s">
        <v>961</v>
      </c>
      <c r="CF396" s="1107" t="s">
        <v>961</v>
      </c>
      <c r="CG396" s="1107" t="s">
        <v>961</v>
      </c>
      <c r="CH396" s="1108" t="s">
        <v>961</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999</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178</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988</v>
      </c>
      <c r="AK397" s="1094" t="s">
        <v>964</v>
      </c>
      <c r="AL397" s="1094" t="s">
        <v>965</v>
      </c>
      <c r="AM397" s="1095" t="s">
        <v>2103</v>
      </c>
      <c r="AN397" s="1006" t="s">
        <v>2204</v>
      </c>
      <c r="AO397" s="1006" t="s">
        <v>4786</v>
      </c>
      <c r="AP397" s="1296">
        <v>1</v>
      </c>
      <c r="AQ397" s="1064" t="s">
        <v>978</v>
      </c>
      <c r="AR397" s="1097" t="s">
        <v>178</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961</v>
      </c>
      <c r="CE397" s="1107" t="s">
        <v>961</v>
      </c>
      <c r="CF397" s="1107" t="s">
        <v>961</v>
      </c>
      <c r="CG397" s="1107" t="s">
        <v>961</v>
      </c>
      <c r="CH397" s="1108" t="s">
        <v>961</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999</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184</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984</v>
      </c>
      <c r="AK398" s="1094" t="s">
        <v>964</v>
      </c>
      <c r="AL398" s="1094" t="s">
        <v>965</v>
      </c>
      <c r="AM398" s="1095" t="s">
        <v>1944</v>
      </c>
      <c r="AN398" s="1006" t="s">
        <v>293</v>
      </c>
      <c r="AO398" s="1006" t="s">
        <v>4785</v>
      </c>
      <c r="AP398" s="1296">
        <v>2</v>
      </c>
      <c r="AQ398" s="1064" t="s">
        <v>978</v>
      </c>
      <c r="AR398" s="1097" t="s">
        <v>184</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961</v>
      </c>
      <c r="CE398" s="1107" t="s">
        <v>961</v>
      </c>
      <c r="CF398" s="1107" t="s">
        <v>961</v>
      </c>
      <c r="CG398" s="1107" t="s">
        <v>961</v>
      </c>
      <c r="CH398" s="1108" t="s">
        <v>961</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999</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988</v>
      </c>
      <c r="AK399" s="1094" t="s">
        <v>964</v>
      </c>
      <c r="AL399" s="1094" t="s">
        <v>965</v>
      </c>
      <c r="AM399" s="1095" t="s">
        <v>2178</v>
      </c>
      <c r="AN399" s="1006" t="s">
        <v>410</v>
      </c>
      <c r="AO399" s="1006" t="s">
        <v>4790</v>
      </c>
      <c r="AP399" s="1296">
        <v>2</v>
      </c>
      <c r="AQ399" s="1064" t="s">
        <v>978</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customHeight="1">
      <c r="A400" s="1085" t="s">
        <v>999</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984</v>
      </c>
      <c r="AK400" s="1094" t="s">
        <v>976</v>
      </c>
      <c r="AL400" s="1094" t="s">
        <v>977</v>
      </c>
      <c r="AM400" s="1095" t="s">
        <v>2960</v>
      </c>
      <c r="AN400" s="1006" t="s">
        <v>4856</v>
      </c>
      <c r="AO400" s="1006" t="s">
        <v>410</v>
      </c>
      <c r="AP400" s="1296">
        <v>0</v>
      </c>
      <c r="AQ400" s="1064" t="s">
        <v>978</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customHeight="1">
      <c r="A401" s="1042" t="s">
        <v>999</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629</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988</v>
      </c>
      <c r="AK401" s="1055" t="s">
        <v>964</v>
      </c>
      <c r="AL401" s="1055" t="s">
        <v>965</v>
      </c>
      <c r="AM401" s="1056" t="s">
        <v>629</v>
      </c>
      <c r="AN401" s="1050" t="s">
        <v>293</v>
      </c>
      <c r="AO401" s="1050" t="s">
        <v>4783</v>
      </c>
      <c r="AP401" s="1295">
        <v>1</v>
      </c>
      <c r="AQ401" s="1068" t="s">
        <v>966</v>
      </c>
      <c r="AR401" s="1059" t="s">
        <v>629</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961</v>
      </c>
      <c r="CE401" s="1073" t="s">
        <v>961</v>
      </c>
      <c r="CF401" s="1073" t="s">
        <v>961</v>
      </c>
      <c r="CG401" s="1073" t="s">
        <v>961</v>
      </c>
      <c r="CH401" s="1074" t="s">
        <v>961</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973</v>
      </c>
      <c r="DV401" s="1082">
        <v>1</v>
      </c>
      <c r="DW401" s="1083" t="s">
        <v>1971</v>
      </c>
    </row>
    <row r="402" spans="1:127" s="390" customFormat="1" ht="15.75" customHeight="1">
      <c r="A402" s="1042" t="s">
        <v>999</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988</v>
      </c>
      <c r="AK402" s="1055" t="s">
        <v>976</v>
      </c>
      <c r="AL402" s="1055" t="s">
        <v>977</v>
      </c>
      <c r="AM402" s="1056" t="s">
        <v>2083</v>
      </c>
      <c r="AN402" s="1050" t="s">
        <v>2147</v>
      </c>
      <c r="AO402" s="1050" t="s">
        <v>4783</v>
      </c>
      <c r="AP402" s="1295">
        <v>1</v>
      </c>
      <c r="AQ402" s="821" t="s">
        <v>966</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961</v>
      </c>
      <c r="CE402" s="1073" t="s">
        <v>961</v>
      </c>
      <c r="CF402" s="1073" t="s">
        <v>961</v>
      </c>
      <c r="CG402" s="1073" t="s">
        <v>961</v>
      </c>
      <c r="CH402" s="1074" t="s">
        <v>961</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999</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687</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988</v>
      </c>
      <c r="AK403" s="1094" t="s">
        <v>964</v>
      </c>
      <c r="AL403" s="1094" t="s">
        <v>965</v>
      </c>
      <c r="AM403" s="1095" t="s">
        <v>2087</v>
      </c>
      <c r="AN403" s="1006" t="s">
        <v>2204</v>
      </c>
      <c r="AO403" s="1006" t="s">
        <v>4477</v>
      </c>
      <c r="AP403" s="1296">
        <v>2</v>
      </c>
      <c r="AQ403" s="1064" t="s">
        <v>978</v>
      </c>
      <c r="AR403" s="1097" t="s">
        <v>687</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961</v>
      </c>
      <c r="CE403" s="1107" t="s">
        <v>961</v>
      </c>
      <c r="CF403" s="1107" t="s">
        <v>961</v>
      </c>
      <c r="CG403" s="1107" t="s">
        <v>961</v>
      </c>
      <c r="CH403" s="1108" t="s">
        <v>961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999</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988</v>
      </c>
      <c r="AK404" s="1094" t="s">
        <v>964</v>
      </c>
      <c r="AL404" s="1094" t="s">
        <v>965</v>
      </c>
      <c r="AM404" s="1095" t="s">
        <v>2087</v>
      </c>
      <c r="AN404" s="1006" t="s">
        <v>2204</v>
      </c>
      <c r="AO404" s="1006" t="s">
        <v>4477</v>
      </c>
      <c r="AP404" s="1263">
        <v>0</v>
      </c>
      <c r="AQ404" s="1064" t="s">
        <v>978</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customHeight="1">
      <c r="A405" s="1085" t="s">
        <v>999</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693</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988</v>
      </c>
      <c r="AK405" s="1094" t="s">
        <v>964</v>
      </c>
      <c r="AL405" s="1094" t="s">
        <v>965</v>
      </c>
      <c r="AM405" s="1095" t="s">
        <v>2264</v>
      </c>
      <c r="AN405" s="1006" t="s">
        <v>2204</v>
      </c>
      <c r="AO405" s="1006" t="s">
        <v>4799</v>
      </c>
      <c r="AP405" s="1296">
        <v>2</v>
      </c>
      <c r="AQ405" s="1064" t="s">
        <v>978</v>
      </c>
      <c r="AR405" s="1097" t="s">
        <v>693</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961</v>
      </c>
      <c r="CE405" s="1107" t="s">
        <v>961</v>
      </c>
      <c r="CF405" s="1107" t="s">
        <v>961</v>
      </c>
      <c r="CG405" s="1107" t="s">
        <v>961</v>
      </c>
      <c r="CH405" s="1108" t="s">
        <v>961</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999</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988</v>
      </c>
      <c r="AK406" s="1094" t="s">
        <v>964</v>
      </c>
      <c r="AL406" s="1094" t="s">
        <v>965</v>
      </c>
      <c r="AM406" s="1095" t="s">
        <v>2264</v>
      </c>
      <c r="AN406" s="1006" t="s">
        <v>2204</v>
      </c>
      <c r="AO406" s="1006" t="s">
        <v>4814</v>
      </c>
      <c r="AP406" s="1263">
        <v>0</v>
      </c>
      <c r="AQ406" s="1064" t="s">
        <v>978</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customHeight="1">
      <c r="A407" s="1085" t="s">
        <v>999</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988</v>
      </c>
      <c r="AK407" s="1094" t="s">
        <v>964</v>
      </c>
      <c r="AL407" s="1094" t="s">
        <v>965</v>
      </c>
      <c r="AM407" s="1095" t="s">
        <v>3634</v>
      </c>
      <c r="AN407" s="1006" t="s">
        <v>4856</v>
      </c>
      <c r="AO407" s="1006" t="s">
        <v>410</v>
      </c>
      <c r="AP407" s="1263">
        <v>0</v>
      </c>
      <c r="AQ407" s="1064" t="s">
        <v>978</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customHeight="1">
      <c r="A408" s="1085" t="s">
        <v>999</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1016</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984</v>
      </c>
      <c r="AK408" s="1094" t="s">
        <v>964</v>
      </c>
      <c r="AL408" s="1094" t="s">
        <v>965</v>
      </c>
      <c r="AM408" s="1095" t="s">
        <v>3638</v>
      </c>
      <c r="AN408" s="1006" t="s">
        <v>293</v>
      </c>
      <c r="AO408" s="1006" t="s">
        <v>2472</v>
      </c>
      <c r="AP408" s="1296">
        <v>2</v>
      </c>
      <c r="AQ408" s="1064" t="s">
        <v>966</v>
      </c>
      <c r="AR408" s="1097" t="s">
        <v>1016</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961</v>
      </c>
      <c r="CE408" s="1107" t="s">
        <v>961</v>
      </c>
      <c r="CF408" s="1107" t="s">
        <v>961</v>
      </c>
      <c r="CG408" s="1107" t="s">
        <v>961</v>
      </c>
      <c r="CH408" s="1108" t="s">
        <v>961</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999</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984</v>
      </c>
      <c r="AK409" s="1094" t="s">
        <v>964</v>
      </c>
      <c r="AL409" s="1094" t="s">
        <v>965</v>
      </c>
      <c r="AM409" s="1095" t="s">
        <v>3643</v>
      </c>
      <c r="AN409" s="1006" t="s">
        <v>293</v>
      </c>
      <c r="AO409" s="1006" t="s">
        <v>1061</v>
      </c>
      <c r="AP409" s="1263">
        <v>1</v>
      </c>
      <c r="AQ409" s="1064" t="s">
        <v>966</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customHeight="1">
      <c r="A410" s="1085" t="s">
        <v>999</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963</v>
      </c>
      <c r="AK410" s="1094" t="s">
        <v>1971</v>
      </c>
      <c r="AL410" s="1094" t="s">
        <v>1971</v>
      </c>
      <c r="AM410" s="1095" t="s">
        <v>2135</v>
      </c>
      <c r="AN410" s="1006" t="s">
        <v>293</v>
      </c>
      <c r="AO410" s="1006" t="s">
        <v>1061</v>
      </c>
      <c r="AP410" s="1263">
        <v>1</v>
      </c>
      <c r="AQ410" s="1064" t="s">
        <v>966</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customHeight="1">
      <c r="A411" s="1085" t="s">
        <v>999</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984</v>
      </c>
      <c r="AK411" s="1094" t="s">
        <v>964</v>
      </c>
      <c r="AL411" s="1094" t="s">
        <v>965</v>
      </c>
      <c r="AM411" s="1095" t="s">
        <v>711</v>
      </c>
      <c r="AN411" s="1006" t="s">
        <v>293</v>
      </c>
      <c r="AO411" s="1006" t="s">
        <v>1061</v>
      </c>
      <c r="AP411" s="1263">
        <v>2</v>
      </c>
      <c r="AQ411" s="1064" t="s">
        <v>966</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customHeight="1">
      <c r="A412" s="1085" t="s">
        <v>999</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499</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963</v>
      </c>
      <c r="AK412" s="1094" t="s">
        <v>1971</v>
      </c>
      <c r="AL412" s="1094" t="s">
        <v>1971</v>
      </c>
      <c r="AM412" s="1095" t="s">
        <v>1939</v>
      </c>
      <c r="AN412" s="1006" t="s">
        <v>293</v>
      </c>
      <c r="AO412" s="1006" t="s">
        <v>4784</v>
      </c>
      <c r="AP412" s="1296">
        <v>1</v>
      </c>
      <c r="AQ412" s="1064" t="s">
        <v>978</v>
      </c>
      <c r="AR412" s="1097" t="s">
        <v>499</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999</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778</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963</v>
      </c>
      <c r="AK413" s="1094" t="s">
        <v>1971</v>
      </c>
      <c r="AL413" s="1094" t="s">
        <v>1971</v>
      </c>
      <c r="AM413" s="1095" t="s">
        <v>1939</v>
      </c>
      <c r="AN413" s="1006" t="s">
        <v>293</v>
      </c>
      <c r="AO413" s="1006" t="s">
        <v>4784</v>
      </c>
      <c r="AP413" s="1296">
        <v>2</v>
      </c>
      <c r="AQ413" s="1064" t="s">
        <v>978</v>
      </c>
      <c r="AR413" s="1097" t="s">
        <v>778</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999</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988</v>
      </c>
      <c r="AK414" s="1094" t="s">
        <v>964</v>
      </c>
      <c r="AL414" s="1094" t="s">
        <v>965</v>
      </c>
      <c r="AM414" s="1095" t="s">
        <v>1939</v>
      </c>
      <c r="AN414" s="1006" t="s">
        <v>4856</v>
      </c>
      <c r="AO414" s="1006" t="s">
        <v>410</v>
      </c>
      <c r="AP414" s="1263">
        <v>0</v>
      </c>
      <c r="AQ414" s="1064" t="s">
        <v>966</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customHeight="1">
      <c r="A415" s="1085" t="s">
        <v>999</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988</v>
      </c>
      <c r="AK415" s="1094" t="s">
        <v>964</v>
      </c>
      <c r="AL415" s="1094" t="s">
        <v>965</v>
      </c>
      <c r="AM415" s="1095" t="s">
        <v>1939</v>
      </c>
      <c r="AN415" s="1006" t="s">
        <v>4856</v>
      </c>
      <c r="AO415" s="1006" t="s">
        <v>410</v>
      </c>
      <c r="AP415" s="1263">
        <v>0</v>
      </c>
      <c r="AQ415" s="1064" t="s">
        <v>978</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customHeight="1">
      <c r="A416" s="1085" t="s">
        <v>999</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988</v>
      </c>
      <c r="AK416" s="1094" t="s">
        <v>964</v>
      </c>
      <c r="AL416" s="1094" t="s">
        <v>965</v>
      </c>
      <c r="AM416" s="1095" t="s">
        <v>1027</v>
      </c>
      <c r="AN416" s="1006" t="s">
        <v>1039</v>
      </c>
      <c r="AO416" s="1006" t="s">
        <v>3672</v>
      </c>
      <c r="AP416" s="1263">
        <v>2</v>
      </c>
      <c r="AQ416" s="1064" t="s">
        <v>966</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961</v>
      </c>
      <c r="CE416" s="1107" t="s">
        <v>961</v>
      </c>
      <c r="CF416" s="1107" t="s">
        <v>961</v>
      </c>
      <c r="CG416" s="1107" t="s">
        <v>961</v>
      </c>
      <c r="CH416" s="1108" t="s">
        <v>961</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999</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988</v>
      </c>
      <c r="AK417" s="1094" t="s">
        <v>964</v>
      </c>
      <c r="AL417" s="1094" t="s">
        <v>965</v>
      </c>
      <c r="AM417" s="1095" t="s">
        <v>3677</v>
      </c>
      <c r="AN417" s="1006" t="s">
        <v>293</v>
      </c>
      <c r="AO417" s="1006" t="s">
        <v>1061</v>
      </c>
      <c r="AP417" s="1263">
        <v>1</v>
      </c>
      <c r="AQ417" s="1064" t="s">
        <v>966</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customHeight="1">
      <c r="A418" s="1085" t="s">
        <v>999</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988</v>
      </c>
      <c r="AK418" s="1094" t="s">
        <v>964</v>
      </c>
      <c r="AL418" s="1094" t="s">
        <v>965</v>
      </c>
      <c r="AM418" s="1095" t="s">
        <v>3677</v>
      </c>
      <c r="AN418" s="1006" t="s">
        <v>293</v>
      </c>
      <c r="AO418" s="1006" t="s">
        <v>1061</v>
      </c>
      <c r="AP418" s="1263">
        <v>1</v>
      </c>
      <c r="AQ418" s="1064" t="s">
        <v>966</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customHeight="1">
      <c r="A419" s="1085" t="s">
        <v>999</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988</v>
      </c>
      <c r="AK419" s="1094" t="s">
        <v>964</v>
      </c>
      <c r="AL419" s="1094" t="s">
        <v>965</v>
      </c>
      <c r="AM419" s="1095" t="s">
        <v>1031</v>
      </c>
      <c r="AN419" s="1006" t="s">
        <v>1039</v>
      </c>
      <c r="AO419" s="1006" t="s">
        <v>3685</v>
      </c>
      <c r="AP419" s="1263">
        <v>2</v>
      </c>
      <c r="AQ419" s="1064" t="s">
        <v>966</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961</v>
      </c>
      <c r="CE419" s="1107" t="s">
        <v>961</v>
      </c>
      <c r="CF419" s="1107" t="s">
        <v>961</v>
      </c>
      <c r="CG419" s="1107" t="s">
        <v>961</v>
      </c>
      <c r="CH419" s="1108" t="s">
        <v>961</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999</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963</v>
      </c>
      <c r="AK420" s="1094" t="s">
        <v>1971</v>
      </c>
      <c r="AL420" s="1094" t="s">
        <v>1971</v>
      </c>
      <c r="AM420" s="1095" t="s">
        <v>2146</v>
      </c>
      <c r="AN420" s="1006" t="s">
        <v>293</v>
      </c>
      <c r="AO420" s="1006" t="s">
        <v>1061</v>
      </c>
      <c r="AP420" s="1296">
        <v>0</v>
      </c>
      <c r="AQ420" s="1064" t="s">
        <v>966</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customHeight="1">
      <c r="A421" s="1085" t="s">
        <v>999</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658</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963</v>
      </c>
      <c r="AK421" s="1094" t="s">
        <v>1971</v>
      </c>
      <c r="AL421" s="1094" t="s">
        <v>1971</v>
      </c>
      <c r="AM421" s="1095" t="s">
        <v>2146</v>
      </c>
      <c r="AN421" s="1006" t="s">
        <v>293</v>
      </c>
      <c r="AO421" s="1006" t="s">
        <v>4791</v>
      </c>
      <c r="AP421" s="1307">
        <v>1</v>
      </c>
      <c r="AQ421" s="1064" t="s">
        <v>966</v>
      </c>
      <c r="AR421" s="1097" t="s">
        <v>658</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999</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963</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customHeight="1">
      <c r="A423" s="1085" t="s">
        <v>999</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963</v>
      </c>
      <c r="AK423" s="1094" t="s">
        <v>1971</v>
      </c>
      <c r="AL423" s="1094" t="s">
        <v>1971</v>
      </c>
      <c r="AM423" s="1095" t="s">
        <v>2146</v>
      </c>
      <c r="AN423" s="1006" t="s">
        <v>293</v>
      </c>
      <c r="AO423" s="1006" t="s">
        <v>1061</v>
      </c>
      <c r="AP423" s="1263">
        <v>0</v>
      </c>
      <c r="AQ423" s="1064" t="s">
        <v>966</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customHeight="1">
      <c r="A424" s="1085" t="s">
        <v>999</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689</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984</v>
      </c>
      <c r="AK424" s="1094" t="s">
        <v>964</v>
      </c>
      <c r="AL424" s="1094" t="s">
        <v>965</v>
      </c>
      <c r="AM424" s="1095" t="s">
        <v>689</v>
      </c>
      <c r="AN424" s="1006" t="s">
        <v>2204</v>
      </c>
      <c r="AO424" s="1006" t="s">
        <v>4798</v>
      </c>
      <c r="AP424" s="1296">
        <v>2</v>
      </c>
      <c r="AQ424" s="1064" t="s">
        <v>978</v>
      </c>
      <c r="AR424" s="1097" t="s">
        <v>689</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961</v>
      </c>
      <c r="CE424" s="1107" t="s">
        <v>961</v>
      </c>
      <c r="CF424" s="1107" t="s">
        <v>961</v>
      </c>
      <c r="CG424" s="1107" t="s">
        <v>961</v>
      </c>
      <c r="CH424" s="1108" t="s">
        <v>961</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999</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984</v>
      </c>
      <c r="AK425" s="1094" t="s">
        <v>964</v>
      </c>
      <c r="AL425" s="1094" t="s">
        <v>965</v>
      </c>
      <c r="AM425" s="1095" t="s">
        <v>689</v>
      </c>
      <c r="AN425" s="1006" t="s">
        <v>4856</v>
      </c>
      <c r="AO425" s="1006" t="s">
        <v>410</v>
      </c>
      <c r="AP425" s="1263">
        <v>0</v>
      </c>
      <c r="AQ425" s="1064" t="s">
        <v>978</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customHeight="1">
      <c r="A426" s="1085" t="s">
        <v>999</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963</v>
      </c>
      <c r="AK426" s="1094" t="s">
        <v>1971</v>
      </c>
      <c r="AL426" s="1094" t="s">
        <v>1971</v>
      </c>
      <c r="AM426" s="1095" t="s">
        <v>2315</v>
      </c>
      <c r="AN426" s="1006" t="s">
        <v>4856</v>
      </c>
      <c r="AO426" s="1006" t="s">
        <v>410</v>
      </c>
      <c r="AP426" s="1263">
        <v>0</v>
      </c>
      <c r="AQ426" s="1064" t="s">
        <v>978</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customHeight="1">
      <c r="A427" s="1085" t="s">
        <v>999</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963</v>
      </c>
      <c r="AK427" s="1094" t="s">
        <v>1971</v>
      </c>
      <c r="AL427" s="1094" t="s">
        <v>1971</v>
      </c>
      <c r="AM427" s="1095" t="s">
        <v>2315</v>
      </c>
      <c r="AN427" s="1006" t="s">
        <v>4856</v>
      </c>
      <c r="AO427" s="1006" t="s">
        <v>410</v>
      </c>
      <c r="AP427" s="1263">
        <v>0</v>
      </c>
      <c r="AQ427" s="1064" t="s">
        <v>966</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customHeight="1">
      <c r="A428" s="1085" t="s">
        <v>999</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988</v>
      </c>
      <c r="AK428" s="1094" t="s">
        <v>976</v>
      </c>
      <c r="AL428" s="1094" t="s">
        <v>977</v>
      </c>
      <c r="AM428" s="1095" t="s">
        <v>1996</v>
      </c>
      <c r="AN428" s="1006" t="s">
        <v>1020</v>
      </c>
      <c r="AO428" s="1006" t="s">
        <v>3372</v>
      </c>
      <c r="AP428" s="1263">
        <v>0</v>
      </c>
      <c r="AQ428" s="1064" t="s">
        <v>966</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customHeight="1">
      <c r="A429" s="1085" t="s">
        <v>999</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984</v>
      </c>
      <c r="AK429" s="1094" t="s">
        <v>964</v>
      </c>
      <c r="AL429" s="1094" t="s">
        <v>965</v>
      </c>
      <c r="AM429" s="1095" t="s">
        <v>2135</v>
      </c>
      <c r="AN429" s="1006" t="s">
        <v>4856</v>
      </c>
      <c r="AO429" s="1006" t="s">
        <v>410</v>
      </c>
      <c r="AP429" s="1263">
        <v>0</v>
      </c>
      <c r="AQ429" s="1064" t="s">
        <v>966</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customHeight="1">
      <c r="A430" s="1085" t="s">
        <v>999</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988</v>
      </c>
      <c r="AK430" s="1094" t="s">
        <v>976</v>
      </c>
      <c r="AL430" s="1094" t="s">
        <v>977</v>
      </c>
      <c r="AM430" s="1095" t="s">
        <v>2135</v>
      </c>
      <c r="AN430" s="1006" t="s">
        <v>4856</v>
      </c>
      <c r="AO430" s="1006" t="s">
        <v>410</v>
      </c>
      <c r="AP430" s="1263">
        <v>0</v>
      </c>
      <c r="AQ430" s="1064" t="s">
        <v>966</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customHeight="1">
      <c r="A431" s="1085" t="s">
        <v>999</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988</v>
      </c>
      <c r="AK431" s="1094" t="s">
        <v>964</v>
      </c>
      <c r="AL431" s="1094" t="s">
        <v>965</v>
      </c>
      <c r="AM431" s="1095" t="s">
        <v>2008</v>
      </c>
      <c r="AN431" s="1006" t="s">
        <v>4856</v>
      </c>
      <c r="AO431" s="1006" t="s">
        <v>3732</v>
      </c>
      <c r="AP431" s="1263">
        <v>0</v>
      </c>
      <c r="AQ431" s="1064" t="s">
        <v>966</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customHeight="1">
      <c r="A432" s="1085" t="s">
        <v>999</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963</v>
      </c>
      <c r="AK432" s="1094" t="s">
        <v>1971</v>
      </c>
      <c r="AL432" s="1094" t="s">
        <v>1971</v>
      </c>
      <c r="AM432" s="1095" t="s">
        <v>1990</v>
      </c>
      <c r="AN432" s="1006" t="s">
        <v>4856</v>
      </c>
      <c r="AO432" s="1006" t="s">
        <v>410</v>
      </c>
      <c r="AP432" s="1296">
        <v>0</v>
      </c>
      <c r="AQ432" s="1064" t="s">
        <v>966</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customHeight="1">
      <c r="A433" s="1085" t="s">
        <v>999</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963</v>
      </c>
      <c r="AK433" s="1094" t="s">
        <v>1971</v>
      </c>
      <c r="AL433" s="1094" t="s">
        <v>1971</v>
      </c>
      <c r="AM433" s="1095" t="s">
        <v>2146</v>
      </c>
      <c r="AN433" s="1006" t="s">
        <v>4856</v>
      </c>
      <c r="AO433" s="1006" t="s">
        <v>410</v>
      </c>
      <c r="AP433" s="1263">
        <v>0</v>
      </c>
      <c r="AQ433" s="1064" t="s">
        <v>966</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customHeight="1">
      <c r="A434" s="1085" t="s">
        <v>999</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963</v>
      </c>
      <c r="AK434" s="1094" t="s">
        <v>1971</v>
      </c>
      <c r="AL434" s="1094" t="s">
        <v>1971</v>
      </c>
      <c r="AM434" s="1095" t="s">
        <v>2146</v>
      </c>
      <c r="AN434" s="1006" t="s">
        <v>293</v>
      </c>
      <c r="AO434" s="1006" t="s">
        <v>1061</v>
      </c>
      <c r="AP434" s="1263">
        <v>2</v>
      </c>
      <c r="AQ434" s="1064" t="s">
        <v>978</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customHeight="1">
      <c r="A435" s="1085" t="s">
        <v>999</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963</v>
      </c>
      <c r="AK435" s="1094" t="s">
        <v>1971</v>
      </c>
      <c r="AL435" s="1094" t="s">
        <v>1971</v>
      </c>
      <c r="AM435" s="1095" t="s">
        <v>2146</v>
      </c>
      <c r="AN435" s="1006" t="s">
        <v>293</v>
      </c>
      <c r="AO435" s="1006" t="s">
        <v>1061</v>
      </c>
      <c r="AP435" s="1263">
        <v>1</v>
      </c>
      <c r="AQ435" s="1064" t="s">
        <v>966</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customHeight="1">
      <c r="A436" s="1085" t="s">
        <v>999</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984</v>
      </c>
      <c r="AK436" s="1094" t="s">
        <v>964</v>
      </c>
      <c r="AL436" s="1094" t="s">
        <v>977</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customHeight="1">
      <c r="A437" s="1085" t="s">
        <v>999</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984</v>
      </c>
      <c r="AK437" s="1094" t="s">
        <v>964</v>
      </c>
      <c r="AL437" s="1094" t="s">
        <v>977</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customHeight="1">
      <c r="A438" s="1085" t="s">
        <v>999</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984</v>
      </c>
      <c r="AK438" s="1094" t="s">
        <v>964</v>
      </c>
      <c r="AL438" s="1094" t="s">
        <v>965</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customHeight="1">
      <c r="A439" s="1085" t="s">
        <v>1003</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988</v>
      </c>
      <c r="AK439" s="1094" t="s">
        <v>964</v>
      </c>
      <c r="AL439" s="1094" t="s">
        <v>965</v>
      </c>
      <c r="AM439" s="1095" t="s">
        <v>1027</v>
      </c>
      <c r="AN439" s="1006" t="s">
        <v>1039</v>
      </c>
      <c r="AO439" s="1006" t="s">
        <v>2068</v>
      </c>
      <c r="AP439" s="1309">
        <v>2</v>
      </c>
      <c r="AQ439" s="1064" t="s">
        <v>966</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961</v>
      </c>
      <c r="CE439" s="1107" t="s">
        <v>961</v>
      </c>
      <c r="CF439" s="1107" t="s">
        <v>961</v>
      </c>
      <c r="CG439" s="1107" t="s">
        <v>961</v>
      </c>
      <c r="CH439" s="1108" t="s">
        <v>961</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973</v>
      </c>
      <c r="DV439" s="1112">
        <v>1</v>
      </c>
      <c r="DW439" s="1113" t="s">
        <v>1971</v>
      </c>
    </row>
    <row r="440" spans="1:127" s="390" customFormat="1" ht="15.75" customHeight="1">
      <c r="A440" s="1085" t="s">
        <v>1003</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963</v>
      </c>
      <c r="AK440" s="1094" t="s">
        <v>1971</v>
      </c>
      <c r="AL440" s="1094" t="s">
        <v>1971</v>
      </c>
      <c r="AM440" s="1095" t="s">
        <v>1971</v>
      </c>
      <c r="AN440" s="1006" t="s">
        <v>293</v>
      </c>
      <c r="AO440" s="1006" t="s">
        <v>1971</v>
      </c>
      <c r="AP440" s="1309">
        <v>0</v>
      </c>
      <c r="AQ440" s="1064" t="s">
        <v>966</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customHeight="1">
      <c r="A441" s="1085" t="s">
        <v>1003</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988</v>
      </c>
      <c r="AK441" s="1094" t="s">
        <v>964</v>
      </c>
      <c r="AL441" s="1094" t="s">
        <v>965</v>
      </c>
      <c r="AM441" s="1095" t="s">
        <v>1031</v>
      </c>
      <c r="AN441" s="1006" t="s">
        <v>1039</v>
      </c>
      <c r="AO441" s="1006" t="s">
        <v>431</v>
      </c>
      <c r="AP441" s="1309">
        <v>2</v>
      </c>
      <c r="AQ441" s="1064" t="s">
        <v>966</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961</v>
      </c>
      <c r="CE441" s="1107" t="s">
        <v>961</v>
      </c>
      <c r="CF441" s="1107" t="s">
        <v>961</v>
      </c>
      <c r="CG441" s="1107" t="s">
        <v>961</v>
      </c>
      <c r="CH441" s="1108" t="s">
        <v>961</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973</v>
      </c>
      <c r="DV441" s="1112">
        <v>1</v>
      </c>
      <c r="DW441" s="1113" t="s">
        <v>1971</v>
      </c>
    </row>
    <row r="442" spans="1:127" s="390" customFormat="1" ht="15.75" customHeight="1">
      <c r="A442" s="1085" t="s">
        <v>1003</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963</v>
      </c>
      <c r="AK442" s="1094" t="s">
        <v>1971</v>
      </c>
      <c r="AL442" s="1094" t="s">
        <v>1971</v>
      </c>
      <c r="AM442" s="1095" t="s">
        <v>2423</v>
      </c>
      <c r="AN442" s="1006" t="s">
        <v>991</v>
      </c>
      <c r="AO442" s="1006" t="s">
        <v>3778</v>
      </c>
      <c r="AP442" s="1309">
        <v>0</v>
      </c>
      <c r="AQ442" s="1064" t="s">
        <v>966</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customHeight="1">
      <c r="A443" s="1085" t="s">
        <v>1003</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178</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988</v>
      </c>
      <c r="AK443" s="1094" t="s">
        <v>964</v>
      </c>
      <c r="AL443" s="1094" t="s">
        <v>965</v>
      </c>
      <c r="AM443" s="1095" t="s">
        <v>2103</v>
      </c>
      <c r="AN443" s="1006" t="s">
        <v>2204</v>
      </c>
      <c r="AO443" s="1006" t="s">
        <v>4786</v>
      </c>
      <c r="AP443" s="1296">
        <v>1</v>
      </c>
      <c r="AQ443" s="1064" t="s">
        <v>978</v>
      </c>
      <c r="AR443" s="1097" t="s">
        <v>178</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961</v>
      </c>
      <c r="CE443" s="1107" t="s">
        <v>961</v>
      </c>
      <c r="CF443" s="1107" t="s">
        <v>961</v>
      </c>
      <c r="CG443" s="1107" t="s">
        <v>961</v>
      </c>
      <c r="CH443" s="1108" t="s">
        <v>961</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1003</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184</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984</v>
      </c>
      <c r="AK444" s="1094" t="s">
        <v>964</v>
      </c>
      <c r="AL444" s="1094" t="s">
        <v>965</v>
      </c>
      <c r="AM444" s="1095" t="s">
        <v>1944</v>
      </c>
      <c r="AN444" s="1006" t="s">
        <v>293</v>
      </c>
      <c r="AO444" s="1006" t="s">
        <v>4785</v>
      </c>
      <c r="AP444" s="1296">
        <v>2</v>
      </c>
      <c r="AQ444" s="1064" t="s">
        <v>978</v>
      </c>
      <c r="AR444" s="1097" t="s">
        <v>184</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961</v>
      </c>
      <c r="CE444" s="1107" t="s">
        <v>961</v>
      </c>
      <c r="CF444" s="1107" t="s">
        <v>961</v>
      </c>
      <c r="CG444" s="1107" t="s">
        <v>961</v>
      </c>
      <c r="CH444" s="1108" t="s">
        <v>961</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1003</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154</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988</v>
      </c>
      <c r="AK445" s="1094" t="s">
        <v>964</v>
      </c>
      <c r="AL445" s="1094" t="s">
        <v>965</v>
      </c>
      <c r="AM445" s="1095" t="s">
        <v>1923</v>
      </c>
      <c r="AN445" s="1006" t="s">
        <v>4781</v>
      </c>
      <c r="AO445" s="1006" t="s">
        <v>4782</v>
      </c>
      <c r="AP445" s="1296">
        <v>0</v>
      </c>
      <c r="AQ445" s="1064" t="s">
        <v>978</v>
      </c>
      <c r="AR445" s="1097" t="s">
        <v>154</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961</v>
      </c>
      <c r="CE445" s="1107" t="s">
        <v>961</v>
      </c>
      <c r="CF445" s="1107" t="s">
        <v>961</v>
      </c>
      <c r="CG445" s="1107" t="s">
        <v>961</v>
      </c>
      <c r="CH445" s="1108" t="s">
        <v>961</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1003</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629</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988</v>
      </c>
      <c r="AK446" s="1055" t="s">
        <v>964</v>
      </c>
      <c r="AL446" s="1055" t="s">
        <v>965</v>
      </c>
      <c r="AM446" s="1056" t="s">
        <v>629</v>
      </c>
      <c r="AN446" s="1050" t="s">
        <v>293</v>
      </c>
      <c r="AO446" s="1050" t="s">
        <v>4783</v>
      </c>
      <c r="AP446" s="1296">
        <v>1</v>
      </c>
      <c r="AQ446" s="821" t="s">
        <v>966</v>
      </c>
      <c r="AR446" s="1059" t="s">
        <v>629</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961</v>
      </c>
      <c r="CE446" s="1073" t="s">
        <v>961</v>
      </c>
      <c r="CF446" s="1073" t="s">
        <v>961</v>
      </c>
      <c r="CG446" s="1073" t="s">
        <v>961</v>
      </c>
      <c r="CH446" s="1074" t="s">
        <v>961</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973</v>
      </c>
      <c r="DV446" s="1082">
        <v>1</v>
      </c>
      <c r="DW446" s="1083" t="s">
        <v>1971</v>
      </c>
    </row>
    <row r="447" spans="1:127" s="390" customFormat="1" ht="15.75" customHeight="1">
      <c r="A447" s="1042" t="s">
        <v>1003</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988</v>
      </c>
      <c r="AK447" s="1055" t="s">
        <v>964</v>
      </c>
      <c r="AL447" s="1414" t="s">
        <v>977</v>
      </c>
      <c r="AM447" s="1056" t="s">
        <v>2083</v>
      </c>
      <c r="AN447" s="1050" t="s">
        <v>2147</v>
      </c>
      <c r="AO447" s="1050" t="s">
        <v>4783</v>
      </c>
      <c r="AP447" s="1296">
        <v>1</v>
      </c>
      <c r="AQ447" s="821" t="s">
        <v>966</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961</v>
      </c>
      <c r="CE447" s="1073" t="s">
        <v>961</v>
      </c>
      <c r="CF447" s="1073" t="s">
        <v>961</v>
      </c>
      <c r="CG447" s="1073" t="s">
        <v>961</v>
      </c>
      <c r="CH447" s="1074" t="s">
        <v>961</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973</v>
      </c>
      <c r="DV447" s="1082">
        <v>1</v>
      </c>
      <c r="DW447" s="1083" t="s">
        <v>1971</v>
      </c>
    </row>
    <row r="448" spans="1:127" s="390" customFormat="1" ht="15.75" customHeight="1">
      <c r="A448" s="1085" t="s">
        <v>1003</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984</v>
      </c>
      <c r="AK448" s="1094" t="s">
        <v>964</v>
      </c>
      <c r="AL448" s="1094" t="s">
        <v>965</v>
      </c>
      <c r="AM448" s="1095" t="s">
        <v>1955</v>
      </c>
      <c r="AN448" s="1006" t="s">
        <v>2204</v>
      </c>
      <c r="AO448" s="1006" t="s">
        <v>4787</v>
      </c>
      <c r="AP448" s="1296">
        <v>2</v>
      </c>
      <c r="AQ448" s="1064" t="s">
        <v>978</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961</v>
      </c>
      <c r="CE448" s="1107" t="s">
        <v>961</v>
      </c>
      <c r="CF448" s="1107" t="s">
        <v>961</v>
      </c>
      <c r="CG448" s="1107" t="s">
        <v>961</v>
      </c>
      <c r="CH448" s="1108" t="s">
        <v>961</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973</v>
      </c>
      <c r="DV448" s="1112">
        <v>1</v>
      </c>
      <c r="DW448" s="1113" t="s">
        <v>1971</v>
      </c>
    </row>
    <row r="449" spans="1:127" s="390" customFormat="1" ht="15.75" customHeight="1">
      <c r="A449" s="1085" t="s">
        <v>1003</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984</v>
      </c>
      <c r="AK449" s="1094" t="s">
        <v>964</v>
      </c>
      <c r="AL449" s="1094" t="s">
        <v>965</v>
      </c>
      <c r="AM449" s="1095" t="s">
        <v>2014</v>
      </c>
      <c r="AN449" s="1006" t="s">
        <v>2204</v>
      </c>
      <c r="AO449" s="1006" t="s">
        <v>4788</v>
      </c>
      <c r="AP449" s="1309">
        <v>0</v>
      </c>
      <c r="AQ449" s="1064" t="s">
        <v>978</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customHeight="1">
      <c r="A450" s="1085" t="s">
        <v>1003</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984</v>
      </c>
      <c r="AK450" s="1094" t="s">
        <v>964</v>
      </c>
      <c r="AL450" s="1094" t="s">
        <v>965</v>
      </c>
      <c r="AM450" s="1095" t="s">
        <v>2178</v>
      </c>
      <c r="AN450" s="1006" t="s">
        <v>410</v>
      </c>
      <c r="AO450" s="1006" t="s">
        <v>4790</v>
      </c>
      <c r="AP450" s="1296">
        <v>2</v>
      </c>
      <c r="AQ450" s="1064" t="s">
        <v>978</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customHeight="1">
      <c r="A451" s="1085" t="s">
        <v>1003</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984</v>
      </c>
      <c r="AK451" s="1094" t="s">
        <v>964</v>
      </c>
      <c r="AL451" s="1094" t="s">
        <v>965</v>
      </c>
      <c r="AM451" s="1095" t="s">
        <v>1955</v>
      </c>
      <c r="AN451" s="1006" t="s">
        <v>991</v>
      </c>
      <c r="AO451" s="1006" t="s">
        <v>3814</v>
      </c>
      <c r="AP451" s="1309">
        <v>0</v>
      </c>
      <c r="AQ451" s="1064" t="s">
        <v>978</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customHeight="1">
      <c r="A452" s="1085" t="s">
        <v>1003</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988</v>
      </c>
      <c r="AK452" s="1094" t="s">
        <v>964</v>
      </c>
      <c r="AL452" s="1094" t="s">
        <v>965</v>
      </c>
      <c r="AM452" s="1095" t="s">
        <v>1955</v>
      </c>
      <c r="AN452" s="1006" t="s">
        <v>991</v>
      </c>
      <c r="AO452" s="1006" t="s">
        <v>3819</v>
      </c>
      <c r="AP452" s="1309">
        <v>0</v>
      </c>
      <c r="AQ452" s="1064" t="s">
        <v>966</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customHeight="1">
      <c r="A453" s="1085" t="s">
        <v>1003</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963</v>
      </c>
      <c r="AK453" s="1094" t="s">
        <v>1971</v>
      </c>
      <c r="AL453" s="1094" t="s">
        <v>1971</v>
      </c>
      <c r="AM453" s="1095" t="s">
        <v>1923</v>
      </c>
      <c r="AN453" s="1006" t="s">
        <v>987</v>
      </c>
      <c r="AO453" s="1006" t="s">
        <v>3824</v>
      </c>
      <c r="AP453" s="1309">
        <v>0</v>
      </c>
      <c r="AQ453" s="1064" t="s">
        <v>978</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customHeight="1">
      <c r="A455" s="1085" t="s">
        <v>1003</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1016</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984</v>
      </c>
      <c r="AK455" s="1094" t="s">
        <v>964</v>
      </c>
      <c r="AL455" s="1094" t="s">
        <v>965</v>
      </c>
      <c r="AM455" s="1095" t="s">
        <v>2114</v>
      </c>
      <c r="AN455" s="1006" t="s">
        <v>293</v>
      </c>
      <c r="AO455" s="1006" t="s">
        <v>2472</v>
      </c>
      <c r="AP455" s="1296">
        <v>2</v>
      </c>
      <c r="AQ455" s="1064" t="s">
        <v>966</v>
      </c>
      <c r="AR455" s="1097" t="s">
        <v>1016</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961</v>
      </c>
      <c r="CE455" s="1107" t="s">
        <v>961</v>
      </c>
      <c r="CF455" s="1107" t="s">
        <v>961</v>
      </c>
      <c r="CG455" s="1107" t="s">
        <v>961</v>
      </c>
      <c r="CH455" s="1108" t="s">
        <v>961</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1003</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693</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988</v>
      </c>
      <c r="AK456" s="1094" t="s">
        <v>964</v>
      </c>
      <c r="AL456" s="1094" t="s">
        <v>965</v>
      </c>
      <c r="AM456" s="1095" t="s">
        <v>1949</v>
      </c>
      <c r="AN456" s="1006" t="s">
        <v>2204</v>
      </c>
      <c r="AO456" s="1006" t="s">
        <v>4799</v>
      </c>
      <c r="AP456" s="1296">
        <v>2</v>
      </c>
      <c r="AQ456" s="1064" t="s">
        <v>978</v>
      </c>
      <c r="AR456" s="1097" t="s">
        <v>693</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961</v>
      </c>
      <c r="CE456" s="1107" t="s">
        <v>961</v>
      </c>
      <c r="CF456" s="1107" t="s">
        <v>961</v>
      </c>
      <c r="CG456" s="1107" t="s">
        <v>961</v>
      </c>
      <c r="CH456" s="1108" t="s">
        <v>961</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1003</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687</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988</v>
      </c>
      <c r="AK457" s="1055" t="s">
        <v>964</v>
      </c>
      <c r="AL457" s="1055" t="s">
        <v>965</v>
      </c>
      <c r="AM457" s="1056" t="s">
        <v>2087</v>
      </c>
      <c r="AN457" s="1050" t="s">
        <v>2204</v>
      </c>
      <c r="AO457" s="1050" t="s">
        <v>4477</v>
      </c>
      <c r="AP457" s="1296">
        <v>2</v>
      </c>
      <c r="AQ457" s="1068" t="s">
        <v>978</v>
      </c>
      <c r="AR457" s="1059" t="s">
        <v>687</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961</v>
      </c>
      <c r="CE457" s="1073" t="s">
        <v>961</v>
      </c>
      <c r="CF457" s="1073" t="s">
        <v>961</v>
      </c>
      <c r="CG457" s="1073" t="s">
        <v>961</v>
      </c>
      <c r="CH457" s="1074" t="s">
        <v>961</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1003</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988</v>
      </c>
      <c r="AK458" s="1094" t="s">
        <v>964</v>
      </c>
      <c r="AL458" s="1094" t="s">
        <v>965</v>
      </c>
      <c r="AM458" s="1095" t="s">
        <v>2087</v>
      </c>
      <c r="AN458" s="1006" t="s">
        <v>2204</v>
      </c>
      <c r="AO458" s="1006" t="s">
        <v>4814</v>
      </c>
      <c r="AP458" s="1309">
        <v>0</v>
      </c>
      <c r="AQ458" s="1064" t="s">
        <v>978</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customHeight="1">
      <c r="A459" s="1085" t="s">
        <v>1003</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984</v>
      </c>
      <c r="AK459" s="1094" t="s">
        <v>964</v>
      </c>
      <c r="AL459" s="1094" t="s">
        <v>965</v>
      </c>
      <c r="AM459" s="1095" t="s">
        <v>2321</v>
      </c>
      <c r="AN459" s="1006" t="s">
        <v>293</v>
      </c>
      <c r="AO459" s="1006" t="s">
        <v>3849</v>
      </c>
      <c r="AP459" s="1309">
        <v>1</v>
      </c>
      <c r="AQ459" s="1064" t="s">
        <v>966</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customHeight="1">
      <c r="A460" s="1085" t="s">
        <v>1003</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778</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963</v>
      </c>
      <c r="AK460" s="1094" t="s">
        <v>1971</v>
      </c>
      <c r="AL460" s="1094" t="s">
        <v>1971</v>
      </c>
      <c r="AM460" s="1095" t="s">
        <v>2087</v>
      </c>
      <c r="AN460" s="1006" t="s">
        <v>293</v>
      </c>
      <c r="AO460" s="1006" t="s">
        <v>4784</v>
      </c>
      <c r="AP460" s="1296">
        <v>2</v>
      </c>
      <c r="AQ460" s="1064" t="s">
        <v>978</v>
      </c>
      <c r="AR460" s="1097" t="s">
        <v>778</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1003</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988</v>
      </c>
      <c r="AK461" s="1094" t="s">
        <v>964</v>
      </c>
      <c r="AL461" s="1094" t="s">
        <v>977</v>
      </c>
      <c r="AM461" s="1095" t="s">
        <v>1939</v>
      </c>
      <c r="AN461" s="1006" t="s">
        <v>2204</v>
      </c>
      <c r="AO461" s="1006" t="s">
        <v>3857</v>
      </c>
      <c r="AP461" s="1309">
        <v>2</v>
      </c>
      <c r="AQ461" s="1064" t="s">
        <v>966</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customHeight="1">
      <c r="A462" s="1085" t="s">
        <v>1003</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499</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963</v>
      </c>
      <c r="AK462" s="1094" t="s">
        <v>1971</v>
      </c>
      <c r="AL462" s="1094" t="s">
        <v>1971</v>
      </c>
      <c r="AM462" s="1095" t="s">
        <v>1939</v>
      </c>
      <c r="AN462" s="1006" t="s">
        <v>293</v>
      </c>
      <c r="AO462" s="1006" t="s">
        <v>4784</v>
      </c>
      <c r="AP462" s="1296">
        <v>1</v>
      </c>
      <c r="AQ462" s="1064" t="s">
        <v>978</v>
      </c>
      <c r="AR462" s="1097" t="s">
        <v>499</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973</v>
      </c>
      <c r="DV462" s="1112">
        <v>1</v>
      </c>
      <c r="DW462" s="1113" t="s">
        <v>1971</v>
      </c>
    </row>
    <row r="463" spans="1:127" s="390" customFormat="1" ht="15.75" customHeight="1">
      <c r="A463" s="1085" t="s">
        <v>1003</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984</v>
      </c>
      <c r="AK463" s="1094" t="s">
        <v>964</v>
      </c>
      <c r="AL463" s="1094" t="s">
        <v>965</v>
      </c>
      <c r="AM463" s="1095" t="s">
        <v>2536</v>
      </c>
      <c r="AN463" s="1006" t="s">
        <v>1039</v>
      </c>
      <c r="AO463" s="1006" t="s">
        <v>3865</v>
      </c>
      <c r="AP463" s="1309">
        <v>0</v>
      </c>
      <c r="AQ463" s="1064" t="s">
        <v>966</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customHeight="1">
      <c r="A464" s="1085" t="s">
        <v>1003</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984</v>
      </c>
      <c r="AK464" s="1094" t="s">
        <v>964</v>
      </c>
      <c r="AL464" s="1094" t="s">
        <v>977</v>
      </c>
      <c r="AM464" s="1095" t="s">
        <v>1939</v>
      </c>
      <c r="AN464" s="1006" t="s">
        <v>991</v>
      </c>
      <c r="AO464" s="1006" t="s">
        <v>2701</v>
      </c>
      <c r="AP464" s="1309">
        <v>0</v>
      </c>
      <c r="AQ464" s="1064" t="s">
        <v>966</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customHeight="1">
      <c r="A465" s="1085" t="s">
        <v>1003</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984</v>
      </c>
      <c r="AK465" s="1094" t="s">
        <v>964</v>
      </c>
      <c r="AL465" s="1094" t="s">
        <v>977</v>
      </c>
      <c r="AM465" s="1095" t="s">
        <v>3874</v>
      </c>
      <c r="AN465" s="1006" t="s">
        <v>293</v>
      </c>
      <c r="AO465" s="1006" t="s">
        <v>3875</v>
      </c>
      <c r="AP465" s="1309">
        <v>1</v>
      </c>
      <c r="AQ465" s="1064" t="s">
        <v>966</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customHeight="1">
      <c r="A466" s="1085" t="s">
        <v>1003</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984</v>
      </c>
      <c r="AK466" s="1094" t="s">
        <v>964</v>
      </c>
      <c r="AL466" s="1094" t="s">
        <v>977</v>
      </c>
      <c r="AM466" s="1095" t="s">
        <v>3874</v>
      </c>
      <c r="AN466" s="1006" t="s">
        <v>2147</v>
      </c>
      <c r="AO466" s="1006" t="s">
        <v>1971</v>
      </c>
      <c r="AP466" s="1309">
        <v>1</v>
      </c>
      <c r="AQ466" s="1064" t="s">
        <v>966</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customHeight="1">
      <c r="A467" s="1085" t="s">
        <v>1003</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984</v>
      </c>
      <c r="AK467" s="1094" t="s">
        <v>964</v>
      </c>
      <c r="AL467" s="1094" t="s">
        <v>965</v>
      </c>
      <c r="AM467" s="1095" t="s">
        <v>2781</v>
      </c>
      <c r="AN467" s="1006" t="s">
        <v>1030</v>
      </c>
      <c r="AO467" s="1006" t="s">
        <v>3884</v>
      </c>
      <c r="AP467" s="1309">
        <v>0</v>
      </c>
      <c r="AQ467" s="1064" t="s">
        <v>978</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customHeight="1">
      <c r="A468" s="1085" t="s">
        <v>1003</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964</v>
      </c>
      <c r="AL468" s="1094" t="s">
        <v>965</v>
      </c>
      <c r="AM468" s="1095" t="s">
        <v>2781</v>
      </c>
      <c r="AN468" s="1006" t="s">
        <v>293</v>
      </c>
      <c r="AO468" s="1006" t="s">
        <v>3889</v>
      </c>
      <c r="AP468" s="1309">
        <v>2</v>
      </c>
      <c r="AQ468" s="1064" t="s">
        <v>978</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customHeight="1">
      <c r="A469" s="1085" t="s">
        <v>1003</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963</v>
      </c>
      <c r="AK469" s="1094" t="s">
        <v>1971</v>
      </c>
      <c r="AL469" s="1094" t="s">
        <v>1971</v>
      </c>
      <c r="AM469" s="1095" t="s">
        <v>2058</v>
      </c>
      <c r="AN469" s="1006" t="s">
        <v>991</v>
      </c>
      <c r="AO469" s="1006" t="s">
        <v>3894</v>
      </c>
      <c r="AP469" s="1309">
        <v>0</v>
      </c>
      <c r="AQ469" s="1064" t="s">
        <v>966</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customHeight="1">
      <c r="A470" s="1085" t="s">
        <v>1003</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689</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984</v>
      </c>
      <c r="AK470" s="1094" t="s">
        <v>964</v>
      </c>
      <c r="AL470" s="1094" t="s">
        <v>965</v>
      </c>
      <c r="AM470" s="1095" t="s">
        <v>689</v>
      </c>
      <c r="AN470" s="1006" t="s">
        <v>2204</v>
      </c>
      <c r="AO470" s="1006" t="s">
        <v>4798</v>
      </c>
      <c r="AP470" s="1310">
        <v>2</v>
      </c>
      <c r="AQ470" s="1064" t="s">
        <v>978</v>
      </c>
      <c r="AR470" s="1097" t="s">
        <v>689</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961</v>
      </c>
      <c r="CE470" s="1107" t="s">
        <v>961</v>
      </c>
      <c r="CF470" s="1107" t="s">
        <v>961</v>
      </c>
      <c r="CG470" s="1107" t="s">
        <v>961</v>
      </c>
      <c r="CH470" s="1108" t="s">
        <v>961</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973</v>
      </c>
      <c r="DV470" s="1112">
        <v>1</v>
      </c>
      <c r="DW470" s="1113" t="s">
        <v>1971</v>
      </c>
    </row>
    <row r="471" spans="1:127" s="390" customFormat="1" ht="15.75" customHeight="1">
      <c r="A471" s="1085" t="s">
        <v>1003</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984</v>
      </c>
      <c r="AK471" s="1094" t="s">
        <v>964</v>
      </c>
      <c r="AL471" s="1094" t="s">
        <v>965</v>
      </c>
      <c r="AM471" s="1095" t="s">
        <v>1971</v>
      </c>
      <c r="AN471" s="1006" t="s">
        <v>1971</v>
      </c>
      <c r="AO471" s="1006" t="s">
        <v>1971</v>
      </c>
      <c r="AP471" s="1309">
        <v>0</v>
      </c>
      <c r="AQ471" s="1064" t="s">
        <v>966</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customHeight="1">
      <c r="A472" s="1085" t="s">
        <v>1003</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984</v>
      </c>
      <c r="AK472" s="1094" t="s">
        <v>964</v>
      </c>
      <c r="AL472" s="1094" t="s">
        <v>965</v>
      </c>
      <c r="AM472" s="1095" t="s">
        <v>711</v>
      </c>
      <c r="AN472" s="1006" t="s">
        <v>293</v>
      </c>
      <c r="AO472" s="1006" t="s">
        <v>1061</v>
      </c>
      <c r="AP472" s="1309">
        <v>1</v>
      </c>
      <c r="AQ472" s="1064" t="s">
        <v>966</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customHeight="1">
      <c r="A473" s="1085" t="s">
        <v>1003</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984</v>
      </c>
      <c r="AK473" s="1094" t="s">
        <v>964</v>
      </c>
      <c r="AL473" s="1094" t="s">
        <v>965</v>
      </c>
      <c r="AM473" s="1095" t="s">
        <v>1939</v>
      </c>
      <c r="AN473" s="1006" t="s">
        <v>1030</v>
      </c>
      <c r="AO473" s="1006" t="s">
        <v>3911</v>
      </c>
      <c r="AP473" s="1309">
        <v>0</v>
      </c>
      <c r="AQ473" s="1064" t="s">
        <v>978</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customHeight="1">
      <c r="A474" s="1085" t="s">
        <v>1003</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963</v>
      </c>
      <c r="AK474" s="1094"/>
      <c r="AL474" s="1094" t="s">
        <v>1971</v>
      </c>
      <c r="AM474" s="1095" t="s">
        <v>2423</v>
      </c>
      <c r="AN474" s="1006" t="s">
        <v>1039</v>
      </c>
      <c r="AO474" s="1006" t="s">
        <v>3916</v>
      </c>
      <c r="AP474" s="1309">
        <v>1</v>
      </c>
      <c r="AQ474" s="1064" t="s">
        <v>966</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customHeight="1">
      <c r="A475" s="1085" t="s">
        <v>1003</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984</v>
      </c>
      <c r="AK475" s="1094" t="s">
        <v>964</v>
      </c>
      <c r="AL475" s="1094" t="s">
        <v>965</v>
      </c>
      <c r="AM475" s="1095" t="s">
        <v>2264</v>
      </c>
      <c r="AN475" s="1006" t="s">
        <v>1030</v>
      </c>
      <c r="AO475" s="1006" t="s">
        <v>3921</v>
      </c>
      <c r="AP475" s="1309">
        <v>0</v>
      </c>
      <c r="AQ475" s="1064" t="s">
        <v>978</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customHeight="1">
      <c r="A476" s="1085" t="s">
        <v>1003</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963</v>
      </c>
      <c r="AK476" s="1094"/>
      <c r="AL476" s="1094" t="s">
        <v>1971</v>
      </c>
      <c r="AM476" s="1095" t="s">
        <v>1971</v>
      </c>
      <c r="AN476" s="1006" t="s">
        <v>1971</v>
      </c>
      <c r="AO476" s="1006" t="s">
        <v>3925</v>
      </c>
      <c r="AP476" s="1309">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customHeight="1">
      <c r="A477" s="1085" t="s">
        <v>1003</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988</v>
      </c>
      <c r="AK477" s="1094" t="s">
        <v>964</v>
      </c>
      <c r="AL477" s="1094" t="s">
        <v>977</v>
      </c>
      <c r="AM477" s="1095" t="s">
        <v>1971</v>
      </c>
      <c r="AN477" s="1006" t="s">
        <v>1971</v>
      </c>
      <c r="AO477" s="1006" t="s">
        <v>1971</v>
      </c>
      <c r="AP477" s="1309">
        <v>1</v>
      </c>
      <c r="AQ477" s="1064" t="s">
        <v>966</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customHeight="1">
      <c r="A478" s="1085" t="s">
        <v>1003</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988</v>
      </c>
      <c r="AK478" s="1094" t="s">
        <v>964</v>
      </c>
      <c r="AL478" s="1094" t="s">
        <v>965</v>
      </c>
      <c r="AM478" s="1095" t="s">
        <v>2008</v>
      </c>
      <c r="AN478" s="1006" t="s">
        <v>991</v>
      </c>
      <c r="AO478" s="1006" t="s">
        <v>2338</v>
      </c>
      <c r="AP478" s="1309">
        <v>1</v>
      </c>
      <c r="AQ478" s="1064" t="s">
        <v>978</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customHeight="1">
      <c r="A479" s="1085" t="s">
        <v>1003</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988</v>
      </c>
      <c r="AK479" s="1094" t="s">
        <v>964</v>
      </c>
      <c r="AL479" s="1094" t="s">
        <v>977</v>
      </c>
      <c r="AM479" s="1095" t="s">
        <v>2315</v>
      </c>
      <c r="AN479" s="1006" t="s">
        <v>991</v>
      </c>
      <c r="AO479" s="1006" t="s">
        <v>3936</v>
      </c>
      <c r="AP479" s="1309">
        <v>0</v>
      </c>
      <c r="AQ479" s="1064" t="s">
        <v>966</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customHeight="1">
      <c r="A480" s="1085" t="s">
        <v>1003</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984</v>
      </c>
      <c r="AK480" s="1094" t="s">
        <v>964</v>
      </c>
      <c r="AL480" s="1094" t="s">
        <v>965</v>
      </c>
      <c r="AM480" s="1095" t="s">
        <v>1996</v>
      </c>
      <c r="AN480" s="1006" t="s">
        <v>991</v>
      </c>
      <c r="AO480" s="1006" t="s">
        <v>3941</v>
      </c>
      <c r="AP480" s="1309">
        <v>0</v>
      </c>
      <c r="AQ480" s="1064" t="s">
        <v>966</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customHeight="1">
      <c r="A481" s="1085" t="s">
        <v>1003</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988</v>
      </c>
      <c r="AK481" s="1094" t="s">
        <v>964</v>
      </c>
      <c r="AL481" s="1094" t="s">
        <v>965</v>
      </c>
      <c r="AM481" s="1095" t="s">
        <v>2161</v>
      </c>
      <c r="AN481" s="1006" t="s">
        <v>991</v>
      </c>
      <c r="AO481" s="1006" t="s">
        <v>3946</v>
      </c>
      <c r="AP481" s="1309">
        <v>0</v>
      </c>
      <c r="AQ481" s="1064" t="s">
        <v>966</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customHeight="1">
      <c r="A482" s="1085" t="s">
        <v>1003</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963</v>
      </c>
      <c r="AK482" s="1094"/>
      <c r="AL482" s="1094"/>
      <c r="AM482" s="1095" t="s">
        <v>2135</v>
      </c>
      <c r="AN482" s="1006" t="s">
        <v>293</v>
      </c>
      <c r="AO482" s="1006" t="s">
        <v>3951</v>
      </c>
      <c r="AP482" s="1309">
        <v>1</v>
      </c>
      <c r="AQ482" s="1064" t="s">
        <v>293</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customHeight="1">
      <c r="A483" s="1085" t="s">
        <v>1003</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975</v>
      </c>
      <c r="AK483" s="1094" t="s">
        <v>964</v>
      </c>
      <c r="AL483" s="1094" t="s">
        <v>965</v>
      </c>
      <c r="AM483" s="1095" t="s">
        <v>2781</v>
      </c>
      <c r="AN483" s="1006" t="s">
        <v>991</v>
      </c>
      <c r="AO483" s="1006" t="s">
        <v>3956</v>
      </c>
      <c r="AP483" s="1309">
        <v>0</v>
      </c>
      <c r="AQ483" s="1064" t="s">
        <v>966</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customHeight="1">
      <c r="A484" s="1085" t="s">
        <v>1003</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658</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963</v>
      </c>
      <c r="AK484" s="1094" t="s">
        <v>1971</v>
      </c>
      <c r="AL484" s="1094" t="s">
        <v>1971</v>
      </c>
      <c r="AM484" s="1095" t="s">
        <v>2058</v>
      </c>
      <c r="AN484" s="1006" t="s">
        <v>293</v>
      </c>
      <c r="AO484" s="1006" t="s">
        <v>4791</v>
      </c>
      <c r="AP484" s="1296">
        <v>1</v>
      </c>
      <c r="AQ484" s="1064" t="s">
        <v>966</v>
      </c>
      <c r="AR484" s="1097" t="s">
        <v>658</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973</v>
      </c>
      <c r="DV484" s="1112">
        <v>1</v>
      </c>
      <c r="DW484" s="1113" t="s">
        <v>3996</v>
      </c>
    </row>
    <row r="485" spans="1:127" s="390" customFormat="1" ht="15.75" customHeight="1">
      <c r="A485" s="1085" t="s">
        <v>1003</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963</v>
      </c>
      <c r="AK485" s="1094" t="s">
        <v>1971</v>
      </c>
      <c r="AL485" s="1094" t="s">
        <v>1971</v>
      </c>
      <c r="AM485" s="1095" t="s">
        <v>2058</v>
      </c>
      <c r="AN485" s="1006" t="s">
        <v>1030</v>
      </c>
      <c r="AO485" s="1006" t="s">
        <v>3965</v>
      </c>
      <c r="AP485" s="1309">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customHeight="1">
      <c r="A486" s="1085" t="s">
        <v>1003</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984</v>
      </c>
      <c r="AK486" s="1094" t="s">
        <v>964</v>
      </c>
      <c r="AL486" s="1094" t="s">
        <v>977</v>
      </c>
      <c r="AM486" s="1095" t="s">
        <v>1971</v>
      </c>
      <c r="AN486" s="1006" t="s">
        <v>1971</v>
      </c>
      <c r="AO486" s="1006" t="s">
        <v>1971</v>
      </c>
      <c r="AP486" s="1309">
        <v>0</v>
      </c>
      <c r="AQ486" s="1064" t="s">
        <v>966</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customHeight="1">
      <c r="A487" s="1085" t="s">
        <v>1003</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984</v>
      </c>
      <c r="AK487" s="1094" t="s">
        <v>964</v>
      </c>
      <c r="AL487" s="1094" t="s">
        <v>977</v>
      </c>
      <c r="AM487" s="1095" t="s">
        <v>1971</v>
      </c>
      <c r="AN487" s="1006" t="s">
        <v>1971</v>
      </c>
      <c r="AO487" s="1006" t="s">
        <v>1971</v>
      </c>
      <c r="AP487" s="1309">
        <v>0</v>
      </c>
      <c r="AQ487" s="1064" t="s">
        <v>966</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customHeight="1">
      <c r="A488" s="1085" t="s">
        <v>1003</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963</v>
      </c>
      <c r="AK488" s="1094" t="s">
        <v>1971</v>
      </c>
      <c r="AL488" s="1094" t="s">
        <v>1971</v>
      </c>
      <c r="AM488" s="1095" t="s">
        <v>1971</v>
      </c>
      <c r="AN488" s="1006" t="s">
        <v>1971</v>
      </c>
      <c r="AO488" s="1006" t="s">
        <v>2063</v>
      </c>
      <c r="AP488" s="1309">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customHeight="1">
      <c r="A489" s="1085" t="s">
        <v>1003</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customHeight="1">
      <c r="A490" s="1085" t="s">
        <v>1008</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984</v>
      </c>
      <c r="AK490" s="1094" t="s">
        <v>964</v>
      </c>
      <c r="AL490" s="1094" t="s">
        <v>965</v>
      </c>
      <c r="AM490" s="1095" t="s">
        <v>1955</v>
      </c>
      <c r="AN490" s="1006" t="s">
        <v>2204</v>
      </c>
      <c r="AO490" s="1006" t="s">
        <v>4787</v>
      </c>
      <c r="AP490" s="1296">
        <v>2</v>
      </c>
      <c r="AQ490" s="1064" t="s">
        <v>978</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961</v>
      </c>
      <c r="CE490" s="1107" t="s">
        <v>961</v>
      </c>
      <c r="CF490" s="1107" t="s">
        <v>961</v>
      </c>
      <c r="CG490" s="1107" t="s">
        <v>961</v>
      </c>
      <c r="CH490" s="1108" t="s">
        <v>961</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973</v>
      </c>
      <c r="DV490" s="1112">
        <v>1</v>
      </c>
      <c r="DW490" s="1113" t="s">
        <v>1971</v>
      </c>
    </row>
    <row r="491" spans="1:127" s="390" customFormat="1" ht="15.75" customHeight="1">
      <c r="A491" s="1085" t="s">
        <v>1008</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988</v>
      </c>
      <c r="AK491" s="1094" t="s">
        <v>964</v>
      </c>
      <c r="AL491" s="1094" t="s">
        <v>965</v>
      </c>
      <c r="AM491" s="1095" t="s">
        <v>2178</v>
      </c>
      <c r="AN491" s="1006" t="s">
        <v>410</v>
      </c>
      <c r="AO491" s="1006" t="s">
        <v>4790</v>
      </c>
      <c r="AP491" s="1263">
        <v>1</v>
      </c>
      <c r="AQ491" s="1064" t="s">
        <v>978</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customHeight="1">
      <c r="A492" s="1085" t="s">
        <v>1008</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988</v>
      </c>
      <c r="AK492" s="1094" t="s">
        <v>964</v>
      </c>
      <c r="AL492" s="1094" t="s">
        <v>965</v>
      </c>
      <c r="AM492" s="1095" t="s">
        <v>1955</v>
      </c>
      <c r="AN492" s="1006" t="s">
        <v>991</v>
      </c>
      <c r="AO492" s="1006" t="s">
        <v>3995</v>
      </c>
      <c r="AP492" s="1263">
        <v>0</v>
      </c>
      <c r="AQ492" s="1064" t="s">
        <v>966</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customHeight="1">
      <c r="A493" s="1085" t="s">
        <v>1008</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988</v>
      </c>
      <c r="AK493" s="1094" t="s">
        <v>964</v>
      </c>
      <c r="AL493" s="1094" t="s">
        <v>965</v>
      </c>
      <c r="AM493" s="1095" t="s">
        <v>2423</v>
      </c>
      <c r="AN493" s="1006" t="s">
        <v>293</v>
      </c>
      <c r="AO493" s="1006" t="s">
        <v>4001</v>
      </c>
      <c r="AP493" s="1263">
        <v>1</v>
      </c>
      <c r="AQ493" s="1064" t="s">
        <v>966</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customHeight="1">
      <c r="A494" s="1085" t="s">
        <v>1008</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975</v>
      </c>
      <c r="AK494" s="1094" t="s">
        <v>964</v>
      </c>
      <c r="AL494" s="1094" t="s">
        <v>965</v>
      </c>
      <c r="AM494" s="1095" t="s">
        <v>2178</v>
      </c>
      <c r="AN494" s="1006" t="s">
        <v>991</v>
      </c>
      <c r="AO494" s="1006" t="s">
        <v>4006</v>
      </c>
      <c r="AP494" s="1263">
        <v>2</v>
      </c>
      <c r="AQ494" s="1064" t="s">
        <v>966</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customHeight="1">
      <c r="A495" s="1042" t="s">
        <v>1008</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629</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988</v>
      </c>
      <c r="AK495" s="1055" t="s">
        <v>964</v>
      </c>
      <c r="AL495" s="1055" t="s">
        <v>965</v>
      </c>
      <c r="AM495" s="1056" t="s">
        <v>629</v>
      </c>
      <c r="AN495" s="1050" t="s">
        <v>293</v>
      </c>
      <c r="AO495" s="1050" t="s">
        <v>4783</v>
      </c>
      <c r="AP495" s="1295">
        <v>1</v>
      </c>
      <c r="AQ495" s="821" t="s">
        <v>966</v>
      </c>
      <c r="AR495" s="1059" t="s">
        <v>629</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961</v>
      </c>
      <c r="CE495" s="1073" t="s">
        <v>961</v>
      </c>
      <c r="CF495" s="1073" t="s">
        <v>961</v>
      </c>
      <c r="CG495" s="1073" t="s">
        <v>961</v>
      </c>
      <c r="CH495" s="1074" t="s">
        <v>961</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973</v>
      </c>
      <c r="DV495" s="1082">
        <v>1</v>
      </c>
      <c r="DW495" s="1083" t="s">
        <v>1971</v>
      </c>
    </row>
    <row r="496" spans="1:127" s="390" customFormat="1" ht="15.75" customHeight="1">
      <c r="A496" s="1085" t="s">
        <v>1008</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178</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988</v>
      </c>
      <c r="AK496" s="1094" t="s">
        <v>964</v>
      </c>
      <c r="AL496" s="1094" t="s">
        <v>965</v>
      </c>
      <c r="AM496" s="1095" t="s">
        <v>2103</v>
      </c>
      <c r="AN496" s="1006" t="s">
        <v>2204</v>
      </c>
      <c r="AO496" s="1006" t="s">
        <v>4786</v>
      </c>
      <c r="AP496" s="1296">
        <v>1</v>
      </c>
      <c r="AQ496" s="1064" t="s">
        <v>978</v>
      </c>
      <c r="AR496" s="1097" t="s">
        <v>178</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961</v>
      </c>
      <c r="CE496" s="1107" t="s">
        <v>961</v>
      </c>
      <c r="CF496" s="1107" t="s">
        <v>961</v>
      </c>
      <c r="CG496" s="1107" t="s">
        <v>961</v>
      </c>
      <c r="CH496" s="1108" t="s">
        <v>961</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50">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1008</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154</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988</v>
      </c>
      <c r="AK497" s="1094" t="s">
        <v>964</v>
      </c>
      <c r="AL497" s="1094" t="s">
        <v>965</v>
      </c>
      <c r="AM497" s="1095" t="s">
        <v>1923</v>
      </c>
      <c r="AN497" s="1006" t="s">
        <v>4781</v>
      </c>
      <c r="AO497" s="1006" t="s">
        <v>4782</v>
      </c>
      <c r="AP497" s="1296">
        <v>0</v>
      </c>
      <c r="AQ497" s="1064" t="s">
        <v>978</v>
      </c>
      <c r="AR497" s="1097" t="s">
        <v>154</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961</v>
      </c>
      <c r="CE497" s="1107" t="s">
        <v>961</v>
      </c>
      <c r="CF497" s="1107" t="s">
        <v>961</v>
      </c>
      <c r="CG497" s="1107" t="s">
        <v>961</v>
      </c>
      <c r="CH497" s="1108" t="s">
        <v>961</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973</v>
      </c>
      <c r="DV497" s="1112">
        <v>1</v>
      </c>
      <c r="DW497" s="1113" t="s">
        <v>1971</v>
      </c>
    </row>
    <row r="498" spans="1:127" s="390" customFormat="1" ht="15.75" customHeight="1">
      <c r="A498" s="1085" t="s">
        <v>1008</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184</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984</v>
      </c>
      <c r="AK498" s="1094" t="s">
        <v>964</v>
      </c>
      <c r="AL498" s="1094" t="s">
        <v>965</v>
      </c>
      <c r="AM498" s="1095" t="s">
        <v>1944</v>
      </c>
      <c r="AN498" s="1006" t="s">
        <v>293</v>
      </c>
      <c r="AO498" s="1006" t="s">
        <v>4785</v>
      </c>
      <c r="AP498" s="1296">
        <v>2</v>
      </c>
      <c r="AQ498" s="1064" t="s">
        <v>978</v>
      </c>
      <c r="AR498" s="1097" t="s">
        <v>184</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961</v>
      </c>
      <c r="CE498" s="1107" t="s">
        <v>961</v>
      </c>
      <c r="CF498" s="1107" t="s">
        <v>961</v>
      </c>
      <c r="CG498" s="1107" t="s">
        <v>961</v>
      </c>
      <c r="CH498" s="1108" t="s">
        <v>961</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1008</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988</v>
      </c>
      <c r="AK499" s="1055" t="s">
        <v>964</v>
      </c>
      <c r="AL499" s="1414" t="s">
        <v>977</v>
      </c>
      <c r="AM499" s="1056" t="s">
        <v>2083</v>
      </c>
      <c r="AN499" s="1050" t="s">
        <v>293</v>
      </c>
      <c r="AO499" s="1050" t="s">
        <v>4783</v>
      </c>
      <c r="AP499" s="1295">
        <v>1</v>
      </c>
      <c r="AQ499" s="821" t="s">
        <v>966</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961</v>
      </c>
      <c r="CE499" s="1073" t="s">
        <v>961</v>
      </c>
      <c r="CF499" s="1073" t="s">
        <v>961</v>
      </c>
      <c r="CG499" s="1073" t="s">
        <v>961</v>
      </c>
      <c r="CH499" s="1074" t="s">
        <v>961</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1008</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499</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963</v>
      </c>
      <c r="AK500" s="1094" t="s">
        <v>1971</v>
      </c>
      <c r="AL500" s="1094" t="s">
        <v>1971</v>
      </c>
      <c r="AM500" s="1095" t="s">
        <v>1939</v>
      </c>
      <c r="AN500" s="1006" t="s">
        <v>293</v>
      </c>
      <c r="AO500" s="1006" t="s">
        <v>4784</v>
      </c>
      <c r="AP500" s="1296">
        <v>1</v>
      </c>
      <c r="AQ500" s="1064" t="s">
        <v>978</v>
      </c>
      <c r="AR500" s="1097" t="s">
        <v>499</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1008</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988</v>
      </c>
      <c r="AK501" s="1094" t="s">
        <v>964</v>
      </c>
      <c r="AL501" s="1094" t="s">
        <v>965</v>
      </c>
      <c r="AM501" s="1095" t="s">
        <v>2014</v>
      </c>
      <c r="AN501" s="1006" t="s">
        <v>2204</v>
      </c>
      <c r="AO501" s="1006" t="s">
        <v>4788</v>
      </c>
      <c r="AP501" s="1263">
        <v>3</v>
      </c>
      <c r="AQ501" s="1064" t="s">
        <v>978</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customHeight="1">
      <c r="A502" s="1085" t="s">
        <v>1008</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988</v>
      </c>
      <c r="AK502" s="1094" t="s">
        <v>964</v>
      </c>
      <c r="AL502" s="1094" t="s">
        <v>965</v>
      </c>
      <c r="AM502" s="1095" t="s">
        <v>1949</v>
      </c>
      <c r="AN502" s="1006" t="s">
        <v>991</v>
      </c>
      <c r="AO502" s="1006" t="s">
        <v>4033</v>
      </c>
      <c r="AP502" s="1263">
        <v>0</v>
      </c>
      <c r="AQ502" s="1064" t="s">
        <v>978</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customHeight="1">
      <c r="A503" s="1085" t="s">
        <v>1008</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963</v>
      </c>
      <c r="AK503" s="1094" t="s">
        <v>1971</v>
      </c>
      <c r="AL503" s="1094" t="s">
        <v>1971</v>
      </c>
      <c r="AM503" s="1095" t="s">
        <v>1939</v>
      </c>
      <c r="AN503" s="1006" t="s">
        <v>1042</v>
      </c>
      <c r="AO503" s="1006" t="s">
        <v>4038</v>
      </c>
      <c r="AP503" s="1263">
        <v>0</v>
      </c>
      <c r="AQ503" s="1064" t="s">
        <v>966</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customHeight="1">
      <c r="A504" s="1085" t="s">
        <v>1008</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966</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customHeight="1">
      <c r="A505" s="1085" t="s">
        <v>1008</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988</v>
      </c>
      <c r="AK505" s="1094" t="s">
        <v>964</v>
      </c>
      <c r="AL505" s="1094" t="s">
        <v>965</v>
      </c>
      <c r="AM505" s="1095" t="s">
        <v>2536</v>
      </c>
      <c r="AN505" s="1006" t="s">
        <v>293</v>
      </c>
      <c r="AO505" s="1006" t="s">
        <v>4049</v>
      </c>
      <c r="AP505" s="1263">
        <v>0</v>
      </c>
      <c r="AQ505" s="1064" t="s">
        <v>966</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customHeight="1">
      <c r="A506" s="1085" t="s">
        <v>1008</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689</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988</v>
      </c>
      <c r="AK506" s="1094" t="s">
        <v>964</v>
      </c>
      <c r="AL506" s="1094" t="s">
        <v>965</v>
      </c>
      <c r="AM506" s="1095" t="s">
        <v>689</v>
      </c>
      <c r="AN506" s="1006" t="s">
        <v>2204</v>
      </c>
      <c r="AO506" s="1006" t="s">
        <v>4798</v>
      </c>
      <c r="AP506" s="1296">
        <v>2</v>
      </c>
      <c r="AQ506" s="1064" t="s">
        <v>978</v>
      </c>
      <c r="AR506" s="1097" t="s">
        <v>689</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961</v>
      </c>
      <c r="CE506" s="1107" t="s">
        <v>961</v>
      </c>
      <c r="CF506" s="1107" t="s">
        <v>961</v>
      </c>
      <c r="CG506" s="1107" t="s">
        <v>961</v>
      </c>
      <c r="CH506" s="1108" t="s">
        <v>961</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973</v>
      </c>
      <c r="DV506" s="1112">
        <v>1</v>
      </c>
      <c r="DW506" s="1113" t="s">
        <v>1971</v>
      </c>
    </row>
    <row r="507" spans="1:127" s="390" customFormat="1" ht="15.75" customHeight="1">
      <c r="A507" s="1085" t="s">
        <v>1008</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1016</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988</v>
      </c>
      <c r="AK507" s="1094" t="s">
        <v>964</v>
      </c>
      <c r="AL507" s="1094" t="s">
        <v>965</v>
      </c>
      <c r="AM507" s="1095" t="s">
        <v>2114</v>
      </c>
      <c r="AN507" s="1006" t="s">
        <v>293</v>
      </c>
      <c r="AO507" s="1006" t="s">
        <v>2472</v>
      </c>
      <c r="AP507" s="1296">
        <v>2</v>
      </c>
      <c r="AQ507" s="1064" t="s">
        <v>966</v>
      </c>
      <c r="AR507" s="1097" t="s">
        <v>1016</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961</v>
      </c>
      <c r="CE507" s="1107" t="s">
        <v>961</v>
      </c>
      <c r="CF507" s="1107" t="s">
        <v>961</v>
      </c>
      <c r="CG507" s="1107" t="s">
        <v>961</v>
      </c>
      <c r="CH507" s="1108" t="s">
        <v>961</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1008</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988</v>
      </c>
      <c r="AK508" s="1094" t="s">
        <v>964</v>
      </c>
      <c r="AL508" s="1094" t="s">
        <v>965</v>
      </c>
      <c r="AM508" s="1095" t="s">
        <v>2008</v>
      </c>
      <c r="AN508" s="1006" t="s">
        <v>991</v>
      </c>
      <c r="AO508" s="1006" t="s">
        <v>2338</v>
      </c>
      <c r="AP508" s="1263">
        <v>1</v>
      </c>
      <c r="AQ508" s="1064" t="s">
        <v>978</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customHeight="1">
      <c r="A509" s="1085" t="s">
        <v>1008</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963</v>
      </c>
      <c r="AK509" s="1094" t="s">
        <v>1971</v>
      </c>
      <c r="AL509" s="1094" t="s">
        <v>1971</v>
      </c>
      <c r="AM509" s="1095" t="s">
        <v>2135</v>
      </c>
      <c r="AN509" s="1006" t="s">
        <v>4856</v>
      </c>
      <c r="AO509" s="1006" t="s">
        <v>4065</v>
      </c>
      <c r="AP509" s="1263">
        <v>0</v>
      </c>
      <c r="AQ509" s="1064" t="s">
        <v>966</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customHeight="1">
      <c r="A510" s="1085" t="s">
        <v>1008</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963</v>
      </c>
      <c r="AK510" s="1094" t="s">
        <v>1971</v>
      </c>
      <c r="AL510" s="1094" t="s">
        <v>1971</v>
      </c>
      <c r="AM510" s="1095" t="s">
        <v>2135</v>
      </c>
      <c r="AN510" s="1006" t="s">
        <v>4856</v>
      </c>
      <c r="AO510" s="1006" t="s">
        <v>4069</v>
      </c>
      <c r="AP510" s="1263">
        <v>0</v>
      </c>
      <c r="AQ510" s="1064" t="s">
        <v>966</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customHeight="1">
      <c r="A511" s="1085" t="s">
        <v>1008</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988</v>
      </c>
      <c r="AK511" s="1094" t="s">
        <v>964</v>
      </c>
      <c r="AL511" s="1094" t="s">
        <v>977</v>
      </c>
      <c r="AM511" s="1095" t="s">
        <v>2135</v>
      </c>
      <c r="AN511" s="1006" t="s">
        <v>991</v>
      </c>
      <c r="AO511" s="1006" t="s">
        <v>4072</v>
      </c>
      <c r="AP511" s="1263">
        <v>0</v>
      </c>
      <c r="AQ511" s="1064" t="s">
        <v>966</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customHeight="1">
      <c r="A512" s="1085" t="s">
        <v>1008</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988</v>
      </c>
      <c r="AK512" s="1094" t="s">
        <v>964</v>
      </c>
      <c r="AL512" s="1094" t="s">
        <v>965</v>
      </c>
      <c r="AM512" s="1095" t="s">
        <v>2135</v>
      </c>
      <c r="AN512" s="1006" t="s">
        <v>141</v>
      </c>
      <c r="AO512" s="1006" t="s">
        <v>4077</v>
      </c>
      <c r="AP512" s="1263">
        <v>3</v>
      </c>
      <c r="AQ512" s="1064" t="s">
        <v>966</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customHeight="1">
      <c r="A513" s="1085" t="s">
        <v>1008</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988</v>
      </c>
      <c r="AK513" s="1094" t="s">
        <v>964</v>
      </c>
      <c r="AL513" s="1094" t="s">
        <v>965</v>
      </c>
      <c r="AM513" s="1095" t="s">
        <v>711</v>
      </c>
      <c r="AN513" s="1006" t="s">
        <v>293</v>
      </c>
      <c r="AO513" s="1006" t="s">
        <v>4082</v>
      </c>
      <c r="AP513" s="1263">
        <v>2</v>
      </c>
      <c r="AQ513" s="1064" t="s">
        <v>966</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customHeight="1">
      <c r="A514" s="1085" t="s">
        <v>1008</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988</v>
      </c>
      <c r="AK514" s="1094" t="s">
        <v>964</v>
      </c>
      <c r="AL514" s="1094" t="s">
        <v>965</v>
      </c>
      <c r="AM514" s="1095" t="s">
        <v>2161</v>
      </c>
      <c r="AN514" s="1006" t="s">
        <v>991</v>
      </c>
      <c r="AO514" s="1006" t="s">
        <v>4087</v>
      </c>
      <c r="AP514" s="1263">
        <v>2</v>
      </c>
      <c r="AQ514" s="1064" t="s">
        <v>978</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customHeight="1">
      <c r="A515" s="1085" t="s">
        <v>1008</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988</v>
      </c>
      <c r="AK515" s="1094" t="s">
        <v>964</v>
      </c>
      <c r="AL515" s="1094" t="s">
        <v>965</v>
      </c>
      <c r="AM515" s="1095" t="s">
        <v>1027</v>
      </c>
      <c r="AN515" s="1006" t="s">
        <v>1039</v>
      </c>
      <c r="AO515" s="1006" t="s">
        <v>2068</v>
      </c>
      <c r="AP515" s="1263">
        <v>2</v>
      </c>
      <c r="AQ515" s="1064" t="s">
        <v>966</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961</v>
      </c>
      <c r="CE515" s="1107" t="s">
        <v>961</v>
      </c>
      <c r="CF515" s="1107" t="s">
        <v>961</v>
      </c>
      <c r="CG515" s="1107" t="s">
        <v>961</v>
      </c>
      <c r="CH515" s="1108" t="s">
        <v>961</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1008</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988</v>
      </c>
      <c r="AK516" s="1094" t="s">
        <v>964</v>
      </c>
      <c r="AL516" s="1094" t="s">
        <v>965</v>
      </c>
      <c r="AM516" s="1095" t="s">
        <v>1031</v>
      </c>
      <c r="AN516" s="1006" t="s">
        <v>1039</v>
      </c>
      <c r="AO516" s="1006" t="s">
        <v>431</v>
      </c>
      <c r="AP516" s="1263">
        <v>2</v>
      </c>
      <c r="AQ516" s="1064" t="s">
        <v>966</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961</v>
      </c>
      <c r="CE516" s="1107" t="s">
        <v>961</v>
      </c>
      <c r="CF516" s="1107" t="s">
        <v>961</v>
      </c>
      <c r="CG516" s="1107" t="s">
        <v>961</v>
      </c>
      <c r="CH516" s="1108" t="s">
        <v>961</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1008</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658</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963</v>
      </c>
      <c r="AK517" s="1094" t="s">
        <v>1971</v>
      </c>
      <c r="AL517" s="1094" t="s">
        <v>1971</v>
      </c>
      <c r="AM517" s="1095" t="s">
        <v>2146</v>
      </c>
      <c r="AN517" s="1006" t="s">
        <v>293</v>
      </c>
      <c r="AO517" s="1006" t="s">
        <v>4791</v>
      </c>
      <c r="AP517" s="1296">
        <v>1</v>
      </c>
      <c r="AQ517" s="1064" t="s">
        <v>966</v>
      </c>
      <c r="AR517" s="1097" t="s">
        <v>658</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973</v>
      </c>
      <c r="DV517" s="1112">
        <v>1</v>
      </c>
      <c r="DW517" s="1113" t="s">
        <v>1971</v>
      </c>
    </row>
    <row r="518" spans="1:127" s="390" customFormat="1" ht="15.75" customHeight="1">
      <c r="A518" s="1085" t="s">
        <v>1008</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963</v>
      </c>
      <c r="AK518" s="1094" t="s">
        <v>1971</v>
      </c>
      <c r="AL518" s="1094" t="s">
        <v>1971</v>
      </c>
      <c r="AM518" s="1095" t="s">
        <v>4102</v>
      </c>
      <c r="AN518" s="1006" t="s">
        <v>293</v>
      </c>
      <c r="AO518" s="1006" t="s">
        <v>4103</v>
      </c>
      <c r="AP518" s="1263">
        <v>2</v>
      </c>
      <c r="AQ518" s="1064" t="s">
        <v>978</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customHeight="1">
      <c r="A519" s="1085" t="s">
        <v>1008</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963</v>
      </c>
      <c r="AK519" s="1094" t="s">
        <v>1971</v>
      </c>
      <c r="AL519" s="1094" t="s">
        <v>1971</v>
      </c>
      <c r="AM519" s="1095" t="s">
        <v>2146</v>
      </c>
      <c r="AN519" s="1006" t="s">
        <v>1052</v>
      </c>
      <c r="AO519" s="1006" t="s">
        <v>2040</v>
      </c>
      <c r="AP519" s="1263">
        <v>0</v>
      </c>
      <c r="AQ519" s="1064" t="s">
        <v>966</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customHeight="1">
      <c r="A520" s="1085" t="s">
        <v>1008</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988</v>
      </c>
      <c r="AK520" s="1094" t="s">
        <v>964</v>
      </c>
      <c r="AL520" s="1094" t="s">
        <v>965</v>
      </c>
      <c r="AM520" s="1095" t="s">
        <v>2146</v>
      </c>
      <c r="AN520" s="1006" t="s">
        <v>991</v>
      </c>
      <c r="AO520" s="1006" t="s">
        <v>4113</v>
      </c>
      <c r="AP520" s="1263">
        <v>0</v>
      </c>
      <c r="AQ520" s="1064" t="s">
        <v>966</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customHeight="1">
      <c r="A521" s="1085" t="s">
        <v>1008</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988</v>
      </c>
      <c r="AK521" s="1094" t="s">
        <v>964</v>
      </c>
      <c r="AL521" s="1094" t="s">
        <v>965</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customHeight="1">
      <c r="A522" s="1085" t="s">
        <v>1008</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975</v>
      </c>
      <c r="AK522" s="1094" t="s">
        <v>964</v>
      </c>
      <c r="AL522" s="1094" t="s">
        <v>965</v>
      </c>
      <c r="AM522" s="1095" t="s">
        <v>2781</v>
      </c>
      <c r="AN522" s="1006" t="s">
        <v>991</v>
      </c>
      <c r="AO522" s="1006" t="s">
        <v>4121</v>
      </c>
      <c r="AP522" s="1263">
        <v>0</v>
      </c>
      <c r="AQ522" s="1064" t="s">
        <v>966</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customHeight="1">
      <c r="A523" s="1085" t="s">
        <v>1008</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975</v>
      </c>
      <c r="AK523" s="1094" t="s">
        <v>964</v>
      </c>
      <c r="AL523" s="1094" t="s">
        <v>965</v>
      </c>
      <c r="AM523" s="1095" t="s">
        <v>2146</v>
      </c>
      <c r="AN523" s="1006" t="s">
        <v>991</v>
      </c>
      <c r="AO523" s="1006" t="s">
        <v>4126</v>
      </c>
      <c r="AP523" s="1263">
        <v>0</v>
      </c>
      <c r="AQ523" s="1064" t="s">
        <v>966</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customHeight="1">
      <c r="A524" s="1085" t="s">
        <v>1008</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975</v>
      </c>
      <c r="AK524" s="1094" t="s">
        <v>964</v>
      </c>
      <c r="AL524" s="1094" t="s">
        <v>965</v>
      </c>
      <c r="AM524" s="1095" t="s">
        <v>2146</v>
      </c>
      <c r="AN524" s="1006" t="s">
        <v>991</v>
      </c>
      <c r="AO524" s="1006" t="s">
        <v>4131</v>
      </c>
      <c r="AP524" s="1263">
        <v>0</v>
      </c>
      <c r="AQ524" s="1064" t="s">
        <v>966</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customHeight="1">
      <c r="A525" s="1085" t="s">
        <v>1008</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963</v>
      </c>
      <c r="AK525" s="1094" t="s">
        <v>1971</v>
      </c>
      <c r="AL525" s="1094" t="s">
        <v>1971</v>
      </c>
      <c r="AM525" s="1095" t="s">
        <v>1933</v>
      </c>
      <c r="AN525" s="1006" t="s">
        <v>991</v>
      </c>
      <c r="AO525" s="1006" t="s">
        <v>4136</v>
      </c>
      <c r="AP525" s="1263">
        <v>0</v>
      </c>
      <c r="AQ525" s="1064" t="s">
        <v>966</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customHeight="1">
      <c r="A526" s="1085" t="s">
        <v>1008</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963</v>
      </c>
      <c r="AK526" s="1094" t="s">
        <v>1971</v>
      </c>
      <c r="AL526" s="1094" t="s">
        <v>1971</v>
      </c>
      <c r="AM526" s="1095" t="s">
        <v>1939</v>
      </c>
      <c r="AN526" s="1006" t="s">
        <v>991</v>
      </c>
      <c r="AO526" s="1006" t="s">
        <v>4139</v>
      </c>
      <c r="AP526" s="1263">
        <v>0</v>
      </c>
      <c r="AQ526" s="1064" t="s">
        <v>966</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customHeight="1">
      <c r="A527" s="1085" t="s">
        <v>1008</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customHeight="1">
      <c r="A528" s="1085" t="s">
        <v>1008</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963</v>
      </c>
      <c r="AK528" s="1094" t="s">
        <v>1971</v>
      </c>
      <c r="AL528" s="1094" t="s">
        <v>1971</v>
      </c>
      <c r="AM528" s="1095" t="s">
        <v>2698</v>
      </c>
      <c r="AN528" s="1006" t="s">
        <v>293</v>
      </c>
      <c r="AO528" s="1006" t="s">
        <v>4144</v>
      </c>
      <c r="AP528" s="1263">
        <v>0</v>
      </c>
      <c r="AQ528" s="1064" t="s">
        <v>966</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customHeight="1">
      <c r="A529" s="1085" t="s">
        <v>1008</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693</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984</v>
      </c>
      <c r="AK529" s="1094" t="s">
        <v>964</v>
      </c>
      <c r="AL529" s="1094" t="s">
        <v>965</v>
      </c>
      <c r="AM529" s="1095" t="s">
        <v>2110</v>
      </c>
      <c r="AN529" s="1006" t="s">
        <v>2204</v>
      </c>
      <c r="AO529" s="1006" t="s">
        <v>4799</v>
      </c>
      <c r="AP529" s="1296">
        <v>2</v>
      </c>
      <c r="AQ529" s="1064" t="s">
        <v>978</v>
      </c>
      <c r="AR529" s="1097" t="s">
        <v>693</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961</v>
      </c>
      <c r="CE529" s="1107" t="s">
        <v>961</v>
      </c>
      <c r="CF529" s="1107" t="s">
        <v>961</v>
      </c>
      <c r="CG529" s="1107" t="s">
        <v>961</v>
      </c>
      <c r="CH529" s="1108" t="s">
        <v>961</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973</v>
      </c>
      <c r="DV529" s="1112">
        <v>1</v>
      </c>
      <c r="DW529" s="1113" t="s">
        <v>1971</v>
      </c>
    </row>
    <row r="530" spans="1:127" s="390" customFormat="1" ht="15.75" customHeight="1">
      <c r="A530" s="1085" t="s">
        <v>1008</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988</v>
      </c>
      <c r="AK530" s="1094" t="s">
        <v>964</v>
      </c>
      <c r="AL530" s="1094" t="s">
        <v>965</v>
      </c>
      <c r="AM530" s="1095" t="s">
        <v>2110</v>
      </c>
      <c r="AN530" s="1006" t="s">
        <v>2204</v>
      </c>
      <c r="AO530" s="1006" t="s">
        <v>4814</v>
      </c>
      <c r="AP530" s="1263">
        <v>0</v>
      </c>
      <c r="AQ530" s="1064" t="s">
        <v>978</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customHeight="1">
      <c r="A531" s="1085" t="s">
        <v>1008</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778</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963</v>
      </c>
      <c r="AK531" s="1094" t="s">
        <v>1971</v>
      </c>
      <c r="AL531" s="1094" t="s">
        <v>1971</v>
      </c>
      <c r="AM531" s="1095" t="s">
        <v>2087</v>
      </c>
      <c r="AN531" s="1006" t="s">
        <v>293</v>
      </c>
      <c r="AO531" s="1006" t="s">
        <v>4784</v>
      </c>
      <c r="AP531" s="1296">
        <v>2</v>
      </c>
      <c r="AQ531" s="1064" t="s">
        <v>978</v>
      </c>
      <c r="AR531" s="1097" t="s">
        <v>778</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1008</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687</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988</v>
      </c>
      <c r="AK532" s="1055" t="s">
        <v>964</v>
      </c>
      <c r="AL532" s="1055" t="s">
        <v>965</v>
      </c>
      <c r="AM532" s="1056" t="s">
        <v>2087</v>
      </c>
      <c r="AN532" s="1050" t="s">
        <v>2204</v>
      </c>
      <c r="AO532" s="1050" t="s">
        <v>4477</v>
      </c>
      <c r="AP532" s="1295">
        <v>2</v>
      </c>
      <c r="AQ532" s="1068" t="s">
        <v>978</v>
      </c>
      <c r="AR532" s="1059" t="s">
        <v>687</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961</v>
      </c>
      <c r="CE532" s="1073" t="s">
        <v>961</v>
      </c>
      <c r="CF532" s="1073" t="s">
        <v>961</v>
      </c>
      <c r="CG532" s="1073" t="s">
        <v>961</v>
      </c>
      <c r="CH532" s="1074" t="s">
        <v>961</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1008</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988</v>
      </c>
      <c r="AK533" s="1094" t="s">
        <v>964</v>
      </c>
      <c r="AL533" s="1094" t="s">
        <v>965</v>
      </c>
      <c r="AM533" s="1095" t="s">
        <v>2087</v>
      </c>
      <c r="AN533" s="1006" t="s">
        <v>2204</v>
      </c>
      <c r="AO533" s="1006" t="s">
        <v>4477</v>
      </c>
      <c r="AP533" s="1263">
        <v>0</v>
      </c>
      <c r="AQ533" s="1064" t="s">
        <v>978</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customHeight="1">
      <c r="A534" s="1085" t="s">
        <v>1008</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988</v>
      </c>
      <c r="AK534" s="1094" t="s">
        <v>964</v>
      </c>
      <c r="AL534" s="1094" t="s">
        <v>965</v>
      </c>
      <c r="AM534" s="1095" t="s">
        <v>2423</v>
      </c>
      <c r="AN534" s="1006" t="s">
        <v>293</v>
      </c>
      <c r="AO534" s="1006" t="s">
        <v>4169</v>
      </c>
      <c r="AP534" s="1263">
        <v>1</v>
      </c>
      <c r="AQ534" s="1064" t="s">
        <v>966</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customHeight="1">
      <c r="A535" s="1085" t="s">
        <v>1008</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988</v>
      </c>
      <c r="AK535" s="1094" t="s">
        <v>964</v>
      </c>
      <c r="AL535" s="1094" t="s">
        <v>965</v>
      </c>
      <c r="AM535" s="1095" t="s">
        <v>2087</v>
      </c>
      <c r="AN535" s="1006" t="s">
        <v>991</v>
      </c>
      <c r="AO535" s="1006" t="s">
        <v>4174</v>
      </c>
      <c r="AP535" s="1263">
        <v>2</v>
      </c>
      <c r="AQ535" s="1064" t="s">
        <v>978</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customHeight="1">
      <c r="A536" s="1085" t="s">
        <v>1008</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988</v>
      </c>
      <c r="AK536" s="1094" t="s">
        <v>964</v>
      </c>
      <c r="AL536" s="1094" t="s">
        <v>965</v>
      </c>
      <c r="AM536" s="1095" t="s">
        <v>2087</v>
      </c>
      <c r="AN536" s="1006" t="s">
        <v>991</v>
      </c>
      <c r="AO536" s="1006" t="s">
        <v>4174</v>
      </c>
      <c r="AP536" s="1263">
        <v>2</v>
      </c>
      <c r="AQ536" s="1064" t="s">
        <v>978</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customHeight="1">
      <c r="A537" s="1085" t="s">
        <v>982</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984</v>
      </c>
      <c r="AK537" s="1094" t="s">
        <v>964</v>
      </c>
      <c r="AL537" s="1094" t="s">
        <v>965</v>
      </c>
      <c r="AM537" s="1095" t="s">
        <v>1955</v>
      </c>
      <c r="AN537" s="1006" t="s">
        <v>2204</v>
      </c>
      <c r="AO537" s="1006" t="s">
        <v>4787</v>
      </c>
      <c r="AP537" s="1296">
        <v>2</v>
      </c>
      <c r="AQ537" s="1064" t="s">
        <v>978</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961</v>
      </c>
      <c r="CE537" s="1107" t="s">
        <v>961</v>
      </c>
      <c r="CF537" s="1107" t="s">
        <v>961</v>
      </c>
      <c r="CG537" s="1107" t="s">
        <v>961</v>
      </c>
      <c r="CH537" s="1108" t="s">
        <v>961</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982</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154</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988</v>
      </c>
      <c r="AK538" s="1055" t="s">
        <v>964</v>
      </c>
      <c r="AL538" s="1055" t="s">
        <v>965</v>
      </c>
      <c r="AM538" s="1056" t="s">
        <v>1923</v>
      </c>
      <c r="AN538" s="1050" t="s">
        <v>4781</v>
      </c>
      <c r="AO538" s="1050" t="s">
        <v>4782</v>
      </c>
      <c r="AP538" s="1295">
        <v>0</v>
      </c>
      <c r="AQ538" s="1068" t="s">
        <v>978</v>
      </c>
      <c r="AR538" s="1059" t="s">
        <v>154</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961</v>
      </c>
      <c r="CE538" s="1073" t="s">
        <v>961</v>
      </c>
      <c r="CF538" s="1073" t="s">
        <v>961</v>
      </c>
      <c r="CG538" s="1073" t="s">
        <v>961</v>
      </c>
      <c r="CH538" s="1074" t="s">
        <v>961</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982</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988</v>
      </c>
      <c r="AK539" s="1094" t="s">
        <v>964</v>
      </c>
      <c r="AL539" s="1094" t="s">
        <v>965</v>
      </c>
      <c r="AM539" s="1095" t="s">
        <v>2178</v>
      </c>
      <c r="AN539" s="1006" t="s">
        <v>410</v>
      </c>
      <c r="AO539" s="1006" t="s">
        <v>4790</v>
      </c>
      <c r="AP539" s="1296">
        <v>2</v>
      </c>
      <c r="AQ539" s="1064" t="s">
        <v>978</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customHeight="1">
      <c r="A540" s="1085" t="s">
        <v>982</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178</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984</v>
      </c>
      <c r="AK540" s="1094" t="s">
        <v>964</v>
      </c>
      <c r="AL540" s="1094" t="s">
        <v>965</v>
      </c>
      <c r="AM540" s="1095" t="s">
        <v>2103</v>
      </c>
      <c r="AN540" s="1006" t="s">
        <v>2204</v>
      </c>
      <c r="AO540" s="1006" t="s">
        <v>4786</v>
      </c>
      <c r="AP540" s="1296">
        <v>1</v>
      </c>
      <c r="AQ540" s="1064" t="s">
        <v>978</v>
      </c>
      <c r="AR540" s="1097" t="s">
        <v>178</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961</v>
      </c>
      <c r="CE540" s="1107" t="s">
        <v>961</v>
      </c>
      <c r="CF540" s="1107" t="s">
        <v>961</v>
      </c>
      <c r="CG540" s="1107" t="s">
        <v>961</v>
      </c>
      <c r="CH540" s="1108" t="s">
        <v>961</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982</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184</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984</v>
      </c>
      <c r="AK541" s="1094" t="s">
        <v>964</v>
      </c>
      <c r="AL541" s="1094" t="s">
        <v>965</v>
      </c>
      <c r="AM541" s="1095" t="s">
        <v>1944</v>
      </c>
      <c r="AN541" s="1006" t="s">
        <v>293</v>
      </c>
      <c r="AO541" s="1006" t="s">
        <v>4785</v>
      </c>
      <c r="AP541" s="1296">
        <v>2</v>
      </c>
      <c r="AQ541" s="1064" t="s">
        <v>978</v>
      </c>
      <c r="AR541" s="1097" t="s">
        <v>184</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961</v>
      </c>
      <c r="CE541" s="1107" t="s">
        <v>961</v>
      </c>
      <c r="CF541" s="1107" t="s">
        <v>961</v>
      </c>
      <c r="CG541" s="1107" t="s">
        <v>961</v>
      </c>
      <c r="CH541" s="1108" t="s">
        <v>961</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982</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963</v>
      </c>
      <c r="AK542" s="1094" t="s">
        <v>1971</v>
      </c>
      <c r="AL542" s="1094" t="s">
        <v>1971</v>
      </c>
      <c r="AM542" s="1095" t="s">
        <v>1955</v>
      </c>
      <c r="AN542" s="1006" t="s">
        <v>991</v>
      </c>
      <c r="AO542" s="1006" t="s">
        <v>1971</v>
      </c>
      <c r="AP542" s="1263">
        <v>3</v>
      </c>
      <c r="AQ542" s="1064" t="s">
        <v>978</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customHeight="1">
      <c r="A543" s="1085" t="s">
        <v>982</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963</v>
      </c>
      <c r="AK543" s="1094" t="s">
        <v>1971</v>
      </c>
      <c r="AL543" s="1094" t="s">
        <v>1971</v>
      </c>
      <c r="AM543" s="1095" t="s">
        <v>1996</v>
      </c>
      <c r="AN543" s="1006" t="s">
        <v>991</v>
      </c>
      <c r="AO543" s="1006" t="s">
        <v>1971</v>
      </c>
      <c r="AP543" s="1263">
        <v>0</v>
      </c>
      <c r="AQ543" s="1064" t="s">
        <v>978</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customHeight="1">
      <c r="A544" s="1085" t="s">
        <v>982</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988</v>
      </c>
      <c r="AK544" s="1094" t="s">
        <v>964</v>
      </c>
      <c r="AL544" s="1094" t="s">
        <v>965</v>
      </c>
      <c r="AM544" s="1095" t="s">
        <v>1955</v>
      </c>
      <c r="AN544" s="1006" t="s">
        <v>991</v>
      </c>
      <c r="AO544" s="1006" t="s">
        <v>1971</v>
      </c>
      <c r="AP544" s="1263">
        <v>0</v>
      </c>
      <c r="AQ544" s="1064" t="s">
        <v>966</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customHeight="1">
      <c r="A545" s="1085" t="s">
        <v>982</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1016</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984</v>
      </c>
      <c r="AK545" s="1094" t="s">
        <v>964</v>
      </c>
      <c r="AL545" s="1094" t="s">
        <v>965</v>
      </c>
      <c r="AM545" s="1095" t="s">
        <v>3638</v>
      </c>
      <c r="AN545" s="1006" t="s">
        <v>293</v>
      </c>
      <c r="AO545" s="1006" t="s">
        <v>2472</v>
      </c>
      <c r="AP545" s="1296">
        <v>2</v>
      </c>
      <c r="AQ545" s="1064" t="s">
        <v>966</v>
      </c>
      <c r="AR545" s="1097" t="s">
        <v>1016</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961</v>
      </c>
      <c r="CE545" s="1107" t="s">
        <v>961</v>
      </c>
      <c r="CF545" s="1107" t="s">
        <v>961</v>
      </c>
      <c r="CG545" s="1107" t="s">
        <v>961</v>
      </c>
      <c r="CH545" s="1108" t="s">
        <v>961</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982</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963</v>
      </c>
      <c r="AK546" s="1094" t="s">
        <v>1971</v>
      </c>
      <c r="AL546" s="1094" t="s">
        <v>1971</v>
      </c>
      <c r="AM546" s="1095" t="s">
        <v>1971</v>
      </c>
      <c r="AN546" s="1006" t="s">
        <v>1971</v>
      </c>
      <c r="AO546" s="1006" t="s">
        <v>1971</v>
      </c>
      <c r="AP546" s="1263">
        <v>2</v>
      </c>
      <c r="AQ546" s="1064" t="s">
        <v>966</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customHeight="1">
      <c r="A547" s="1085" t="s">
        <v>982</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689</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988</v>
      </c>
      <c r="AK547" s="1094" t="s">
        <v>964</v>
      </c>
      <c r="AL547" s="1094" t="s">
        <v>965</v>
      </c>
      <c r="AM547" s="1095" t="s">
        <v>689</v>
      </c>
      <c r="AN547" s="1006" t="s">
        <v>2204</v>
      </c>
      <c r="AO547" s="1006" t="s">
        <v>4798</v>
      </c>
      <c r="AP547" s="1296">
        <v>2</v>
      </c>
      <c r="AQ547" s="1064" t="s">
        <v>978</v>
      </c>
      <c r="AR547" s="1097" t="s">
        <v>689</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961</v>
      </c>
      <c r="CE547" s="1107" t="s">
        <v>961</v>
      </c>
      <c r="CF547" s="1107" t="s">
        <v>961</v>
      </c>
      <c r="CG547" s="1107" t="s">
        <v>961</v>
      </c>
      <c r="CH547" s="1108" t="s">
        <v>961</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973</v>
      </c>
      <c r="DV547" s="1112">
        <v>1</v>
      </c>
      <c r="DW547" s="1113" t="s">
        <v>1971</v>
      </c>
    </row>
    <row r="548" spans="1:127" s="390" customFormat="1" ht="15.75" customHeight="1">
      <c r="A548" s="1042" t="s">
        <v>982</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629</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988</v>
      </c>
      <c r="AK548" s="1055" t="s">
        <v>964</v>
      </c>
      <c r="AL548" s="1055" t="s">
        <v>965</v>
      </c>
      <c r="AM548" s="1056" t="s">
        <v>629</v>
      </c>
      <c r="AN548" s="1050" t="s">
        <v>293</v>
      </c>
      <c r="AO548" s="1050" t="s">
        <v>4783</v>
      </c>
      <c r="AP548" s="1295">
        <v>1</v>
      </c>
      <c r="AQ548" s="821" t="s">
        <v>966</v>
      </c>
      <c r="AR548" s="1059" t="s">
        <v>629</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961</v>
      </c>
      <c r="CE548" s="1073" t="s">
        <v>961</v>
      </c>
      <c r="CF548" s="1073" t="s">
        <v>961</v>
      </c>
      <c r="CG548" s="1073" t="s">
        <v>961</v>
      </c>
      <c r="CH548" s="1074" t="s">
        <v>961</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982</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984</v>
      </c>
      <c r="AK549" s="1055" t="s">
        <v>964</v>
      </c>
      <c r="AL549" s="1414" t="s">
        <v>977</v>
      </c>
      <c r="AM549" s="1056" t="s">
        <v>2083</v>
      </c>
      <c r="AN549" s="1050" t="s">
        <v>2147</v>
      </c>
      <c r="AO549" s="1050" t="s">
        <v>4783</v>
      </c>
      <c r="AP549" s="1295">
        <v>1</v>
      </c>
      <c r="AQ549" s="821" t="s">
        <v>966</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961</v>
      </c>
      <c r="CE549" s="1073" t="s">
        <v>961</v>
      </c>
      <c r="CF549" s="1073" t="s">
        <v>961</v>
      </c>
      <c r="CG549" s="1073" t="s">
        <v>961</v>
      </c>
      <c r="CH549" s="1074" t="s">
        <v>961</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982</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988</v>
      </c>
      <c r="AK550" s="1094" t="s">
        <v>964</v>
      </c>
      <c r="AL550" s="1094" t="s">
        <v>977</v>
      </c>
      <c r="AM550" s="1095" t="s">
        <v>2135</v>
      </c>
      <c r="AN550" s="1006" t="s">
        <v>994</v>
      </c>
      <c r="AO550" s="1006" t="s">
        <v>4229</v>
      </c>
      <c r="AP550" s="1263">
        <v>0</v>
      </c>
      <c r="AQ550" s="1064" t="s">
        <v>966</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customHeight="1">
      <c r="A551" s="1085" t="s">
        <v>982</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988</v>
      </c>
      <c r="AK551" s="1094" t="s">
        <v>964</v>
      </c>
      <c r="AL551" s="1094" t="s">
        <v>965</v>
      </c>
      <c r="AM551" s="1095" t="s">
        <v>711</v>
      </c>
      <c r="AN551" s="1006" t="s">
        <v>293</v>
      </c>
      <c r="AO551" s="1006" t="s">
        <v>1971</v>
      </c>
      <c r="AP551" s="1263">
        <v>1</v>
      </c>
      <c r="AQ551" s="1064" t="s">
        <v>966</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customHeight="1">
      <c r="A552" s="1085" t="s">
        <v>982</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984</v>
      </c>
      <c r="AK552" s="1094" t="s">
        <v>964</v>
      </c>
      <c r="AL552" s="1094" t="s">
        <v>965</v>
      </c>
      <c r="AM552" s="1095" t="s">
        <v>711</v>
      </c>
      <c r="AN552" s="1006" t="s">
        <v>293</v>
      </c>
      <c r="AO552" s="1006" t="s">
        <v>1971</v>
      </c>
      <c r="AP552" s="1263">
        <v>2</v>
      </c>
      <c r="AQ552" s="1064" t="s">
        <v>966</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customHeight="1">
      <c r="A553" s="1085" t="s">
        <v>982</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988</v>
      </c>
      <c r="AK553" s="1094" t="s">
        <v>964</v>
      </c>
      <c r="AL553" s="1094" t="s">
        <v>965</v>
      </c>
      <c r="AM553" s="1095" t="s">
        <v>1027</v>
      </c>
      <c r="AN553" s="1006" t="s">
        <v>1039</v>
      </c>
      <c r="AO553" s="1006" t="s">
        <v>2068</v>
      </c>
      <c r="AP553" s="1263">
        <v>2</v>
      </c>
      <c r="AQ553" s="1064" t="s">
        <v>966</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961</v>
      </c>
      <c r="CE553" s="1107" t="s">
        <v>961</v>
      </c>
      <c r="CF553" s="1107" t="s">
        <v>961</v>
      </c>
      <c r="CG553" s="1107" t="s">
        <v>961</v>
      </c>
      <c r="CH553" s="1108" t="s">
        <v>961</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982</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988</v>
      </c>
      <c r="AK554" s="1094" t="s">
        <v>964</v>
      </c>
      <c r="AL554" s="1094" t="s">
        <v>965</v>
      </c>
      <c r="AM554" s="1095" t="s">
        <v>1031</v>
      </c>
      <c r="AN554" s="1006" t="s">
        <v>1039</v>
      </c>
      <c r="AO554" s="1006" t="s">
        <v>431</v>
      </c>
      <c r="AP554" s="1263">
        <v>2</v>
      </c>
      <c r="AQ554" s="1064" t="s">
        <v>966</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961</v>
      </c>
      <c r="CE554" s="1107" t="s">
        <v>961</v>
      </c>
      <c r="CF554" s="1107" t="s">
        <v>961</v>
      </c>
      <c r="CG554" s="1107" t="s">
        <v>961</v>
      </c>
      <c r="CH554" s="1108" t="s">
        <v>961</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982</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963</v>
      </c>
      <c r="AK555" s="1094" t="s">
        <v>1971</v>
      </c>
      <c r="AL555" s="1094" t="s">
        <v>1971</v>
      </c>
      <c r="AM555" s="1095" t="s">
        <v>1976</v>
      </c>
      <c r="AN555" s="1006" t="s">
        <v>1039</v>
      </c>
      <c r="AO555" s="1006" t="s">
        <v>2059</v>
      </c>
      <c r="AP555" s="1263">
        <v>2</v>
      </c>
      <c r="AQ555" s="1064" t="s">
        <v>966</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customHeight="1">
      <c r="A556" s="1085" t="s">
        <v>982</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988</v>
      </c>
      <c r="AK556" s="1094" t="s">
        <v>964</v>
      </c>
      <c r="AL556" s="1094" t="s">
        <v>965</v>
      </c>
      <c r="AM556" s="1095" t="s">
        <v>1976</v>
      </c>
      <c r="AN556" s="1006" t="s">
        <v>1039</v>
      </c>
      <c r="AO556" s="1006" t="s">
        <v>4252</v>
      </c>
      <c r="AP556" s="1263">
        <v>1</v>
      </c>
      <c r="AQ556" s="1064" t="s">
        <v>966</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customHeight="1">
      <c r="A557" s="1085" t="s">
        <v>982</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658</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963</v>
      </c>
      <c r="AK557" s="1094" t="s">
        <v>1971</v>
      </c>
      <c r="AL557" s="1094" t="s">
        <v>1971</v>
      </c>
      <c r="AM557" s="1095" t="s">
        <v>1971</v>
      </c>
      <c r="AN557" s="1006" t="s">
        <v>293</v>
      </c>
      <c r="AO557" s="1006" t="s">
        <v>4791</v>
      </c>
      <c r="AP557" s="1296">
        <v>1</v>
      </c>
      <c r="AQ557" s="1064" t="s">
        <v>1971</v>
      </c>
      <c r="AR557" s="1097" t="s">
        <v>658</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982</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963</v>
      </c>
      <c r="AK558" s="1094" t="s">
        <v>1971</v>
      </c>
      <c r="AL558" s="1094" t="s">
        <v>1971</v>
      </c>
      <c r="AM558" s="1095" t="s">
        <v>2332</v>
      </c>
      <c r="AN558" s="1006" t="s">
        <v>991</v>
      </c>
      <c r="AO558" s="1006" t="s">
        <v>1971</v>
      </c>
      <c r="AP558" s="1263">
        <v>0</v>
      </c>
      <c r="AQ558" s="1064" t="s">
        <v>966</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customHeight="1">
      <c r="A559" s="1085" t="s">
        <v>982</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687</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988</v>
      </c>
      <c r="AK559" s="1094" t="s">
        <v>964</v>
      </c>
      <c r="AL559" s="1094" t="s">
        <v>965</v>
      </c>
      <c r="AM559" s="1095" t="s">
        <v>2087</v>
      </c>
      <c r="AN559" s="1006" t="s">
        <v>2204</v>
      </c>
      <c r="AO559" s="1006" t="s">
        <v>4477</v>
      </c>
      <c r="AP559" s="1296">
        <v>2</v>
      </c>
      <c r="AQ559" s="1064" t="s">
        <v>978</v>
      </c>
      <c r="AR559" s="1097" t="s">
        <v>687</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961</v>
      </c>
      <c r="CE559" s="1107" t="s">
        <v>961</v>
      </c>
      <c r="CF559" s="1107" t="s">
        <v>961</v>
      </c>
      <c r="CG559" s="1107" t="s">
        <v>961</v>
      </c>
      <c r="CH559" s="1108" t="s">
        <v>961</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982</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988</v>
      </c>
      <c r="AK560" s="1094" t="s">
        <v>964</v>
      </c>
      <c r="AL560" s="1094" t="s">
        <v>965</v>
      </c>
      <c r="AM560" s="1095" t="s">
        <v>2087</v>
      </c>
      <c r="AN560" s="1006" t="s">
        <v>2204</v>
      </c>
      <c r="AO560" s="1006" t="s">
        <v>4477</v>
      </c>
      <c r="AP560" s="1296">
        <v>2</v>
      </c>
      <c r="AQ560" s="1064" t="s">
        <v>978</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customHeight="1">
      <c r="A561" s="1085" t="s">
        <v>982</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693</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984</v>
      </c>
      <c r="AK561" s="1094" t="s">
        <v>964</v>
      </c>
      <c r="AL561" s="1094" t="s">
        <v>965</v>
      </c>
      <c r="AM561" s="1095" t="s">
        <v>1949</v>
      </c>
      <c r="AN561" s="1006" t="s">
        <v>2204</v>
      </c>
      <c r="AO561" s="1006" t="s">
        <v>4799</v>
      </c>
      <c r="AP561" s="1296">
        <v>2</v>
      </c>
      <c r="AQ561" s="1064" t="s">
        <v>978</v>
      </c>
      <c r="AR561" s="1097" t="s">
        <v>693</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961</v>
      </c>
      <c r="CE561" s="1107" t="s">
        <v>961</v>
      </c>
      <c r="CF561" s="1107" t="s">
        <v>961</v>
      </c>
      <c r="CG561" s="1107" t="s">
        <v>961</v>
      </c>
      <c r="CH561" s="1108" t="s">
        <v>961</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982</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988</v>
      </c>
      <c r="AK562" s="1094" t="s">
        <v>964</v>
      </c>
      <c r="AL562" s="1094" t="s">
        <v>965</v>
      </c>
      <c r="AM562" s="1095" t="s">
        <v>3677</v>
      </c>
      <c r="AN562" s="1006" t="s">
        <v>991</v>
      </c>
      <c r="AO562" s="1006" t="s">
        <v>4275</v>
      </c>
      <c r="AP562" s="1263">
        <v>1</v>
      </c>
      <c r="AQ562" s="1064" t="s">
        <v>978</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customHeight="1">
      <c r="A563" s="1085" t="s">
        <v>982</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963</v>
      </c>
      <c r="AK563" s="1094" t="s">
        <v>1971</v>
      </c>
      <c r="AL563" s="1094" t="s">
        <v>1971</v>
      </c>
      <c r="AM563" s="1095" t="s">
        <v>1923</v>
      </c>
      <c r="AN563" s="1006" t="s">
        <v>991</v>
      </c>
      <c r="AO563" s="1006" t="s">
        <v>2857</v>
      </c>
      <c r="AP563" s="1263">
        <v>0</v>
      </c>
      <c r="AQ563" s="1064" t="s">
        <v>978</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customHeight="1">
      <c r="A564" s="1085" t="s">
        <v>982</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963</v>
      </c>
      <c r="AK564" s="1094" t="s">
        <v>1971</v>
      </c>
      <c r="AL564" s="1094" t="s">
        <v>1971</v>
      </c>
      <c r="AM564" s="1095" t="s">
        <v>2087</v>
      </c>
      <c r="AN564" s="1006" t="s">
        <v>991</v>
      </c>
      <c r="AO564" s="1006" t="s">
        <v>1971</v>
      </c>
      <c r="AP564" s="1263">
        <v>0</v>
      </c>
      <c r="AQ564" s="1064" t="s">
        <v>978</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customHeight="1">
      <c r="A565" s="1085" t="s">
        <v>982</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963</v>
      </c>
      <c r="AK565" s="1094" t="s">
        <v>1971</v>
      </c>
      <c r="AL565" s="1094" t="s">
        <v>1971</v>
      </c>
      <c r="AM565" s="1095" t="s">
        <v>2146</v>
      </c>
      <c r="AN565" s="1006" t="s">
        <v>293</v>
      </c>
      <c r="AO565" s="1006" t="s">
        <v>1971</v>
      </c>
      <c r="AP565" s="1263">
        <v>1</v>
      </c>
      <c r="AQ565" s="1064" t="s">
        <v>978</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customHeight="1">
      <c r="A566" s="1085" t="s">
        <v>982</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963</v>
      </c>
      <c r="AK566" s="1094" t="s">
        <v>1971</v>
      </c>
      <c r="AL566" s="1094" t="s">
        <v>1971</v>
      </c>
      <c r="AM566" s="1095" t="s">
        <v>2146</v>
      </c>
      <c r="AN566" s="1006" t="s">
        <v>991</v>
      </c>
      <c r="AO566" s="1006" t="s">
        <v>1971</v>
      </c>
      <c r="AP566" s="1263">
        <v>0</v>
      </c>
      <c r="AQ566" s="1064" t="s">
        <v>966</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customHeight="1">
      <c r="A567" s="1085" t="s">
        <v>982</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963</v>
      </c>
      <c r="AK567" s="1094" t="s">
        <v>1971</v>
      </c>
      <c r="AL567" s="1094" t="s">
        <v>1971</v>
      </c>
      <c r="AM567" s="1095" t="s">
        <v>2146</v>
      </c>
      <c r="AN567" s="1006" t="s">
        <v>293</v>
      </c>
      <c r="AO567" s="1006" t="s">
        <v>1971</v>
      </c>
      <c r="AP567" s="1263">
        <v>1</v>
      </c>
      <c r="AQ567" s="1064" t="s">
        <v>978</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customHeight="1">
      <c r="A568" s="1085" t="s">
        <v>982</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988</v>
      </c>
      <c r="AK568" s="1094" t="s">
        <v>964</v>
      </c>
      <c r="AL568" s="1094" t="s">
        <v>965</v>
      </c>
      <c r="AM568" s="1095" t="s">
        <v>2146</v>
      </c>
      <c r="AN568" s="1006" t="s">
        <v>293</v>
      </c>
      <c r="AO568" s="1006" t="s">
        <v>1971</v>
      </c>
      <c r="AP568" s="1263">
        <v>2</v>
      </c>
      <c r="AQ568" s="1064" t="s">
        <v>978</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customHeight="1">
      <c r="A569" s="1085" t="s">
        <v>982</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963</v>
      </c>
      <c r="AK569" s="1094" t="s">
        <v>1971</v>
      </c>
      <c r="AL569" s="1094" t="s">
        <v>1971</v>
      </c>
      <c r="AM569" s="1095" t="s">
        <v>1939</v>
      </c>
      <c r="AN569" s="1006" t="s">
        <v>1041</v>
      </c>
      <c r="AO569" s="1006" t="s">
        <v>1971</v>
      </c>
      <c r="AP569" s="1263">
        <v>0</v>
      </c>
      <c r="AQ569" s="1064" t="s">
        <v>966</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customHeight="1">
      <c r="A570" s="1085" t="s">
        <v>982</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499</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963</v>
      </c>
      <c r="AK570" s="1094" t="s">
        <v>1971</v>
      </c>
      <c r="AL570" s="1094" t="s">
        <v>1971</v>
      </c>
      <c r="AM570" s="1095" t="s">
        <v>1939</v>
      </c>
      <c r="AN570" s="1006" t="s">
        <v>293</v>
      </c>
      <c r="AO570" s="1006" t="s">
        <v>4784</v>
      </c>
      <c r="AP570" s="1296">
        <v>1</v>
      </c>
      <c r="AQ570" s="1064" t="s">
        <v>978</v>
      </c>
      <c r="AR570" s="1097" t="s">
        <v>499</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982</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778</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963</v>
      </c>
      <c r="AK571" s="1094" t="s">
        <v>1971</v>
      </c>
      <c r="AL571" s="1094" t="s">
        <v>1971</v>
      </c>
      <c r="AM571" s="1095" t="s">
        <v>1939</v>
      </c>
      <c r="AN571" s="1006" t="s">
        <v>293</v>
      </c>
      <c r="AO571" s="1006" t="s">
        <v>4784</v>
      </c>
      <c r="AP571" s="1296">
        <v>2</v>
      </c>
      <c r="AQ571" s="1064" t="s">
        <v>978</v>
      </c>
      <c r="AR571" s="1097" t="s">
        <v>778</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982</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963</v>
      </c>
      <c r="AK572" s="1094" t="s">
        <v>1971</v>
      </c>
      <c r="AL572" s="1094" t="s">
        <v>1971</v>
      </c>
      <c r="AM572" s="1095" t="s">
        <v>2161</v>
      </c>
      <c r="AN572" s="1006" t="s">
        <v>293</v>
      </c>
      <c r="AO572" s="1006" t="s">
        <v>1971</v>
      </c>
      <c r="AP572" s="1296">
        <v>0</v>
      </c>
      <c r="AQ572" s="1064" t="s">
        <v>966</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customHeight="1">
      <c r="A573" s="1085" t="s">
        <v>982</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988</v>
      </c>
      <c r="AK573" s="1094" t="s">
        <v>964</v>
      </c>
      <c r="AL573" s="1094" t="s">
        <v>965</v>
      </c>
      <c r="AM573" s="1095" t="s">
        <v>2135</v>
      </c>
      <c r="AN573" s="1006" t="s">
        <v>991</v>
      </c>
      <c r="AO573" s="1006" t="s">
        <v>4322</v>
      </c>
      <c r="AP573" s="1263">
        <v>0</v>
      </c>
      <c r="AQ573" s="1064" t="s">
        <v>966</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customHeight="1">
      <c r="A574" s="1085" t="s">
        <v>982</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963</v>
      </c>
      <c r="AK574" s="1094" t="s">
        <v>1971</v>
      </c>
      <c r="AL574" s="1094" t="s">
        <v>1971</v>
      </c>
      <c r="AM574" s="1095" t="s">
        <v>1939</v>
      </c>
      <c r="AN574" s="1006" t="s">
        <v>293</v>
      </c>
      <c r="AO574" s="1006" t="s">
        <v>1971</v>
      </c>
      <c r="AP574" s="1263">
        <v>1</v>
      </c>
      <c r="AQ574" s="1064" t="s">
        <v>966</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customHeight="1">
      <c r="A575" s="1085" t="s">
        <v>982</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963</v>
      </c>
      <c r="AK575" s="1094" t="s">
        <v>1971</v>
      </c>
      <c r="AL575" s="1094" t="s">
        <v>1971</v>
      </c>
      <c r="AM575" s="1095" t="s">
        <v>1939</v>
      </c>
      <c r="AN575" s="1006" t="s">
        <v>293</v>
      </c>
      <c r="AO575" s="1006" t="s">
        <v>1971</v>
      </c>
      <c r="AP575" s="1263">
        <v>1</v>
      </c>
      <c r="AQ575" s="1064" t="s">
        <v>966</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customHeight="1">
      <c r="A576" s="1085" t="s">
        <v>982</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963</v>
      </c>
      <c r="AK576" s="1094" t="s">
        <v>1971</v>
      </c>
      <c r="AL576" s="1094" t="s">
        <v>1971</v>
      </c>
      <c r="AM576" s="1095" t="s">
        <v>1939</v>
      </c>
      <c r="AN576" s="1006" t="s">
        <v>293</v>
      </c>
      <c r="AO576" s="1006" t="s">
        <v>1971</v>
      </c>
      <c r="AP576" s="1263">
        <v>1</v>
      </c>
      <c r="AQ576" s="1064" t="s">
        <v>966</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customHeight="1">
      <c r="A577" s="1085" t="s">
        <v>982</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963</v>
      </c>
      <c r="AK577" s="1094" t="s">
        <v>1971</v>
      </c>
      <c r="AL577" s="1094" t="s">
        <v>1971</v>
      </c>
      <c r="AM577" s="1095" t="s">
        <v>1939</v>
      </c>
      <c r="AN577" s="1006" t="s">
        <v>293</v>
      </c>
      <c r="AO577" s="1006" t="s">
        <v>1971</v>
      </c>
      <c r="AP577" s="1263">
        <v>1</v>
      </c>
      <c r="AQ577" s="1064" t="s">
        <v>966</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customHeight="1">
      <c r="A578" s="1085" t="s">
        <v>982</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963</v>
      </c>
      <c r="AK578" s="1094" t="s">
        <v>1971</v>
      </c>
      <c r="AL578" s="1094" t="s">
        <v>1971</v>
      </c>
      <c r="AM578" s="1095" t="s">
        <v>1939</v>
      </c>
      <c r="AN578" s="1006" t="s">
        <v>293</v>
      </c>
      <c r="AO578" s="1006" t="s">
        <v>1971</v>
      </c>
      <c r="AP578" s="1263">
        <v>1</v>
      </c>
      <c r="AQ578" s="1064" t="s">
        <v>966</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customHeight="1">
      <c r="A579" s="1085" t="s">
        <v>982</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984</v>
      </c>
      <c r="AK579" s="1094" t="s">
        <v>1971</v>
      </c>
      <c r="AL579" s="1094" t="s">
        <v>1971</v>
      </c>
      <c r="AM579" s="1095" t="s">
        <v>2423</v>
      </c>
      <c r="AN579" s="1006" t="s">
        <v>991</v>
      </c>
      <c r="AO579" s="1006" t="s">
        <v>1971</v>
      </c>
      <c r="AP579" s="1263">
        <v>0</v>
      </c>
      <c r="AQ579" s="1064" t="s">
        <v>966</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customHeight="1">
      <c r="A580" s="1085" t="s">
        <v>982</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988</v>
      </c>
      <c r="AK580" s="1094" t="s">
        <v>1971</v>
      </c>
      <c r="AL580" s="1094" t="s">
        <v>1971</v>
      </c>
      <c r="AM580" s="1095" t="s">
        <v>2423</v>
      </c>
      <c r="AN580" s="1006" t="s">
        <v>991</v>
      </c>
      <c r="AO580" s="1006" t="s">
        <v>1971</v>
      </c>
      <c r="AP580" s="1263">
        <v>0</v>
      </c>
      <c r="AQ580" s="1064" t="s">
        <v>966</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customHeight="1">
      <c r="A581" s="1085" t="s">
        <v>982</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963</v>
      </c>
      <c r="AK581" s="1094" t="s">
        <v>1971</v>
      </c>
      <c r="AL581" s="1094" t="s">
        <v>1971</v>
      </c>
      <c r="AM581" s="1095" t="s">
        <v>2825</v>
      </c>
      <c r="AN581" s="1006" t="s">
        <v>991</v>
      </c>
      <c r="AO581" s="1006" t="s">
        <v>1971</v>
      </c>
      <c r="AP581" s="1263">
        <v>0</v>
      </c>
      <c r="AQ581" s="1064" t="s">
        <v>978</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customHeight="1">
      <c r="A582" s="1085" t="s">
        <v>982</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963</v>
      </c>
      <c r="AK582" s="1094" t="s">
        <v>1971</v>
      </c>
      <c r="AL582" s="1094" t="s">
        <v>1971</v>
      </c>
      <c r="AM582" s="1095" t="s">
        <v>2371</v>
      </c>
      <c r="AN582" s="1006" t="s">
        <v>293</v>
      </c>
      <c r="AO582" s="1006" t="s">
        <v>1971</v>
      </c>
      <c r="AP582" s="1263">
        <v>1</v>
      </c>
      <c r="AQ582" s="1064" t="s">
        <v>966</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customHeight="1">
      <c r="A583" s="1085" t="s">
        <v>982</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963</v>
      </c>
      <c r="AK583" s="1094" t="s">
        <v>1971</v>
      </c>
      <c r="AL583" s="1094" t="s">
        <v>1971</v>
      </c>
      <c r="AM583" s="1095" t="s">
        <v>2371</v>
      </c>
      <c r="AN583" s="1006" t="s">
        <v>293</v>
      </c>
      <c r="AO583" s="1006" t="s">
        <v>1971</v>
      </c>
      <c r="AP583" s="1263">
        <v>0</v>
      </c>
      <c r="AQ583" s="1064" t="s">
        <v>966</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customHeight="1">
      <c r="A584" s="1085" t="s">
        <v>982</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984</v>
      </c>
      <c r="AK584" s="1094" t="s">
        <v>964</v>
      </c>
      <c r="AL584" s="1094" t="s">
        <v>965</v>
      </c>
      <c r="AM584" s="1095" t="s">
        <v>2146</v>
      </c>
      <c r="AN584" s="1006" t="s">
        <v>141</v>
      </c>
      <c r="AO584" s="1006" t="s">
        <v>1971</v>
      </c>
      <c r="AP584" s="1263">
        <v>0</v>
      </c>
      <c r="AQ584" s="1064" t="s">
        <v>966</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customHeight="1">
      <c r="A585" s="1085" t="s">
        <v>982</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984</v>
      </c>
      <c r="AK585" s="1094" t="s">
        <v>964</v>
      </c>
      <c r="AL585" s="1094" t="s">
        <v>977</v>
      </c>
      <c r="AM585" s="1095" t="s">
        <v>2146</v>
      </c>
      <c r="AN585" s="1006" t="s">
        <v>141</v>
      </c>
      <c r="AO585" s="1006" t="s">
        <v>1971</v>
      </c>
      <c r="AP585" s="1263">
        <v>0</v>
      </c>
      <c r="AQ585" s="1064" t="s">
        <v>966</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customHeight="1">
      <c r="A586" s="1085" t="s">
        <v>982</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984</v>
      </c>
      <c r="AK586" s="1094" t="s">
        <v>964</v>
      </c>
      <c r="AL586" s="1094" t="s">
        <v>977</v>
      </c>
      <c r="AM586" s="1095" t="s">
        <v>1971</v>
      </c>
      <c r="AN586" s="1006" t="s">
        <v>1971</v>
      </c>
      <c r="AO586" s="1006" t="s">
        <v>4376</v>
      </c>
      <c r="AP586" s="1263">
        <v>0</v>
      </c>
      <c r="AQ586" s="1064" t="s">
        <v>966</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customHeight="1">
      <c r="A587" s="1085" t="s">
        <v>982</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963</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customHeight="1">
      <c r="A588" s="1085" t="s">
        <v>982</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984</v>
      </c>
      <c r="AK588" s="1094" t="s">
        <v>964</v>
      </c>
      <c r="AL588" s="1094" t="s">
        <v>977</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customHeight="1">
      <c r="A589" s="1085" t="s">
        <v>982</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customHeight="1">
      <c r="A590" s="1085" t="s">
        <v>1012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988</v>
      </c>
      <c r="AK590" s="1094" t="s">
        <v>964</v>
      </c>
      <c r="AL590" s="1094" t="s">
        <v>965</v>
      </c>
      <c r="AM590" s="1095" t="s">
        <v>2058</v>
      </c>
      <c r="AN590" s="1006" t="s">
        <v>991</v>
      </c>
      <c r="AO590" s="1006" t="s">
        <v>4399</v>
      </c>
      <c r="AP590" s="1263">
        <v>0</v>
      </c>
      <c r="AQ590" s="1064" t="s">
        <v>966</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customHeight="1">
      <c r="A591" s="1085" t="s">
        <v>1012</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963</v>
      </c>
      <c r="AK591" s="1094" t="s">
        <v>1971</v>
      </c>
      <c r="AL591" s="1094" t="s">
        <v>1971</v>
      </c>
      <c r="AM591" s="1095" t="s">
        <v>2058</v>
      </c>
      <c r="AN591" s="1006" t="s">
        <v>991</v>
      </c>
      <c r="AO591" s="1006" t="s">
        <v>4403</v>
      </c>
      <c r="AP591" s="1263">
        <v>0</v>
      </c>
      <c r="AQ591" s="1064" t="s">
        <v>966</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customHeight="1">
      <c r="A592" s="1085" t="s">
        <v>1012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988</v>
      </c>
      <c r="AK592" s="1094" t="s">
        <v>964</v>
      </c>
      <c r="AL592" s="1094" t="s">
        <v>965</v>
      </c>
      <c r="AM592" s="1095" t="s">
        <v>2781</v>
      </c>
      <c r="AN592" s="1006" t="s">
        <v>293</v>
      </c>
      <c r="AO592" s="1006" t="s">
        <v>4407</v>
      </c>
      <c r="AP592" s="1263">
        <v>2</v>
      </c>
      <c r="AQ592" s="1064" t="s">
        <v>978</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customHeight="1">
      <c r="A593" s="1085" t="s">
        <v>1012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988</v>
      </c>
      <c r="AK593" s="1094" t="s">
        <v>964</v>
      </c>
      <c r="AL593" s="1094" t="s">
        <v>965</v>
      </c>
      <c r="AM593" s="1095" t="s">
        <v>2781</v>
      </c>
      <c r="AN593" s="1006" t="s">
        <v>991</v>
      </c>
      <c r="AO593" s="1006" t="s">
        <v>4411</v>
      </c>
      <c r="AP593" s="1263">
        <v>0</v>
      </c>
      <c r="AQ593" s="1064" t="s">
        <v>966</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customHeight="1">
      <c r="A594" s="1085" t="s">
        <v>1012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1027</v>
      </c>
      <c r="AA594" s="1091" t="s">
        <v>1971</v>
      </c>
      <c r="AB594" s="1092" t="s">
        <v>1971</v>
      </c>
      <c r="AC594" s="1092" t="s">
        <v>1971</v>
      </c>
      <c r="AD594" s="1092" t="s">
        <v>1971</v>
      </c>
      <c r="AE594" s="1092">
        <v>1</v>
      </c>
      <c r="AF594" s="1092" t="s">
        <v>1971</v>
      </c>
      <c r="AG594" s="1092" t="s">
        <v>1971</v>
      </c>
      <c r="AH594" s="1092" t="s">
        <v>1971</v>
      </c>
      <c r="AI594" s="1093">
        <f t="shared" si="9"/>
        <v>1</v>
      </c>
      <c r="AJ594" s="1094" t="s">
        <v>988</v>
      </c>
      <c r="AK594" s="1094" t="s">
        <v>964</v>
      </c>
      <c r="AL594" s="1094" t="s">
        <v>965</v>
      </c>
      <c r="AM594" s="1095" t="s">
        <v>1027</v>
      </c>
      <c r="AN594" s="1006" t="s">
        <v>1039</v>
      </c>
      <c r="AO594" s="1006" t="s">
        <v>2068</v>
      </c>
      <c r="AP594" s="1263">
        <v>2</v>
      </c>
      <c r="AQ594" s="1064" t="s">
        <v>966</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961</v>
      </c>
      <c r="CE594" s="1107" t="s">
        <v>961</v>
      </c>
      <c r="CF594" s="1107" t="s">
        <v>961</v>
      </c>
      <c r="CG594" s="1107" t="s">
        <v>961</v>
      </c>
      <c r="CH594" s="1108" t="s">
        <v>961</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988</v>
      </c>
      <c r="AK595" s="1094" t="s">
        <v>964</v>
      </c>
      <c r="AL595" s="1094" t="s">
        <v>965</v>
      </c>
      <c r="AM595" s="1095" t="s">
        <v>1031</v>
      </c>
      <c r="AN595" s="1006" t="s">
        <v>1039</v>
      </c>
      <c r="AO595" s="1006" t="s">
        <v>4417</v>
      </c>
      <c r="AP595" s="1263">
        <v>2</v>
      </c>
      <c r="AQ595" s="1064" t="s">
        <v>966</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961</v>
      </c>
      <c r="CE595" s="1107" t="s">
        <v>961</v>
      </c>
      <c r="CF595" s="1107" t="s">
        <v>961</v>
      </c>
      <c r="CG595" s="1107" t="s">
        <v>961</v>
      </c>
      <c r="CH595" s="1108" t="s">
        <v>961</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963</v>
      </c>
      <c r="AK596" s="1094" t="s">
        <v>1971</v>
      </c>
      <c r="AL596" s="1094" t="s">
        <v>1971</v>
      </c>
      <c r="AM596" s="1095" t="s">
        <v>2058</v>
      </c>
      <c r="AN596" s="1006" t="s">
        <v>293</v>
      </c>
      <c r="AO596" s="1006" t="s">
        <v>4421</v>
      </c>
      <c r="AP596" s="1263">
        <v>0</v>
      </c>
      <c r="AQ596" s="1064" t="s">
        <v>966</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customHeight="1">
      <c r="A597" s="1085" t="s">
        <v>1012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658</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963</v>
      </c>
      <c r="AK597" s="1094" t="s">
        <v>1971</v>
      </c>
      <c r="AL597" s="1094" t="s">
        <v>1971</v>
      </c>
      <c r="AM597" s="1095" t="s">
        <v>2058</v>
      </c>
      <c r="AN597" s="1006" t="s">
        <v>293</v>
      </c>
      <c r="AO597" s="1006" t="s">
        <v>4791</v>
      </c>
      <c r="AP597" s="1296">
        <v>1</v>
      </c>
      <c r="AQ597" s="1064" t="s">
        <v>966</v>
      </c>
      <c r="AR597" s="1097" t="s">
        <v>658</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963</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customHeight="1">
      <c r="A599" s="1085" t="s">
        <v>1012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988</v>
      </c>
      <c r="AK599" s="1094" t="s">
        <v>964</v>
      </c>
      <c r="AL599" s="1094" t="s">
        <v>965</v>
      </c>
      <c r="AM599" s="1095" t="s">
        <v>2423</v>
      </c>
      <c r="AN599" s="1006" t="s">
        <v>991</v>
      </c>
      <c r="AO599" s="1006" t="s">
        <v>4431</v>
      </c>
      <c r="AP599" s="1263">
        <v>0</v>
      </c>
      <c r="AQ599" s="1064" t="s">
        <v>966</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customHeight="1">
      <c r="A600" s="1042" t="s">
        <v>1012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629</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988</v>
      </c>
      <c r="AK600" s="1055" t="s">
        <v>964</v>
      </c>
      <c r="AL600" s="1055" t="s">
        <v>965</v>
      </c>
      <c r="AM600" s="1056" t="s">
        <v>629</v>
      </c>
      <c r="AN600" s="1050" t="s">
        <v>293</v>
      </c>
      <c r="AO600" s="1050" t="s">
        <v>4783</v>
      </c>
      <c r="AP600" s="1295">
        <v>1</v>
      </c>
      <c r="AQ600" s="1068" t="s">
        <v>966</v>
      </c>
      <c r="AR600" s="1059" t="s">
        <v>629</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961</v>
      </c>
      <c r="CE600" s="1073" t="s">
        <v>961</v>
      </c>
      <c r="CF600" s="1073" t="s">
        <v>961</v>
      </c>
      <c r="CG600" s="1073" t="s">
        <v>961</v>
      </c>
      <c r="CH600" s="1074" t="s">
        <v>961</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988</v>
      </c>
      <c r="AK601" s="1055" t="s">
        <v>964</v>
      </c>
      <c r="AL601" s="1414" t="s">
        <v>977</v>
      </c>
      <c r="AM601" s="1056" t="s">
        <v>2083</v>
      </c>
      <c r="AN601" s="1050" t="s">
        <v>2147</v>
      </c>
      <c r="AO601" s="1050" t="s">
        <v>4783</v>
      </c>
      <c r="AP601" s="1295">
        <v>1</v>
      </c>
      <c r="AQ601" s="821" t="s">
        <v>966</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961</v>
      </c>
      <c r="CE601" s="1073" t="s">
        <v>961</v>
      </c>
      <c r="CF601" s="1073" t="s">
        <v>961</v>
      </c>
      <c r="CG601" s="1073" t="s">
        <v>961</v>
      </c>
      <c r="CH601" s="1074" t="s">
        <v>961</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988</v>
      </c>
      <c r="AK602" s="1094" t="s">
        <v>964</v>
      </c>
      <c r="AL602" s="1094" t="s">
        <v>965</v>
      </c>
      <c r="AM602" s="1095" t="s">
        <v>629</v>
      </c>
      <c r="AN602" s="1006" t="s">
        <v>293</v>
      </c>
      <c r="AO602" s="1006" t="s">
        <v>4445</v>
      </c>
      <c r="AP602" s="1263">
        <v>0</v>
      </c>
      <c r="AQ602" s="1064" t="s">
        <v>966</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customHeight="1">
      <c r="A603" s="1085" t="s">
        <v>1012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963</v>
      </c>
      <c r="AK603" s="1094" t="s">
        <v>1971</v>
      </c>
      <c r="AL603" s="1094" t="s">
        <v>1971</v>
      </c>
      <c r="AM603" s="1095" t="s">
        <v>2083</v>
      </c>
      <c r="AN603" s="1006" t="s">
        <v>991</v>
      </c>
      <c r="AO603" s="1006" t="s">
        <v>4450</v>
      </c>
      <c r="AP603" s="1263">
        <v>1</v>
      </c>
      <c r="AQ603" s="1064" t="s">
        <v>966</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customHeight="1">
      <c r="A604" s="1085" t="s">
        <v>1012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984</v>
      </c>
      <c r="AK604" s="1094" t="s">
        <v>964</v>
      </c>
      <c r="AL604" s="1094" t="s">
        <v>965</v>
      </c>
      <c r="AM604" s="1095" t="s">
        <v>1955</v>
      </c>
      <c r="AN604" s="1006" t="s">
        <v>2204</v>
      </c>
      <c r="AO604" s="1006" t="s">
        <v>4787</v>
      </c>
      <c r="AP604" s="1296">
        <v>2</v>
      </c>
      <c r="AQ604" s="1064" t="s">
        <v>978</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961</v>
      </c>
      <c r="CE604" s="1107" t="s">
        <v>961</v>
      </c>
      <c r="CF604" s="1107" t="s">
        <v>961</v>
      </c>
      <c r="CG604" s="1107" t="s">
        <v>961</v>
      </c>
      <c r="CH604" s="1108" t="s">
        <v>961</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988</v>
      </c>
      <c r="AK605" s="1094" t="s">
        <v>964</v>
      </c>
      <c r="AL605" s="1094" t="s">
        <v>965</v>
      </c>
      <c r="AM605" s="1095" t="s">
        <v>2178</v>
      </c>
      <c r="AN605" s="1006" t="s">
        <v>410</v>
      </c>
      <c r="AO605" s="1006" t="s">
        <v>4790</v>
      </c>
      <c r="AP605" s="1296">
        <v>2</v>
      </c>
      <c r="AQ605" s="1064" t="s">
        <v>978</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customHeight="1">
      <c r="A606" s="1085" t="s">
        <v>1012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988</v>
      </c>
      <c r="AK606" s="1094" t="s">
        <v>964</v>
      </c>
      <c r="AL606" s="1094" t="s">
        <v>965</v>
      </c>
      <c r="AM606" s="1095" t="s">
        <v>1955</v>
      </c>
      <c r="AN606" s="1006" t="s">
        <v>1039</v>
      </c>
      <c r="AO606" s="1006" t="s">
        <v>4464</v>
      </c>
      <c r="AP606" s="1263">
        <v>0</v>
      </c>
      <c r="AQ606" s="1064" t="s">
        <v>966</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customHeight="1">
      <c r="A607" s="1085" t="s">
        <v>1012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988</v>
      </c>
      <c r="AK607" s="1094" t="s">
        <v>964</v>
      </c>
      <c r="AL607" s="1094" t="s">
        <v>965</v>
      </c>
      <c r="AM607" s="1095" t="s">
        <v>1955</v>
      </c>
      <c r="AN607" s="1006" t="s">
        <v>991</v>
      </c>
      <c r="AO607" s="1006" t="s">
        <v>4469</v>
      </c>
      <c r="AP607" s="1263">
        <v>0</v>
      </c>
      <c r="AQ607" s="1064" t="s">
        <v>966</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customHeight="1">
      <c r="A608" s="1085" t="s">
        <v>1012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963</v>
      </c>
      <c r="AK608" s="1094" t="s">
        <v>1971</v>
      </c>
      <c r="AL608" s="1094" t="s">
        <v>1971</v>
      </c>
      <c r="AM608" s="1095" t="s">
        <v>1955</v>
      </c>
      <c r="AN608" s="1006" t="s">
        <v>1039</v>
      </c>
      <c r="AO608" s="1006" t="s">
        <v>2361</v>
      </c>
      <c r="AP608" s="1263">
        <v>3</v>
      </c>
      <c r="AQ608" s="1064" t="s">
        <v>978</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customHeight="1">
      <c r="A609" s="1085" t="s">
        <v>1012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687</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988</v>
      </c>
      <c r="AK609" s="1094" t="s">
        <v>964</v>
      </c>
      <c r="AL609" s="1094" t="s">
        <v>965</v>
      </c>
      <c r="AM609" s="1095" t="s">
        <v>2087</v>
      </c>
      <c r="AN609" s="1006" t="s">
        <v>2204</v>
      </c>
      <c r="AO609" s="1006" t="s">
        <v>4477</v>
      </c>
      <c r="AP609" s="1296">
        <v>2</v>
      </c>
      <c r="AQ609" s="1064" t="s">
        <v>978</v>
      </c>
      <c r="AR609" s="1097" t="s">
        <v>687</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961</v>
      </c>
      <c r="CE609" s="1107" t="s">
        <v>961</v>
      </c>
      <c r="CF609" s="1107" t="s">
        <v>961</v>
      </c>
      <c r="CG609" s="1107" t="s">
        <v>961</v>
      </c>
      <c r="CH609" s="1108" t="s">
        <v>961</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988</v>
      </c>
      <c r="AK610" s="1094" t="s">
        <v>964</v>
      </c>
      <c r="AL610" s="1094" t="s">
        <v>965</v>
      </c>
      <c r="AM610" s="1095" t="s">
        <v>2087</v>
      </c>
      <c r="AN610" s="1006" t="s">
        <v>2204</v>
      </c>
      <c r="AO610" s="1006" t="s">
        <v>4477</v>
      </c>
      <c r="AP610" s="1296">
        <v>2</v>
      </c>
      <c r="AQ610" s="1064" t="s">
        <v>978</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customHeight="1">
      <c r="A611" s="1085" t="s">
        <v>1012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984</v>
      </c>
      <c r="AK611" s="1094" t="s">
        <v>964</v>
      </c>
      <c r="AL611" s="1094" t="s">
        <v>965</v>
      </c>
      <c r="AM611" s="1095" t="s">
        <v>2087</v>
      </c>
      <c r="AN611" s="1006" t="s">
        <v>1039</v>
      </c>
      <c r="AO611" s="1006" t="s">
        <v>2361</v>
      </c>
      <c r="AP611" s="1263">
        <v>0</v>
      </c>
      <c r="AQ611" s="1064" t="s">
        <v>978</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customHeight="1">
      <c r="A612" s="1085" t="s">
        <v>1012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984</v>
      </c>
      <c r="AK612" s="1094" t="s">
        <v>964</v>
      </c>
      <c r="AL612" s="1094" t="s">
        <v>965</v>
      </c>
      <c r="AM612" s="1095" t="s">
        <v>1939</v>
      </c>
      <c r="AN612" s="1006" t="s">
        <v>991</v>
      </c>
      <c r="AO612" s="1006" t="s">
        <v>4489</v>
      </c>
      <c r="AP612" s="1263">
        <v>0</v>
      </c>
      <c r="AQ612" s="1064" t="s">
        <v>978</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customHeight="1">
      <c r="A613" s="1085" t="s">
        <v>1012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154</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988</v>
      </c>
      <c r="AK613" s="1094" t="s">
        <v>964</v>
      </c>
      <c r="AL613" s="1094" t="s">
        <v>965</v>
      </c>
      <c r="AM613" s="1095" t="s">
        <v>1923</v>
      </c>
      <c r="AN613" s="1006" t="s">
        <v>4781</v>
      </c>
      <c r="AO613" s="1006" t="s">
        <v>4782</v>
      </c>
      <c r="AP613" s="1296">
        <v>0</v>
      </c>
      <c r="AQ613" s="1064" t="s">
        <v>978</v>
      </c>
      <c r="AR613" s="1097" t="s">
        <v>154</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961</v>
      </c>
      <c r="CE613" s="1107" t="s">
        <v>961</v>
      </c>
      <c r="CF613" s="1107" t="s">
        <v>961</v>
      </c>
      <c r="CG613" s="1107" t="s">
        <v>961</v>
      </c>
      <c r="CH613" s="1108" t="s">
        <v>961</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499</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963</v>
      </c>
      <c r="AK614" s="1094" t="s">
        <v>1971</v>
      </c>
      <c r="AL614" s="1094" t="s">
        <v>1971</v>
      </c>
      <c r="AM614" s="1095" t="s">
        <v>2960</v>
      </c>
      <c r="AN614" s="1006" t="s">
        <v>293</v>
      </c>
      <c r="AO614" s="1006" t="s">
        <v>4784</v>
      </c>
      <c r="AP614" s="1296">
        <v>1</v>
      </c>
      <c r="AQ614" s="1064" t="s">
        <v>978</v>
      </c>
      <c r="AR614" s="1097" t="s">
        <v>499</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778</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963</v>
      </c>
      <c r="AK615" s="1094" t="s">
        <v>1971</v>
      </c>
      <c r="AL615" s="1094" t="s">
        <v>1971</v>
      </c>
      <c r="AM615" s="1095" t="s">
        <v>2087</v>
      </c>
      <c r="AN615" s="1006" t="s">
        <v>293</v>
      </c>
      <c r="AO615" s="1006" t="s">
        <v>4784</v>
      </c>
      <c r="AP615" s="1296">
        <v>2</v>
      </c>
      <c r="AQ615" s="1064" t="s">
        <v>978</v>
      </c>
      <c r="AR615" s="1097" t="s">
        <v>778</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178</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984</v>
      </c>
      <c r="AK616" s="1094" t="s">
        <v>964</v>
      </c>
      <c r="AL616" s="1094" t="s">
        <v>965</v>
      </c>
      <c r="AM616" s="1095" t="s">
        <v>2103</v>
      </c>
      <c r="AN616" s="1006" t="s">
        <v>2204</v>
      </c>
      <c r="AO616" s="1006" t="s">
        <v>4786</v>
      </c>
      <c r="AP616" s="1296">
        <v>1</v>
      </c>
      <c r="AQ616" s="1064" t="s">
        <v>978</v>
      </c>
      <c r="AR616" s="1097" t="s">
        <v>178</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961</v>
      </c>
      <c r="CE616" s="1107" t="s">
        <v>961</v>
      </c>
      <c r="CF616" s="1107" t="s">
        <v>961</v>
      </c>
      <c r="CG616" s="1107" t="s">
        <v>961</v>
      </c>
      <c r="CH616" s="1108" t="s">
        <v>961</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184</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984</v>
      </c>
      <c r="AK617" s="1094" t="s">
        <v>964</v>
      </c>
      <c r="AL617" s="1094" t="s">
        <v>965</v>
      </c>
      <c r="AM617" s="1095" t="s">
        <v>1944</v>
      </c>
      <c r="AN617" s="1006" t="s">
        <v>293</v>
      </c>
      <c r="AO617" s="1006" t="s">
        <v>4785</v>
      </c>
      <c r="AP617" s="1296">
        <v>2</v>
      </c>
      <c r="AQ617" s="1064" t="s">
        <v>978</v>
      </c>
      <c r="AR617" s="1097" t="s">
        <v>184</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961</v>
      </c>
      <c r="CE617" s="1107" t="s">
        <v>961</v>
      </c>
      <c r="CF617" s="1107" t="s">
        <v>961</v>
      </c>
      <c r="CG617" s="1107" t="s">
        <v>961</v>
      </c>
      <c r="CH617" s="1108" t="s">
        <v>961</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693</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984</v>
      </c>
      <c r="AK618" s="1094" t="s">
        <v>964</v>
      </c>
      <c r="AL618" s="1094" t="s">
        <v>965</v>
      </c>
      <c r="AM618" s="1095" t="s">
        <v>1939</v>
      </c>
      <c r="AN618" s="1006" t="s">
        <v>2204</v>
      </c>
      <c r="AO618" s="1006" t="s">
        <v>4799</v>
      </c>
      <c r="AP618" s="1296">
        <v>2</v>
      </c>
      <c r="AQ618" s="1064" t="s">
        <v>978</v>
      </c>
      <c r="AR618" s="1097" t="s">
        <v>693</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961</v>
      </c>
      <c r="CE618" s="1107" t="s">
        <v>961</v>
      </c>
      <c r="CF618" s="1107" t="s">
        <v>961</v>
      </c>
      <c r="CG618" s="1107" t="s">
        <v>961</v>
      </c>
      <c r="CH618" s="1108" t="s">
        <v>961</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984</v>
      </c>
      <c r="AK619" s="1094" t="s">
        <v>964</v>
      </c>
      <c r="AL619" s="1094" t="s">
        <v>965</v>
      </c>
      <c r="AM619" s="1095" t="s">
        <v>2960</v>
      </c>
      <c r="AN619" s="1006" t="s">
        <v>991</v>
      </c>
      <c r="AO619" s="1006" t="s">
        <v>4516</v>
      </c>
      <c r="AP619" s="1263">
        <v>0</v>
      </c>
      <c r="AQ619" s="1064" t="s">
        <v>978</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customHeight="1">
      <c r="A620" s="1085" t="s">
        <v>1012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1016</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984</v>
      </c>
      <c r="AK620" s="1094" t="s">
        <v>964</v>
      </c>
      <c r="AL620" s="1094" t="s">
        <v>965</v>
      </c>
      <c r="AM620" s="1095" t="s">
        <v>2135</v>
      </c>
      <c r="AN620" s="1006" t="s">
        <v>293</v>
      </c>
      <c r="AO620" s="1006" t="s">
        <v>2472</v>
      </c>
      <c r="AP620" s="1296">
        <v>2</v>
      </c>
      <c r="AQ620" s="1064" t="s">
        <v>966</v>
      </c>
      <c r="AR620" s="1097" t="s">
        <v>1016</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961</v>
      </c>
      <c r="CE620" s="1107" t="s">
        <v>961</v>
      </c>
      <c r="CF620" s="1107" t="s">
        <v>961</v>
      </c>
      <c r="CG620" s="1107" t="s">
        <v>961</v>
      </c>
      <c r="CH620" s="1108" t="s">
        <v>961</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689</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988</v>
      </c>
      <c r="AK621" s="1094" t="s">
        <v>964</v>
      </c>
      <c r="AL621" s="1094" t="s">
        <v>965</v>
      </c>
      <c r="AM621" s="1095" t="s">
        <v>689</v>
      </c>
      <c r="AN621" s="1006" t="s">
        <v>2204</v>
      </c>
      <c r="AO621" s="1006" t="s">
        <v>4798</v>
      </c>
      <c r="AP621" s="1296">
        <v>2</v>
      </c>
      <c r="AQ621" s="1064" t="s">
        <v>978</v>
      </c>
      <c r="AR621" s="1097" t="s">
        <v>689</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961</v>
      </c>
      <c r="CE621" s="1107" t="s">
        <v>961</v>
      </c>
      <c r="CF621" s="1107" t="s">
        <v>961</v>
      </c>
      <c r="CG621" s="1107" t="s">
        <v>961</v>
      </c>
      <c r="CH621" s="1108" t="s">
        <v>961</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988</v>
      </c>
      <c r="AK622" s="1094" t="s">
        <v>964</v>
      </c>
      <c r="AL622" s="1094" t="s">
        <v>965</v>
      </c>
      <c r="AM622" s="1095" t="s">
        <v>2008</v>
      </c>
      <c r="AN622" s="1006" t="s">
        <v>991</v>
      </c>
      <c r="AO622" s="1006" t="s">
        <v>4527</v>
      </c>
      <c r="AP622" s="1263">
        <v>0</v>
      </c>
      <c r="AQ622" s="1064" t="s">
        <v>978</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customHeight="1">
      <c r="A623" s="1085" t="s">
        <v>1012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988</v>
      </c>
      <c r="AK623" s="1094" t="s">
        <v>964</v>
      </c>
      <c r="AL623" s="1094" t="s">
        <v>965</v>
      </c>
      <c r="AM623" s="1095" t="s">
        <v>2315</v>
      </c>
      <c r="AN623" s="1006" t="s">
        <v>293</v>
      </c>
      <c r="AO623" s="1006" t="s">
        <v>4531</v>
      </c>
      <c r="AP623" s="1263">
        <v>0</v>
      </c>
      <c r="AQ623" s="1064" t="s">
        <v>966</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customHeight="1">
      <c r="A624" s="1085" t="s">
        <v>1012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984</v>
      </c>
      <c r="AK624" s="1094" t="s">
        <v>964</v>
      </c>
      <c r="AL624" s="1094" t="s">
        <v>965</v>
      </c>
      <c r="AM624" s="1095" t="s">
        <v>2161</v>
      </c>
      <c r="AN624" s="1006" t="s">
        <v>991</v>
      </c>
      <c r="AO624" s="1006" t="s">
        <v>4534</v>
      </c>
      <c r="AP624" s="1263">
        <v>0</v>
      </c>
      <c r="AQ624" s="1064" t="s">
        <v>978</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customHeight="1">
      <c r="A625" s="1085" t="s">
        <v>1012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988</v>
      </c>
      <c r="AK625" s="1094" t="s">
        <v>964</v>
      </c>
      <c r="AL625" s="1094" t="s">
        <v>965</v>
      </c>
      <c r="AM625" s="1095" t="s">
        <v>2332</v>
      </c>
      <c r="AN625" s="1006" t="s">
        <v>991</v>
      </c>
      <c r="AO625" s="1006" t="s">
        <v>4539</v>
      </c>
      <c r="AP625" s="1263">
        <v>0</v>
      </c>
      <c r="AQ625" s="1064" t="s">
        <v>966</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customHeight="1">
      <c r="A626" s="1085" t="s">
        <v>1012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988</v>
      </c>
      <c r="AK626" s="1094" t="s">
        <v>964</v>
      </c>
      <c r="AL626" s="1094" t="s">
        <v>965</v>
      </c>
      <c r="AM626" s="1095" t="s">
        <v>2332</v>
      </c>
      <c r="AN626" s="1006" t="s">
        <v>991</v>
      </c>
      <c r="AO626" s="1006" t="s">
        <v>4544</v>
      </c>
      <c r="AP626" s="1263">
        <v>0</v>
      </c>
      <c r="AQ626" s="1064" t="s">
        <v>966</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customHeight="1">
      <c r="A627" s="1085" t="s">
        <v>1012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984</v>
      </c>
      <c r="AK627" s="1094" t="s">
        <v>964</v>
      </c>
      <c r="AL627" s="1094" t="s">
        <v>965</v>
      </c>
      <c r="AM627" s="1095" t="s">
        <v>711</v>
      </c>
      <c r="AN627" s="1006" t="s">
        <v>293</v>
      </c>
      <c r="AO627" s="1006" t="s">
        <v>4548</v>
      </c>
      <c r="AP627" s="1263">
        <v>2</v>
      </c>
      <c r="AQ627" s="1064" t="s">
        <v>966</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customHeight="1">
      <c r="A628" s="1085" t="s">
        <v>1012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975</v>
      </c>
      <c r="AK628" s="1094" t="s">
        <v>964</v>
      </c>
      <c r="AL628" s="1094" t="s">
        <v>965</v>
      </c>
      <c r="AM628" s="1095" t="s">
        <v>2135</v>
      </c>
      <c r="AN628" s="1006" t="s">
        <v>991</v>
      </c>
      <c r="AO628" s="1006" t="s">
        <v>2205</v>
      </c>
      <c r="AP628" s="1263">
        <v>0</v>
      </c>
      <c r="AQ628" s="1064" t="s">
        <v>966</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customHeight="1">
      <c r="A629" s="1085" t="s">
        <v>1012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984</v>
      </c>
      <c r="AK629" s="1094" t="s">
        <v>964</v>
      </c>
      <c r="AL629" s="1094" t="s">
        <v>965</v>
      </c>
      <c r="AM629" s="1095" t="s">
        <v>2135</v>
      </c>
      <c r="AN629" s="1006" t="s">
        <v>991</v>
      </c>
      <c r="AO629" s="1006" t="s">
        <v>4556</v>
      </c>
      <c r="AP629" s="1263">
        <v>1</v>
      </c>
      <c r="AQ629" s="1064" t="s">
        <v>966</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customHeight="1">
      <c r="A630" s="1085" t="s">
        <v>1012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975</v>
      </c>
      <c r="AK630" s="1094" t="s">
        <v>964</v>
      </c>
      <c r="AL630" s="1094" t="s">
        <v>965</v>
      </c>
      <c r="AM630" s="1095" t="s">
        <v>2135</v>
      </c>
      <c r="AN630" s="1006" t="s">
        <v>991</v>
      </c>
      <c r="AO630" s="1006" t="s">
        <v>4561</v>
      </c>
      <c r="AP630" s="1263">
        <v>1</v>
      </c>
      <c r="AQ630" s="1064" t="s">
        <v>966</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customHeight="1">
      <c r="A631" s="1085" t="s">
        <v>1012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988</v>
      </c>
      <c r="AK631" s="1094" t="s">
        <v>964</v>
      </c>
      <c r="AL631" s="1094" t="s">
        <v>965</v>
      </c>
      <c r="AM631" s="1095" t="s">
        <v>2008</v>
      </c>
      <c r="AN631" s="1006" t="s">
        <v>991</v>
      </c>
      <c r="AO631" s="1006" t="s">
        <v>4527</v>
      </c>
      <c r="AP631" s="1263">
        <v>0</v>
      </c>
      <c r="AQ631" s="1064" t="s">
        <v>978</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customHeight="1">
      <c r="A632" s="1085" t="s">
        <v>1012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963</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customHeight="1">
      <c r="A633" s="1085" t="s">
        <v>1012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customHeight="1">
      <c r="A634" s="1085" t="s">
        <v>1012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customHeight="1">
      <c r="A635" s="1085" t="s">
        <v>1012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1010</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customHeight="1">
      <c r="A636" s="1085" t="s">
        <v>1015</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975</v>
      </c>
      <c r="AK636" s="1094" t="s">
        <v>964</v>
      </c>
      <c r="AL636" s="1094" t="s">
        <v>977</v>
      </c>
      <c r="AM636" s="1095" t="s">
        <v>2332</v>
      </c>
      <c r="AN636" s="1006" t="s">
        <v>991</v>
      </c>
      <c r="AO636" s="1006" t="s">
        <v>4580</v>
      </c>
      <c r="AP636" s="821">
        <v>0</v>
      </c>
      <c r="AQ636" s="1064" t="s">
        <v>966</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customHeight="1">
      <c r="A637" s="1085" t="s">
        <v>1015</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988</v>
      </c>
      <c r="AK637" s="1094" t="s">
        <v>964</v>
      </c>
      <c r="AL637" s="1094" t="s">
        <v>977</v>
      </c>
      <c r="AM637" s="1095" t="s">
        <v>2135</v>
      </c>
      <c r="AN637" s="1006" t="s">
        <v>991</v>
      </c>
      <c r="AO637" s="1006" t="s">
        <v>4585</v>
      </c>
      <c r="AP637" s="821">
        <v>0</v>
      </c>
      <c r="AQ637" s="1064" t="s">
        <v>966</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customHeight="1">
      <c r="A638" s="1085" t="s">
        <v>1015</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963</v>
      </c>
      <c r="AK638" s="1094" t="s">
        <v>1971</v>
      </c>
      <c r="AL638" s="1094" t="s">
        <v>1971</v>
      </c>
      <c r="AM638" s="1095" t="s">
        <v>1996</v>
      </c>
      <c r="AN638" s="1006" t="s">
        <v>293</v>
      </c>
      <c r="AO638" s="1006" t="s">
        <v>4589</v>
      </c>
      <c r="AP638" s="821">
        <v>1</v>
      </c>
      <c r="AQ638" s="1064" t="s">
        <v>966</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customHeight="1">
      <c r="A639" s="1085" t="s">
        <v>1015</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988</v>
      </c>
      <c r="AK639" s="1094" t="s">
        <v>964</v>
      </c>
      <c r="AL639" s="1094" t="s">
        <v>977</v>
      </c>
      <c r="AM639" s="1095" t="s">
        <v>2135</v>
      </c>
      <c r="AN639" s="1006" t="s">
        <v>994</v>
      </c>
      <c r="AO639" s="1006" t="s">
        <v>4879</v>
      </c>
      <c r="AP639" s="821">
        <v>2</v>
      </c>
      <c r="AQ639" s="1064" t="s">
        <v>966</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customHeight="1">
      <c r="A640" s="1085" t="s">
        <v>1015</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963</v>
      </c>
      <c r="AK640" s="1094" t="s">
        <v>1971</v>
      </c>
      <c r="AL640" s="1094" t="s">
        <v>1971</v>
      </c>
      <c r="AM640" s="1095" t="s">
        <v>2135</v>
      </c>
      <c r="AN640" s="1006" t="s">
        <v>991</v>
      </c>
      <c r="AO640" s="1006" t="s">
        <v>4597</v>
      </c>
      <c r="AP640" s="821">
        <v>0</v>
      </c>
      <c r="AQ640" s="1064" t="s">
        <v>966</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customHeight="1">
      <c r="A641" s="1085" t="s">
        <v>1015</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988</v>
      </c>
      <c r="AK641" s="1094" t="s">
        <v>964</v>
      </c>
      <c r="AL641" s="1094" t="s">
        <v>965</v>
      </c>
      <c r="AM641" s="1095" t="s">
        <v>2161</v>
      </c>
      <c r="AN641" s="1006" t="s">
        <v>293</v>
      </c>
      <c r="AO641" s="1006" t="s">
        <v>2813</v>
      </c>
      <c r="AP641" s="821">
        <v>1</v>
      </c>
      <c r="AQ641" s="1064" t="s">
        <v>966</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customHeight="1">
      <c r="A642" s="1085" t="s">
        <v>1015</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963</v>
      </c>
      <c r="AK642" s="1094" t="s">
        <v>1971</v>
      </c>
      <c r="AL642" s="1094" t="s">
        <v>1971</v>
      </c>
      <c r="AM642" s="1095" t="s">
        <v>1971</v>
      </c>
      <c r="AN642" s="1006" t="s">
        <v>293</v>
      </c>
      <c r="AO642" s="1006" t="s">
        <v>4605</v>
      </c>
      <c r="AP642" s="821">
        <v>1</v>
      </c>
      <c r="AQ642" s="1064" t="s">
        <v>293</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customHeight="1">
      <c r="A643" s="1085" t="s">
        <v>1015</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984</v>
      </c>
      <c r="AK643" s="1094" t="s">
        <v>964</v>
      </c>
      <c r="AL643" s="1094" t="s">
        <v>965</v>
      </c>
      <c r="AM643" s="1095" t="s">
        <v>2423</v>
      </c>
      <c r="AN643" s="1006" t="s">
        <v>991</v>
      </c>
      <c r="AO643" s="1006" t="s">
        <v>4610</v>
      </c>
      <c r="AP643" s="821">
        <v>0</v>
      </c>
      <c r="AQ643" s="1064" t="s">
        <v>966</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customHeight="1">
      <c r="A644" s="1085" t="s">
        <v>1015</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963</v>
      </c>
      <c r="AK644" s="1094" t="s">
        <v>1971</v>
      </c>
      <c r="AL644" s="1094" t="s">
        <v>1971</v>
      </c>
      <c r="AM644" s="1095" t="s">
        <v>1933</v>
      </c>
      <c r="AN644" s="1006" t="s">
        <v>141</v>
      </c>
      <c r="AO644" s="1006" t="s">
        <v>4614</v>
      </c>
      <c r="AP644" s="821">
        <v>0</v>
      </c>
      <c r="AQ644" s="1064" t="s">
        <v>966</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customHeight="1">
      <c r="A645" s="1085" t="s">
        <v>1015</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988</v>
      </c>
      <c r="AK645" s="1094" t="s">
        <v>964</v>
      </c>
      <c r="AL645" s="1094" t="s">
        <v>965</v>
      </c>
      <c r="AM645" s="1095" t="s">
        <v>2083</v>
      </c>
      <c r="AN645" s="1006" t="s">
        <v>991</v>
      </c>
      <c r="AO645" s="1006" t="s">
        <v>4618</v>
      </c>
      <c r="AP645" s="821">
        <v>2</v>
      </c>
      <c r="AQ645" s="1064" t="s">
        <v>966</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customHeight="1">
      <c r="A646" s="1085" t="s">
        <v>1015</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988</v>
      </c>
      <c r="AK646" s="1094" t="s">
        <v>964</v>
      </c>
      <c r="AL646" s="1094" t="s">
        <v>965</v>
      </c>
      <c r="AM646" s="1095" t="s">
        <v>1031</v>
      </c>
      <c r="AN646" s="1006" t="s">
        <v>1039</v>
      </c>
      <c r="AO646" s="1006" t="s">
        <v>3172</v>
      </c>
      <c r="AP646" s="821">
        <v>2</v>
      </c>
      <c r="AQ646" s="1064" t="s">
        <v>966</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961</v>
      </c>
      <c r="CE646" s="1107" t="s">
        <v>961</v>
      </c>
      <c r="CF646" s="1107" t="s">
        <v>961</v>
      </c>
      <c r="CG646" s="1107" t="s">
        <v>961</v>
      </c>
      <c r="CH646" s="1108" t="s">
        <v>961</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1015</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963</v>
      </c>
      <c r="AK647" s="1094" t="s">
        <v>1971</v>
      </c>
      <c r="AL647" s="1094" t="s">
        <v>1971</v>
      </c>
      <c r="AM647" s="1095" t="s">
        <v>2146</v>
      </c>
      <c r="AN647" s="1006" t="s">
        <v>293</v>
      </c>
      <c r="AO647" s="1006" t="s">
        <v>4625</v>
      </c>
      <c r="AP647" s="821">
        <v>0</v>
      </c>
      <c r="AQ647" s="1064" t="s">
        <v>966</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customHeight="1">
      <c r="A648" s="1085" t="s">
        <v>1015</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963</v>
      </c>
      <c r="AK648" s="1094" t="s">
        <v>1971</v>
      </c>
      <c r="AL648" s="1094" t="s">
        <v>1971</v>
      </c>
      <c r="AM648" s="1095" t="s">
        <v>2146</v>
      </c>
      <c r="AN648" s="1006" t="s">
        <v>991</v>
      </c>
      <c r="AO648" s="1006" t="s">
        <v>4629</v>
      </c>
      <c r="AP648" s="821">
        <v>0</v>
      </c>
      <c r="AQ648" s="1064" t="s">
        <v>966</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customHeight="1">
      <c r="A649" s="1085" t="s">
        <v>1015</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963</v>
      </c>
      <c r="AK649" s="1094" t="s">
        <v>1971</v>
      </c>
      <c r="AL649" s="1094" t="s">
        <v>1971</v>
      </c>
      <c r="AM649" s="1095" t="s">
        <v>2146</v>
      </c>
      <c r="AN649" s="1006" t="s">
        <v>293</v>
      </c>
      <c r="AO649" s="1006" t="s">
        <v>4633</v>
      </c>
      <c r="AP649" s="821">
        <v>2</v>
      </c>
      <c r="AQ649" s="1064" t="s">
        <v>978</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customHeight="1">
      <c r="A650" s="1085" t="s">
        <v>1015</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963</v>
      </c>
      <c r="AK650" s="1094" t="s">
        <v>1971</v>
      </c>
      <c r="AL650" s="1094" t="s">
        <v>1971</v>
      </c>
      <c r="AM650" s="1095" t="s">
        <v>2146</v>
      </c>
      <c r="AN650" s="1006" t="s">
        <v>293</v>
      </c>
      <c r="AO650" s="1006" t="s">
        <v>2148</v>
      </c>
      <c r="AP650" s="821">
        <v>0</v>
      </c>
      <c r="AQ650" s="1064" t="s">
        <v>966</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customHeight="1">
      <c r="A651" s="1085" t="s">
        <v>1015</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963</v>
      </c>
      <c r="AK651" s="1094" t="s">
        <v>1971</v>
      </c>
      <c r="AL651" s="1094" t="s">
        <v>1971</v>
      </c>
      <c r="AM651" s="1095" t="s">
        <v>2146</v>
      </c>
      <c r="AN651" s="1006" t="s">
        <v>293</v>
      </c>
      <c r="AO651" s="1006" t="s">
        <v>4640</v>
      </c>
      <c r="AP651" s="821">
        <v>0</v>
      </c>
      <c r="AQ651" s="1064" t="s">
        <v>966</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customHeight="1">
      <c r="A652" s="1085" t="s">
        <v>1015</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963</v>
      </c>
      <c r="AK652" s="1094" t="s">
        <v>1971</v>
      </c>
      <c r="AL652" s="1094" t="s">
        <v>1971</v>
      </c>
      <c r="AM652" s="1095" t="s">
        <v>2146</v>
      </c>
      <c r="AN652" s="1006" t="s">
        <v>293</v>
      </c>
      <c r="AO652" s="1006" t="s">
        <v>4644</v>
      </c>
      <c r="AP652" s="821">
        <v>0</v>
      </c>
      <c r="AQ652" s="1064" t="s">
        <v>966</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customHeight="1">
      <c r="A653" s="1085" t="s">
        <v>1015</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984</v>
      </c>
      <c r="AK653" s="1094" t="s">
        <v>964</v>
      </c>
      <c r="AL653" s="1094" t="s">
        <v>965</v>
      </c>
      <c r="AM653" s="1095" t="s">
        <v>2146</v>
      </c>
      <c r="AN653" s="1006" t="s">
        <v>293</v>
      </c>
      <c r="AO653" s="1006" t="s">
        <v>4647</v>
      </c>
      <c r="AP653" s="821">
        <v>0</v>
      </c>
      <c r="AQ653" s="1064" t="s">
        <v>966</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customHeight="1">
      <c r="A654" s="1085" t="s">
        <v>1015</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988</v>
      </c>
      <c r="AK654" s="1094" t="s">
        <v>964</v>
      </c>
      <c r="AL654" s="1094" t="s">
        <v>965</v>
      </c>
      <c r="AM654" s="1095" t="s">
        <v>2146</v>
      </c>
      <c r="AN654" s="1006" t="s">
        <v>293</v>
      </c>
      <c r="AO654" s="1006" t="s">
        <v>4650</v>
      </c>
      <c r="AP654" s="821">
        <v>2</v>
      </c>
      <c r="AQ654" s="1064" t="s">
        <v>978</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customHeight="1">
      <c r="A655" s="1085" t="s">
        <v>1015</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988</v>
      </c>
      <c r="AK655" s="1094" t="s">
        <v>964</v>
      </c>
      <c r="AL655" s="1094" t="s">
        <v>965</v>
      </c>
      <c r="AM655" s="1095" t="s">
        <v>1027</v>
      </c>
      <c r="AN655" s="1006" t="s">
        <v>1039</v>
      </c>
      <c r="AO655" s="1006" t="s">
        <v>3183</v>
      </c>
      <c r="AP655" s="821">
        <v>2</v>
      </c>
      <c r="AQ655" s="1064" t="s">
        <v>966</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961</v>
      </c>
      <c r="CE655" s="1107" t="s">
        <v>961</v>
      </c>
      <c r="CF655" s="1107" t="s">
        <v>961</v>
      </c>
      <c r="CG655" s="1107" t="s">
        <v>961</v>
      </c>
      <c r="CH655" s="1108" t="s">
        <v>961</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1015</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984</v>
      </c>
      <c r="AK656" s="1094" t="s">
        <v>964</v>
      </c>
      <c r="AL656" s="1094" t="s">
        <v>965</v>
      </c>
      <c r="AM656" s="1095" t="s">
        <v>1955</v>
      </c>
      <c r="AN656" s="1006" t="s">
        <v>2204</v>
      </c>
      <c r="AO656" s="1006" t="s">
        <v>4787</v>
      </c>
      <c r="AP656" s="1302">
        <v>2</v>
      </c>
      <c r="AQ656" s="1064" t="s">
        <v>978</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961</v>
      </c>
      <c r="CE656" s="1107" t="s">
        <v>961</v>
      </c>
      <c r="CF656" s="1107" t="s">
        <v>961</v>
      </c>
      <c r="CG656" s="1107" t="s">
        <v>961</v>
      </c>
      <c r="CH656" s="1108" t="s">
        <v>961</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1015</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154</v>
      </c>
      <c r="Z657" s="1090" t="s">
        <v>4657</v>
      </c>
      <c r="AA657" s="1091">
        <v>0</v>
      </c>
      <c r="AB657" s="1092">
        <v>1</v>
      </c>
      <c r="AC657" s="1092">
        <v>0</v>
      </c>
      <c r="AD657" s="1092">
        <v>0</v>
      </c>
      <c r="AE657" s="1092">
        <v>0</v>
      </c>
      <c r="AF657" s="1092">
        <v>0</v>
      </c>
      <c r="AG657" s="1092">
        <v>0</v>
      </c>
      <c r="AH657" s="1092">
        <v>0</v>
      </c>
      <c r="AI657" s="1093">
        <f t="shared" si="10"/>
        <v>1</v>
      </c>
      <c r="AJ657" s="1094" t="s">
        <v>988</v>
      </c>
      <c r="AK657" s="1094" t="s">
        <v>964</v>
      </c>
      <c r="AL657" s="1094" t="s">
        <v>965</v>
      </c>
      <c r="AM657" s="1095" t="s">
        <v>1923</v>
      </c>
      <c r="AN657" s="1006" t="s">
        <v>4781</v>
      </c>
      <c r="AO657" s="1006" t="s">
        <v>4782</v>
      </c>
      <c r="AP657" s="1302">
        <v>0</v>
      </c>
      <c r="AQ657" s="1064" t="s">
        <v>978</v>
      </c>
      <c r="AR657" s="1097" t="s">
        <v>154</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961</v>
      </c>
      <c r="CE657" s="1107" t="s">
        <v>961</v>
      </c>
      <c r="CF657" s="1107" t="s">
        <v>961</v>
      </c>
      <c r="CG657" s="1107" t="s">
        <v>961</v>
      </c>
      <c r="CH657" s="1108" t="s">
        <v>961</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1015</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629</v>
      </c>
      <c r="Z658" s="1051" t="s">
        <v>4660</v>
      </c>
      <c r="AA658" s="1052">
        <v>0</v>
      </c>
      <c r="AB658" s="1053">
        <v>1</v>
      </c>
      <c r="AC658" s="1053">
        <v>0</v>
      </c>
      <c r="AD658" s="1053">
        <v>0</v>
      </c>
      <c r="AE658" s="1053">
        <v>0</v>
      </c>
      <c r="AF658" s="1053">
        <v>0</v>
      </c>
      <c r="AG658" s="1053">
        <v>0</v>
      </c>
      <c r="AH658" s="1053">
        <v>0</v>
      </c>
      <c r="AI658" s="1054">
        <f t="shared" si="10"/>
        <v>1</v>
      </c>
      <c r="AJ658" s="1055" t="s">
        <v>988</v>
      </c>
      <c r="AK658" s="1055" t="s">
        <v>964</v>
      </c>
      <c r="AL658" s="1055" t="s">
        <v>965</v>
      </c>
      <c r="AM658" s="1056" t="s">
        <v>629</v>
      </c>
      <c r="AN658" s="1050" t="s">
        <v>293</v>
      </c>
      <c r="AO658" s="1050" t="s">
        <v>4783</v>
      </c>
      <c r="AP658" s="1068">
        <v>1</v>
      </c>
      <c r="AQ658" s="821" t="s">
        <v>966</v>
      </c>
      <c r="AR658" s="1059" t="s">
        <v>629</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961</v>
      </c>
      <c r="CE658" s="1073" t="s">
        <v>961</v>
      </c>
      <c r="CF658" s="1073" t="s">
        <v>961</v>
      </c>
      <c r="CG658" s="1073" t="s">
        <v>961</v>
      </c>
      <c r="CH658" s="1074" t="s">
        <v>961</v>
      </c>
      <c r="CI658" s="1492">
        <v>-20</v>
      </c>
      <c r="CJ658" s="1492">
        <v>-20</v>
      </c>
      <c r="CK658" s="1492">
        <v>-20</v>
      </c>
      <c r="CL658" s="1492">
        <v>-20</v>
      </c>
      <c r="CM658" s="1492">
        <v>-20</v>
      </c>
      <c r="CN658" s="1492">
        <v>0</v>
      </c>
      <c r="CO658" s="1492">
        <v>0</v>
      </c>
      <c r="CP658" s="1492">
        <v>0</v>
      </c>
      <c r="CQ658" s="1492">
        <v>0</v>
      </c>
      <c r="CR658" s="1492">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49" t="s">
        <v>4797</v>
      </c>
      <c r="DD658" s="1349" t="s">
        <v>4797</v>
      </c>
      <c r="DE658" s="1349" t="s">
        <v>4797</v>
      </c>
      <c r="DF658" s="1349" t="s">
        <v>4797</v>
      </c>
      <c r="DG658" s="1349"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1015</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184</v>
      </c>
      <c r="Z659" s="1090" t="s">
        <v>4663</v>
      </c>
      <c r="AA659" s="1091">
        <v>0</v>
      </c>
      <c r="AB659" s="1092">
        <v>1</v>
      </c>
      <c r="AC659" s="1092">
        <v>0</v>
      </c>
      <c r="AD659" s="1092">
        <v>0</v>
      </c>
      <c r="AE659" s="1092">
        <v>0</v>
      </c>
      <c r="AF659" s="1092">
        <v>0</v>
      </c>
      <c r="AG659" s="1092">
        <v>0</v>
      </c>
      <c r="AH659" s="1092">
        <v>0</v>
      </c>
      <c r="AI659" s="1093">
        <f t="shared" si="10"/>
        <v>1</v>
      </c>
      <c r="AJ659" s="1094" t="s">
        <v>984</v>
      </c>
      <c r="AK659" s="1094" t="s">
        <v>964</v>
      </c>
      <c r="AL659" s="1094" t="s">
        <v>965</v>
      </c>
      <c r="AM659" s="1095" t="s">
        <v>1944</v>
      </c>
      <c r="AN659" s="1006" t="s">
        <v>293</v>
      </c>
      <c r="AO659" s="1006" t="s">
        <v>4785</v>
      </c>
      <c r="AP659" s="1302">
        <v>2</v>
      </c>
      <c r="AQ659" s="1064" t="s">
        <v>978</v>
      </c>
      <c r="AR659" s="1097" t="s">
        <v>184</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961</v>
      </c>
      <c r="CE659" s="1107" t="s">
        <v>961</v>
      </c>
      <c r="CF659" s="1107" t="s">
        <v>961</v>
      </c>
      <c r="CG659" s="1107" t="s">
        <v>961</v>
      </c>
      <c r="CH659" s="1108" t="s">
        <v>961</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1015</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178</v>
      </c>
      <c r="Z660" s="1090" t="s">
        <v>4666</v>
      </c>
      <c r="AA660" s="1091">
        <v>0</v>
      </c>
      <c r="AB660" s="1092">
        <v>1</v>
      </c>
      <c r="AC660" s="1092">
        <v>0</v>
      </c>
      <c r="AD660" s="1092">
        <v>0</v>
      </c>
      <c r="AE660" s="1092">
        <v>0</v>
      </c>
      <c r="AF660" s="1092">
        <v>0</v>
      </c>
      <c r="AG660" s="1092">
        <v>0</v>
      </c>
      <c r="AH660" s="1092">
        <v>0</v>
      </c>
      <c r="AI660" s="1093">
        <f t="shared" si="10"/>
        <v>1</v>
      </c>
      <c r="AJ660" s="1094" t="s">
        <v>984</v>
      </c>
      <c r="AK660" s="1094" t="s">
        <v>964</v>
      </c>
      <c r="AL660" s="1094" t="s">
        <v>965</v>
      </c>
      <c r="AM660" s="1095" t="s">
        <v>2103</v>
      </c>
      <c r="AN660" s="1006" t="s">
        <v>2204</v>
      </c>
      <c r="AO660" s="1006" t="s">
        <v>4786</v>
      </c>
      <c r="AP660" s="1302">
        <v>1</v>
      </c>
      <c r="AQ660" s="1064" t="s">
        <v>978</v>
      </c>
      <c r="AR660" s="1097" t="s">
        <v>178</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961</v>
      </c>
      <c r="CE660" s="1107" t="s">
        <v>961</v>
      </c>
      <c r="CF660" s="1107" t="s">
        <v>961</v>
      </c>
      <c r="CG660" s="1107" t="s">
        <v>961</v>
      </c>
      <c r="CH660" s="1108" t="s">
        <v>961</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1015</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988</v>
      </c>
      <c r="AK661" s="1055" t="s">
        <v>964</v>
      </c>
      <c r="AL661" s="1414" t="s">
        <v>977</v>
      </c>
      <c r="AM661" s="1056" t="s">
        <v>2083</v>
      </c>
      <c r="AN661" s="1050" t="s">
        <v>2147</v>
      </c>
      <c r="AO661" s="1050" t="s">
        <v>4783</v>
      </c>
      <c r="AP661" s="1068">
        <v>1</v>
      </c>
      <c r="AQ661" s="821" t="s">
        <v>966</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961</v>
      </c>
      <c r="CE661" s="1073" t="s">
        <v>961</v>
      </c>
      <c r="CF661" s="1073" t="s">
        <v>961</v>
      </c>
      <c r="CG661" s="1073" t="s">
        <v>961</v>
      </c>
      <c r="CH661" s="1074" t="s">
        <v>961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1015</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988</v>
      </c>
      <c r="AK662" s="1094" t="s">
        <v>964</v>
      </c>
      <c r="AL662" s="1094" t="s">
        <v>965</v>
      </c>
      <c r="AM662" s="1095" t="s">
        <v>2178</v>
      </c>
      <c r="AN662" s="1006" t="s">
        <v>410</v>
      </c>
      <c r="AO662" s="1006" t="s">
        <v>4790</v>
      </c>
      <c r="AP662" s="821">
        <v>2</v>
      </c>
      <c r="AQ662" s="1064" t="s">
        <v>978</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customHeight="1">
      <c r="A663" s="1085" t="s">
        <v>1015</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988</v>
      </c>
      <c r="AK663" s="1094" t="s">
        <v>964</v>
      </c>
      <c r="AL663" s="1094" t="s">
        <v>965</v>
      </c>
      <c r="AM663" s="1095" t="s">
        <v>1923</v>
      </c>
      <c r="AN663" s="1006" t="s">
        <v>991</v>
      </c>
      <c r="AO663" s="1006" t="s">
        <v>4677</v>
      </c>
      <c r="AP663" s="821">
        <v>0</v>
      </c>
      <c r="AQ663" s="1064" t="s">
        <v>978</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customHeight="1">
      <c r="A664" s="1085" t="s">
        <v>1015</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988</v>
      </c>
      <c r="AK664" s="1094" t="s">
        <v>964</v>
      </c>
      <c r="AL664" s="1094" t="s">
        <v>965</v>
      </c>
      <c r="AM664" s="1095" t="s">
        <v>2016</v>
      </c>
      <c r="AN664" s="1006" t="s">
        <v>2204</v>
      </c>
      <c r="AO664" s="1006" t="s">
        <v>4788</v>
      </c>
      <c r="AP664" s="821">
        <v>0</v>
      </c>
      <c r="AQ664" s="1064" t="s">
        <v>978</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customHeight="1">
      <c r="A665" s="1085" t="s">
        <v>1015</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988</v>
      </c>
      <c r="AK665" s="1094" t="s">
        <v>964</v>
      </c>
      <c r="AL665" s="1094" t="s">
        <v>965</v>
      </c>
      <c r="AM665" s="1095" t="s">
        <v>1923</v>
      </c>
      <c r="AN665" s="1006" t="s">
        <v>991</v>
      </c>
      <c r="AO665" s="1006" t="s">
        <v>4684</v>
      </c>
      <c r="AP665" s="821">
        <v>0</v>
      </c>
      <c r="AQ665" s="1064" t="s">
        <v>966</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customHeight="1">
      <c r="A666" s="1042" t="s">
        <v>1015</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689</v>
      </c>
      <c r="Z666" s="1051" t="s">
        <v>4686</v>
      </c>
      <c r="AA666" s="1052">
        <v>0</v>
      </c>
      <c r="AB666" s="1053">
        <v>0</v>
      </c>
      <c r="AC666" s="1053">
        <v>1</v>
      </c>
      <c r="AD666" s="1053">
        <v>0</v>
      </c>
      <c r="AE666" s="1053">
        <v>0</v>
      </c>
      <c r="AF666" s="1053">
        <v>0</v>
      </c>
      <c r="AG666" s="1053">
        <v>0</v>
      </c>
      <c r="AH666" s="1053">
        <v>0</v>
      </c>
      <c r="AI666" s="1054">
        <f t="shared" si="10"/>
        <v>1</v>
      </c>
      <c r="AJ666" s="1055" t="s">
        <v>988</v>
      </c>
      <c r="AK666" s="1055" t="s">
        <v>964</v>
      </c>
      <c r="AL666" s="1055" t="s">
        <v>965</v>
      </c>
      <c r="AM666" s="1056" t="s">
        <v>689</v>
      </c>
      <c r="AN666" s="1050" t="s">
        <v>2204</v>
      </c>
      <c r="AO666" s="1050" t="s">
        <v>4798</v>
      </c>
      <c r="AP666" s="1068">
        <v>2</v>
      </c>
      <c r="AQ666" s="1068" t="s">
        <v>978</v>
      </c>
      <c r="AR666" s="1059" t="s">
        <v>689</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961</v>
      </c>
      <c r="CE666" s="1073" t="s">
        <v>961</v>
      </c>
      <c r="CF666" s="1073" t="s">
        <v>961</v>
      </c>
      <c r="CG666" s="1073" t="s">
        <v>961</v>
      </c>
      <c r="CH666" s="1074" t="s">
        <v>961</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1015</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687</v>
      </c>
      <c r="Z667" s="1051" t="s">
        <v>4689</v>
      </c>
      <c r="AA667" s="1052">
        <v>0</v>
      </c>
      <c r="AB667" s="1053">
        <v>0</v>
      </c>
      <c r="AC667" s="1053">
        <v>1</v>
      </c>
      <c r="AD667" s="1053">
        <v>0</v>
      </c>
      <c r="AE667" s="1053">
        <v>0</v>
      </c>
      <c r="AF667" s="1053">
        <v>0</v>
      </c>
      <c r="AG667" s="1053">
        <v>0</v>
      </c>
      <c r="AH667" s="1053">
        <v>0</v>
      </c>
      <c r="AI667" s="1054">
        <f t="shared" si="10"/>
        <v>1</v>
      </c>
      <c r="AJ667" s="1055" t="s">
        <v>988</v>
      </c>
      <c r="AK667" s="1055" t="s">
        <v>964</v>
      </c>
      <c r="AL667" s="1055" t="s">
        <v>965</v>
      </c>
      <c r="AM667" s="1056" t="s">
        <v>2087</v>
      </c>
      <c r="AN667" s="1050" t="s">
        <v>2204</v>
      </c>
      <c r="AO667" s="1050" t="s">
        <v>4477</v>
      </c>
      <c r="AP667" s="1068">
        <v>2</v>
      </c>
      <c r="AQ667" s="1068" t="s">
        <v>978</v>
      </c>
      <c r="AR667" s="1059" t="s">
        <v>687</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961</v>
      </c>
      <c r="CE667" s="1073" t="s">
        <v>961</v>
      </c>
      <c r="CF667" s="1073" t="s">
        <v>961</v>
      </c>
      <c r="CG667" s="1073" t="s">
        <v>961</v>
      </c>
      <c r="CH667" s="1074" t="s">
        <v>961</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1015</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1016</v>
      </c>
      <c r="Z668" s="1090" t="s">
        <v>4692</v>
      </c>
      <c r="AA668" s="1091">
        <v>0</v>
      </c>
      <c r="AB668" s="1092">
        <v>0.05</v>
      </c>
      <c r="AC668" s="1092">
        <v>0.95</v>
      </c>
      <c r="AD668" s="1092">
        <v>0</v>
      </c>
      <c r="AE668" s="1092">
        <v>0</v>
      </c>
      <c r="AF668" s="1092">
        <v>0</v>
      </c>
      <c r="AG668" s="1092">
        <v>0</v>
      </c>
      <c r="AH668" s="1092">
        <v>0</v>
      </c>
      <c r="AI668" s="1093">
        <f t="shared" si="10"/>
        <v>1</v>
      </c>
      <c r="AJ668" s="1094" t="s">
        <v>984</v>
      </c>
      <c r="AK668" s="1094" t="s">
        <v>964</v>
      </c>
      <c r="AL668" s="1094" t="s">
        <v>965</v>
      </c>
      <c r="AM668" s="1095" t="s">
        <v>2557</v>
      </c>
      <c r="AN668" s="1006" t="s">
        <v>293</v>
      </c>
      <c r="AO668" s="1006" t="s">
        <v>2472</v>
      </c>
      <c r="AP668" s="1302">
        <v>2</v>
      </c>
      <c r="AQ668" s="1064" t="s">
        <v>966</v>
      </c>
      <c r="AR668" s="1097" t="s">
        <v>1016</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961</v>
      </c>
      <c r="CE668" s="1107" t="s">
        <v>961</v>
      </c>
      <c r="CF668" s="1107" t="s">
        <v>961</v>
      </c>
      <c r="CG668" s="1107" t="s">
        <v>961</v>
      </c>
      <c r="CH668" s="1108" t="s">
        <v>961</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1015</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693</v>
      </c>
      <c r="Z669" s="1090" t="s">
        <v>4695</v>
      </c>
      <c r="AA669" s="1091">
        <v>0</v>
      </c>
      <c r="AB669" s="1092">
        <v>0</v>
      </c>
      <c r="AC669" s="1092">
        <v>1</v>
      </c>
      <c r="AD669" s="1092">
        <v>0</v>
      </c>
      <c r="AE669" s="1092">
        <v>0</v>
      </c>
      <c r="AF669" s="1092">
        <v>0</v>
      </c>
      <c r="AG669" s="1092">
        <v>0</v>
      </c>
      <c r="AH669" s="1092">
        <v>0</v>
      </c>
      <c r="AI669" s="1093">
        <f t="shared" si="10"/>
        <v>1</v>
      </c>
      <c r="AJ669" s="1094" t="s">
        <v>984</v>
      </c>
      <c r="AK669" s="1094" t="s">
        <v>964</v>
      </c>
      <c r="AL669" s="1094" t="s">
        <v>965</v>
      </c>
      <c r="AM669" s="1095" t="s">
        <v>2110</v>
      </c>
      <c r="AN669" s="1006" t="s">
        <v>2204</v>
      </c>
      <c r="AO669" s="1006" t="s">
        <v>4799</v>
      </c>
      <c r="AP669" s="1302">
        <v>2</v>
      </c>
      <c r="AQ669" s="1064" t="s">
        <v>978</v>
      </c>
      <c r="AR669" s="1097" t="s">
        <v>693</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961</v>
      </c>
      <c r="CE669" s="1107" t="s">
        <v>961</v>
      </c>
      <c r="CF669" s="1107" t="s">
        <v>961</v>
      </c>
      <c r="CG669" s="1107" t="s">
        <v>961</v>
      </c>
      <c r="CH669" s="1108" t="s">
        <v>961</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1015</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778</v>
      </c>
      <c r="Z670" s="1090" t="s">
        <v>4698</v>
      </c>
      <c r="AA670" s="1091">
        <v>0</v>
      </c>
      <c r="AB670" s="1092">
        <v>0</v>
      </c>
      <c r="AC670" s="1092">
        <v>1</v>
      </c>
      <c r="AD670" s="1092">
        <v>0</v>
      </c>
      <c r="AE670" s="1092">
        <v>0</v>
      </c>
      <c r="AF670" s="1092">
        <v>0</v>
      </c>
      <c r="AG670" s="1092">
        <v>0</v>
      </c>
      <c r="AH670" s="1092">
        <v>0</v>
      </c>
      <c r="AI670" s="1093">
        <f t="shared" si="10"/>
        <v>1</v>
      </c>
      <c r="AJ670" s="1094" t="s">
        <v>963</v>
      </c>
      <c r="AK670" s="1094" t="s">
        <v>1971</v>
      </c>
      <c r="AL670" s="1094" t="s">
        <v>1971</v>
      </c>
      <c r="AM670" s="1095" t="s">
        <v>1939</v>
      </c>
      <c r="AN670" s="1006" t="s">
        <v>293</v>
      </c>
      <c r="AO670" s="1006" t="s">
        <v>4784</v>
      </c>
      <c r="AP670" s="1302">
        <v>2</v>
      </c>
      <c r="AQ670" s="1064" t="s">
        <v>978</v>
      </c>
      <c r="AR670" s="1097" t="s">
        <v>778</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1015</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988</v>
      </c>
      <c r="AK671" s="1094" t="s">
        <v>964</v>
      </c>
      <c r="AL671" s="1094" t="s">
        <v>965</v>
      </c>
      <c r="AM671" s="1095" t="s">
        <v>2087</v>
      </c>
      <c r="AN671" s="1006" t="s">
        <v>2204</v>
      </c>
      <c r="AO671" s="1006" t="s">
        <v>4477</v>
      </c>
      <c r="AP671" s="821">
        <v>0</v>
      </c>
      <c r="AQ671" s="1064" t="s">
        <v>978</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customHeight="1">
      <c r="A672" s="1085" t="s">
        <v>1015</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988</v>
      </c>
      <c r="AK672" s="1094" t="s">
        <v>964</v>
      </c>
      <c r="AL672" s="1094" t="s">
        <v>965</v>
      </c>
      <c r="AM672" s="1095" t="s">
        <v>2135</v>
      </c>
      <c r="AN672" s="1006" t="s">
        <v>991</v>
      </c>
      <c r="AO672" s="1006" t="s">
        <v>4705</v>
      </c>
      <c r="AP672" s="821">
        <v>0</v>
      </c>
      <c r="AQ672" s="1064" t="s">
        <v>966</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customHeight="1">
      <c r="A673" s="1085" t="s">
        <v>1015</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988</v>
      </c>
      <c r="AK673" s="1094" t="s">
        <v>964</v>
      </c>
      <c r="AL673" s="1094" t="s">
        <v>965</v>
      </c>
      <c r="AM673" s="1095" t="s">
        <v>2135</v>
      </c>
      <c r="AN673" s="1006" t="s">
        <v>991</v>
      </c>
      <c r="AO673" s="1006" t="s">
        <v>4708</v>
      </c>
      <c r="AP673" s="821">
        <v>0</v>
      </c>
      <c r="AQ673" s="1064" t="s">
        <v>966</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customHeight="1">
      <c r="A674" s="1085" t="s">
        <v>1015</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499</v>
      </c>
      <c r="Z674" s="1090" t="s">
        <v>4710</v>
      </c>
      <c r="AA674" s="1091">
        <v>1</v>
      </c>
      <c r="AB674" s="1092">
        <v>0</v>
      </c>
      <c r="AC674" s="1092">
        <v>0</v>
      </c>
      <c r="AD674" s="1092">
        <v>0</v>
      </c>
      <c r="AE674" s="1092">
        <v>0</v>
      </c>
      <c r="AF674" s="1092">
        <v>0</v>
      </c>
      <c r="AG674" s="1092">
        <v>0</v>
      </c>
      <c r="AH674" s="1092">
        <v>0</v>
      </c>
      <c r="AI674" s="1093">
        <f t="shared" si="10"/>
        <v>1</v>
      </c>
      <c r="AJ674" s="1094" t="s">
        <v>963</v>
      </c>
      <c r="AK674" s="1094" t="s">
        <v>1971</v>
      </c>
      <c r="AL674" s="1094" t="s">
        <v>1971</v>
      </c>
      <c r="AM674" s="1095" t="s">
        <v>1939</v>
      </c>
      <c r="AN674" s="1006" t="s">
        <v>293</v>
      </c>
      <c r="AO674" s="1006" t="s">
        <v>4784</v>
      </c>
      <c r="AP674" s="1302">
        <v>1</v>
      </c>
      <c r="AQ674" s="1064" t="s">
        <v>978</v>
      </c>
      <c r="AR674" s="1097" t="s">
        <v>499</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1015</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984</v>
      </c>
      <c r="AK675" s="1094" t="s">
        <v>964</v>
      </c>
      <c r="AL675" s="1094" t="s">
        <v>965</v>
      </c>
      <c r="AM675" s="1095" t="s">
        <v>711</v>
      </c>
      <c r="AN675" s="1006" t="s">
        <v>293</v>
      </c>
      <c r="AO675" s="1006" t="s">
        <v>4715</v>
      </c>
      <c r="AP675" s="821">
        <v>0</v>
      </c>
      <c r="AQ675" s="1064" t="s">
        <v>966</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customHeight="1">
      <c r="A676" s="1085" t="s">
        <v>1015</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963</v>
      </c>
      <c r="AK676" s="1094" t="s">
        <v>1971</v>
      </c>
      <c r="AL676" s="1094" t="s">
        <v>1971</v>
      </c>
      <c r="AM676" s="1095" t="s">
        <v>2161</v>
      </c>
      <c r="AN676" s="1006" t="s">
        <v>991</v>
      </c>
      <c r="AO676" s="1006" t="s">
        <v>4719</v>
      </c>
      <c r="AP676" s="821">
        <v>0</v>
      </c>
      <c r="AQ676" s="1064" t="s">
        <v>966</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customHeight="1">
      <c r="A677" s="1085" t="s">
        <v>1015</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963</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customHeight="1" thickBot="1">
      <c r="A678" s="1149" t="s">
        <v>1015</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658</v>
      </c>
      <c r="Z678" s="1155" t="s">
        <v>4722</v>
      </c>
      <c r="AA678" s="1156">
        <v>0</v>
      </c>
      <c r="AB678" s="1157">
        <v>0</v>
      </c>
      <c r="AC678" s="1157">
        <v>0</v>
      </c>
      <c r="AD678" s="1157">
        <v>0</v>
      </c>
      <c r="AE678" s="1157">
        <v>1</v>
      </c>
      <c r="AF678" s="1157">
        <v>0</v>
      </c>
      <c r="AG678" s="1157">
        <v>0</v>
      </c>
      <c r="AH678" s="1157">
        <v>0</v>
      </c>
      <c r="AI678" s="1158">
        <f t="shared" si="10"/>
        <v>1</v>
      </c>
      <c r="AJ678" s="1159" t="s">
        <v>963</v>
      </c>
      <c r="AK678" s="1159" t="s">
        <v>1971</v>
      </c>
      <c r="AL678" s="1159" t="s">
        <v>1971</v>
      </c>
      <c r="AM678" s="1160" t="s">
        <v>2698</v>
      </c>
      <c r="AN678" s="1161" t="s">
        <v>293</v>
      </c>
      <c r="AO678" s="1161" t="s">
        <v>4791</v>
      </c>
      <c r="AP678" s="1162">
        <v>1</v>
      </c>
      <c r="AQ678" s="1162" t="s">
        <v>966</v>
      </c>
      <c r="AR678" s="1163" t="s">
        <v>658</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79"/>
      <c r="BO678" s="1379"/>
      <c r="BP678" s="1379"/>
      <c r="BQ678" s="1379"/>
      <c r="BR678" s="1379"/>
      <c r="BS678" s="1380"/>
      <c r="BT678" s="1379"/>
      <c r="BU678" s="1379"/>
      <c r="BV678" s="1379"/>
      <c r="BW678" s="1381"/>
      <c r="BX678" s="1380"/>
      <c r="BY678" s="1379"/>
      <c r="BZ678" s="1379"/>
      <c r="CA678" s="1379"/>
      <c r="CB678" s="1381"/>
      <c r="CC678" s="1379"/>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4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12" style="1228" customWidth="1"/>
    <col min="6" max="6" width="13.3984375" style="1227" customWidth="1"/>
    <col min="7" max="7" width="12.3984375" style="1227" customWidth="1"/>
    <col min="8" max="8" width="45.3984375" style="1227" customWidth="1"/>
    <col min="9" max="9" width="9.09765625" style="1227" customWidth="1"/>
    <col min="10" max="10" width="12.09765625" style="1227" customWidth="1"/>
    <col min="11" max="11" width="17.69921875" style="1227" customWidth="1"/>
    <col min="12" max="12" width="95.59765625" style="122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32.4">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
      <c r="A2" s="1353" t="s">
        <v>4883</v>
      </c>
      <c r="B2" s="1506"/>
      <c r="D2" s="2151" t="s">
        <v>4884</v>
      </c>
      <c r="E2" s="2151"/>
      <c r="F2" s="1551"/>
      <c r="G2" s="1551"/>
      <c r="H2" s="1551"/>
      <c r="I2" s="1551"/>
      <c r="J2" s="1551"/>
      <c r="K2" s="1551"/>
      <c r="L2" s="2151"/>
    </row>
    <row r="3" spans="1:107" s="1353" customFormat="1" ht="16.5" customHeight="1">
      <c r="A3" s="1552"/>
      <c r="B3" s="1506" t="s">
        <v>4885</v>
      </c>
      <c r="D3" s="2150" t="s">
        <v>4886</v>
      </c>
      <c r="E3" s="2227" t="s">
        <v>4887</v>
      </c>
      <c r="F3" s="2228"/>
      <c r="G3" s="1551"/>
      <c r="H3" s="1551"/>
      <c r="I3" s="1551"/>
      <c r="J3" s="1551"/>
      <c r="K3" s="1551"/>
      <c r="L3" s="2151"/>
    </row>
    <row r="4" spans="1:107" s="1353" customFormat="1" ht="14.4">
      <c r="A4" s="1553"/>
      <c r="B4" s="1506" t="s">
        <v>4888</v>
      </c>
      <c r="D4" s="2150"/>
      <c r="E4" s="2150"/>
      <c r="F4" s="1551"/>
      <c r="G4" s="1551"/>
      <c r="H4" s="1551"/>
      <c r="I4" s="1551"/>
      <c r="J4" s="1551"/>
      <c r="K4" s="1551"/>
      <c r="L4" s="2151"/>
    </row>
    <row r="5" spans="1:107" s="1353" customFormat="1" ht="14.4">
      <c r="A5" s="1554"/>
      <c r="B5" s="1506" t="s">
        <v>4889</v>
      </c>
      <c r="D5" s="2150"/>
      <c r="E5" s="2150"/>
      <c r="F5" s="1551"/>
      <c r="G5" s="1551"/>
      <c r="H5" s="1551"/>
      <c r="I5" s="1551"/>
      <c r="J5" s="1551"/>
      <c r="K5" s="1551"/>
      <c r="L5" s="2151"/>
    </row>
    <row r="6" spans="1:107" s="1353" customFormat="1" ht="14.4">
      <c r="A6" s="1873"/>
      <c r="B6" s="1506" t="s">
        <v>4890</v>
      </c>
      <c r="D6" s="2151"/>
      <c r="E6" s="2151"/>
      <c r="F6" s="1551"/>
      <c r="G6" s="1551"/>
      <c r="H6" s="1551"/>
      <c r="I6" s="1551"/>
      <c r="J6" s="1551"/>
      <c r="K6" s="1551"/>
      <c r="L6" s="2151"/>
    </row>
    <row r="7" spans="1:107" s="1353" customFormat="1" ht="28.8">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4">
      <c r="A8" s="1550">
        <v>1</v>
      </c>
      <c r="B8" s="1560" t="s">
        <v>972</v>
      </c>
      <c r="C8" s="1561" t="s">
        <v>2071</v>
      </c>
      <c r="D8" s="1561" t="s">
        <v>4902</v>
      </c>
      <c r="E8" s="1561" t="s">
        <v>4903</v>
      </c>
      <c r="F8" s="1550" t="s">
        <v>4904</v>
      </c>
      <c r="G8" s="1550">
        <v>77</v>
      </c>
      <c r="H8" s="1550" t="s">
        <v>1859</v>
      </c>
      <c r="I8" s="1550" t="s">
        <v>985</v>
      </c>
      <c r="J8" s="1562">
        <v>2</v>
      </c>
      <c r="K8" s="1562">
        <v>1.5</v>
      </c>
      <c r="L8" s="1561" t="s">
        <v>4905</v>
      </c>
      <c r="M8" s="1563">
        <v>44287</v>
      </c>
    </row>
    <row r="9" spans="1:107" s="1353" customFormat="1" ht="14.4">
      <c r="A9" s="1550">
        <v>2</v>
      </c>
      <c r="B9" s="1560" t="s">
        <v>972</v>
      </c>
      <c r="C9" s="1561" t="s">
        <v>2071</v>
      </c>
      <c r="D9" s="1561" t="s">
        <v>4902</v>
      </c>
      <c r="E9" s="1561" t="s">
        <v>4903</v>
      </c>
      <c r="F9" s="1550" t="s">
        <v>4904</v>
      </c>
      <c r="G9" s="1550">
        <v>77</v>
      </c>
      <c r="H9" s="1550" t="s">
        <v>1859</v>
      </c>
      <c r="I9" s="1550" t="s">
        <v>958</v>
      </c>
      <c r="J9" s="1562">
        <v>2</v>
      </c>
      <c r="K9" s="1562">
        <v>1.5</v>
      </c>
      <c r="L9" s="1561" t="s">
        <v>4905</v>
      </c>
      <c r="M9" s="1563">
        <v>44287</v>
      </c>
    </row>
    <row r="10" spans="1:107" s="1353" customFormat="1" ht="14.4">
      <c r="A10" s="1550">
        <v>3</v>
      </c>
      <c r="B10" s="1560" t="s">
        <v>972</v>
      </c>
      <c r="C10" s="1561" t="s">
        <v>2071</v>
      </c>
      <c r="D10" s="1561" t="s">
        <v>4902</v>
      </c>
      <c r="E10" s="1561" t="s">
        <v>4903</v>
      </c>
      <c r="F10" s="1550" t="s">
        <v>4904</v>
      </c>
      <c r="G10" s="1550">
        <v>77</v>
      </c>
      <c r="H10" s="1550" t="s">
        <v>1859</v>
      </c>
      <c r="I10" s="1550" t="s">
        <v>970</v>
      </c>
      <c r="J10" s="1562">
        <v>2</v>
      </c>
      <c r="K10" s="1562">
        <v>1.5</v>
      </c>
      <c r="L10" s="1561" t="s">
        <v>4905</v>
      </c>
      <c r="M10" s="1563">
        <v>44287</v>
      </c>
    </row>
    <row r="11" spans="1:107" s="1353" customFormat="1" ht="14.4">
      <c r="A11" s="1550">
        <v>4</v>
      </c>
      <c r="B11" s="1560" t="s">
        <v>972</v>
      </c>
      <c r="C11" s="1561" t="s">
        <v>2078</v>
      </c>
      <c r="D11" s="1561" t="s">
        <v>629</v>
      </c>
      <c r="E11" s="1561" t="s">
        <v>4903</v>
      </c>
      <c r="F11" s="1550" t="s">
        <v>4904</v>
      </c>
      <c r="G11" s="1550">
        <v>92</v>
      </c>
      <c r="H11" s="1550" t="s">
        <v>1862</v>
      </c>
      <c r="I11" s="1550" t="s">
        <v>968</v>
      </c>
      <c r="J11" s="1562" t="s">
        <v>4797</v>
      </c>
      <c r="K11" s="1562" t="s">
        <v>4906</v>
      </c>
      <c r="L11" s="1561" t="s">
        <v>4907</v>
      </c>
      <c r="M11" s="1563">
        <v>44287</v>
      </c>
    </row>
    <row r="12" spans="1:107" s="1353" customFormat="1" ht="14.4">
      <c r="A12" s="1550">
        <v>5</v>
      </c>
      <c r="B12" s="1560" t="s">
        <v>972</v>
      </c>
      <c r="C12" s="1561" t="s">
        <v>2078</v>
      </c>
      <c r="D12" s="1561" t="s">
        <v>629</v>
      </c>
      <c r="E12" s="1561" t="s">
        <v>4903</v>
      </c>
      <c r="F12" s="1550" t="s">
        <v>4904</v>
      </c>
      <c r="G12" s="1550">
        <v>92</v>
      </c>
      <c r="H12" s="1550" t="s">
        <v>1862</v>
      </c>
      <c r="I12" s="1550" t="s">
        <v>980</v>
      </c>
      <c r="J12" s="1562" t="s">
        <v>4797</v>
      </c>
      <c r="K12" s="1562" t="s">
        <v>4906</v>
      </c>
      <c r="L12" s="1561" t="s">
        <v>4907</v>
      </c>
      <c r="M12" s="1563">
        <v>44287</v>
      </c>
    </row>
    <row r="13" spans="1:107" s="1353" customFormat="1" ht="14.4">
      <c r="A13" s="1550">
        <v>6</v>
      </c>
      <c r="B13" s="1560" t="s">
        <v>972</v>
      </c>
      <c r="C13" s="1561" t="s">
        <v>2078</v>
      </c>
      <c r="D13" s="1561" t="s">
        <v>629</v>
      </c>
      <c r="E13" s="1561" t="s">
        <v>4903</v>
      </c>
      <c r="F13" s="1550" t="s">
        <v>4904</v>
      </c>
      <c r="G13" s="1550">
        <v>92</v>
      </c>
      <c r="H13" s="1550" t="s">
        <v>1862</v>
      </c>
      <c r="I13" s="1550" t="s">
        <v>985</v>
      </c>
      <c r="J13" s="1562" t="s">
        <v>4797</v>
      </c>
      <c r="K13" s="1562" t="s">
        <v>4906</v>
      </c>
      <c r="L13" s="1561" t="s">
        <v>4907</v>
      </c>
      <c r="M13" s="1563">
        <v>44287</v>
      </c>
    </row>
    <row r="14" spans="1:107" s="1353" customFormat="1" ht="14.4">
      <c r="A14" s="1550">
        <v>7</v>
      </c>
      <c r="B14" s="1560" t="s">
        <v>972</v>
      </c>
      <c r="C14" s="1561" t="s">
        <v>2078</v>
      </c>
      <c r="D14" s="1561" t="s">
        <v>629</v>
      </c>
      <c r="E14" s="1561" t="s">
        <v>4903</v>
      </c>
      <c r="F14" s="1550" t="s">
        <v>4904</v>
      </c>
      <c r="G14" s="1550">
        <v>92</v>
      </c>
      <c r="H14" s="1550" t="s">
        <v>1862</v>
      </c>
      <c r="I14" s="1550" t="s">
        <v>958</v>
      </c>
      <c r="J14" s="1562" t="s">
        <v>4797</v>
      </c>
      <c r="K14" s="1562" t="s">
        <v>4906</v>
      </c>
      <c r="L14" s="1561" t="s">
        <v>4907</v>
      </c>
      <c r="M14" s="1563">
        <v>44287</v>
      </c>
    </row>
    <row r="15" spans="1:107" s="1353" customFormat="1" ht="14.4">
      <c r="A15" s="1550">
        <v>8</v>
      </c>
      <c r="B15" s="1560" t="s">
        <v>972</v>
      </c>
      <c r="C15" s="1561" t="s">
        <v>2078</v>
      </c>
      <c r="D15" s="1561" t="s">
        <v>629</v>
      </c>
      <c r="E15" s="1561" t="s">
        <v>4903</v>
      </c>
      <c r="F15" s="1550" t="s">
        <v>4904</v>
      </c>
      <c r="G15" s="1550">
        <v>92</v>
      </c>
      <c r="H15" s="1550" t="s">
        <v>1862</v>
      </c>
      <c r="I15" s="1550" t="s">
        <v>970</v>
      </c>
      <c r="J15" s="1562" t="s">
        <v>4797</v>
      </c>
      <c r="K15" s="1562" t="s">
        <v>4906</v>
      </c>
      <c r="L15" s="1561" t="s">
        <v>4907</v>
      </c>
      <c r="M15" s="1563">
        <v>44287</v>
      </c>
    </row>
    <row r="16" spans="1:107" s="1353" customFormat="1" ht="43.2">
      <c r="A16" s="1550">
        <v>9</v>
      </c>
      <c r="B16" s="1560" t="s">
        <v>972</v>
      </c>
      <c r="C16" s="1561" t="s">
        <v>2078</v>
      </c>
      <c r="D16" s="1561" t="s">
        <v>629</v>
      </c>
      <c r="E16" s="1561" t="s">
        <v>4903</v>
      </c>
      <c r="F16" s="1550" t="s">
        <v>4904</v>
      </c>
      <c r="G16" s="1550">
        <v>97</v>
      </c>
      <c r="H16" s="1564" t="s">
        <v>1908</v>
      </c>
      <c r="I16" s="1550" t="s">
        <v>1037</v>
      </c>
      <c r="J16" s="1562">
        <v>-0.28038099999999999</v>
      </c>
      <c r="K16" s="1562">
        <v>-0.7</v>
      </c>
      <c r="L16" s="1561" t="s">
        <v>4908</v>
      </c>
      <c r="M16" s="1563">
        <v>44287</v>
      </c>
    </row>
    <row r="17" spans="1:13" s="1353" customFormat="1" ht="14.4">
      <c r="A17" s="1550">
        <v>10</v>
      </c>
      <c r="B17" s="1560" t="s">
        <v>972</v>
      </c>
      <c r="C17" s="1561" t="s">
        <v>2078</v>
      </c>
      <c r="D17" s="1561" t="s">
        <v>629</v>
      </c>
      <c r="E17" s="1561" t="s">
        <v>4903</v>
      </c>
      <c r="F17" s="1550" t="s">
        <v>4904</v>
      </c>
      <c r="G17" s="1550">
        <v>100</v>
      </c>
      <c r="H17" s="1550" t="s">
        <v>1910</v>
      </c>
      <c r="I17" s="1550" t="s">
        <v>1037</v>
      </c>
      <c r="J17" s="1562">
        <v>-0.78239599999999998</v>
      </c>
      <c r="K17" s="1562" t="s">
        <v>4906</v>
      </c>
      <c r="L17" s="1561" t="s">
        <v>4909</v>
      </c>
      <c r="M17" s="1563">
        <v>44287</v>
      </c>
    </row>
    <row r="18" spans="1:13" s="1353" customFormat="1" ht="14.4">
      <c r="A18" s="1550">
        <v>11</v>
      </c>
      <c r="B18" s="1560" t="s">
        <v>972</v>
      </c>
      <c r="C18" s="1561" t="s">
        <v>2078</v>
      </c>
      <c r="D18" s="1561" t="s">
        <v>629</v>
      </c>
      <c r="E18" s="1561" t="s">
        <v>4903</v>
      </c>
      <c r="F18" s="1550" t="s">
        <v>4904</v>
      </c>
      <c r="G18" s="1550">
        <v>104</v>
      </c>
      <c r="H18" s="1550" t="s">
        <v>1914</v>
      </c>
      <c r="I18" s="1550" t="s">
        <v>1037</v>
      </c>
      <c r="J18" s="1562">
        <v>0.78239599999999998</v>
      </c>
      <c r="K18" s="1562" t="s">
        <v>4906</v>
      </c>
      <c r="L18" s="1561" t="s">
        <v>4909</v>
      </c>
      <c r="M18" s="1563">
        <v>44287</v>
      </c>
    </row>
    <row r="19" spans="1:13" s="1353" customFormat="1" ht="14.4">
      <c r="A19" s="1550">
        <v>12</v>
      </c>
      <c r="B19" s="1560" t="s">
        <v>972</v>
      </c>
      <c r="C19" s="1561" t="s">
        <v>2089</v>
      </c>
      <c r="D19" s="1561" t="s">
        <v>689</v>
      </c>
      <c r="E19" s="1561" t="s">
        <v>4903</v>
      </c>
      <c r="F19" s="1550" t="s">
        <v>4904</v>
      </c>
      <c r="G19" s="1550">
        <v>72</v>
      </c>
      <c r="H19" s="1550" t="s">
        <v>1858</v>
      </c>
      <c r="I19" s="1550" t="s">
        <v>968</v>
      </c>
      <c r="J19" s="1562">
        <v>36.756999999999998</v>
      </c>
      <c r="K19" s="1562">
        <v>41.6</v>
      </c>
      <c r="L19" s="1561" t="s">
        <v>4910</v>
      </c>
      <c r="M19" s="1563">
        <v>44287</v>
      </c>
    </row>
    <row r="20" spans="1:13" s="1353" customFormat="1" ht="14.4">
      <c r="A20" s="1550">
        <v>13</v>
      </c>
      <c r="B20" s="1560" t="s">
        <v>972</v>
      </c>
      <c r="C20" s="1561" t="s">
        <v>2089</v>
      </c>
      <c r="D20" s="1561" t="s">
        <v>689</v>
      </c>
      <c r="E20" s="1561" t="s">
        <v>4903</v>
      </c>
      <c r="F20" s="1550" t="s">
        <v>4904</v>
      </c>
      <c r="G20" s="1550">
        <v>72</v>
      </c>
      <c r="H20" s="1550" t="s">
        <v>1858</v>
      </c>
      <c r="I20" s="1550" t="s">
        <v>980</v>
      </c>
      <c r="J20" s="1562">
        <v>36.756999999999998</v>
      </c>
      <c r="K20" s="1562">
        <v>41.6</v>
      </c>
      <c r="L20" s="1561" t="s">
        <v>4910</v>
      </c>
      <c r="M20" s="1563">
        <v>44287</v>
      </c>
    </row>
    <row r="21" spans="1:13" s="1353" customFormat="1" ht="14.4">
      <c r="A21" s="1550">
        <v>14</v>
      </c>
      <c r="B21" s="1560" t="s">
        <v>972</v>
      </c>
      <c r="C21" s="1561" t="s">
        <v>2089</v>
      </c>
      <c r="D21" s="1561" t="s">
        <v>689</v>
      </c>
      <c r="E21" s="1561" t="s">
        <v>4903</v>
      </c>
      <c r="F21" s="1550" t="s">
        <v>4904</v>
      </c>
      <c r="G21" s="1550">
        <v>72</v>
      </c>
      <c r="H21" s="1550" t="s">
        <v>1858</v>
      </c>
      <c r="I21" s="1550" t="s">
        <v>985</v>
      </c>
      <c r="J21" s="1562">
        <v>36.756999999999998</v>
      </c>
      <c r="K21" s="1562">
        <v>41.6</v>
      </c>
      <c r="L21" s="1561" t="s">
        <v>4910</v>
      </c>
      <c r="M21" s="1563">
        <v>44287</v>
      </c>
    </row>
    <row r="22" spans="1:13" s="1353" customFormat="1" ht="14.4">
      <c r="A22" s="1550">
        <v>15</v>
      </c>
      <c r="B22" s="1560" t="s">
        <v>972</v>
      </c>
      <c r="C22" s="1561" t="s">
        <v>2089</v>
      </c>
      <c r="D22" s="1561" t="s">
        <v>689</v>
      </c>
      <c r="E22" s="1561" t="s">
        <v>4903</v>
      </c>
      <c r="F22" s="1550" t="s">
        <v>4904</v>
      </c>
      <c r="G22" s="1550">
        <v>72</v>
      </c>
      <c r="H22" s="1550" t="s">
        <v>1858</v>
      </c>
      <c r="I22" s="1550" t="s">
        <v>958</v>
      </c>
      <c r="J22" s="1562">
        <v>36.756999999999998</v>
      </c>
      <c r="K22" s="1562">
        <v>41.6</v>
      </c>
      <c r="L22" s="1561" t="s">
        <v>4910</v>
      </c>
      <c r="M22" s="1563">
        <v>44287</v>
      </c>
    </row>
    <row r="23" spans="1:13" s="1353" customFormat="1" ht="14.4">
      <c r="A23" s="1550">
        <v>16</v>
      </c>
      <c r="B23" s="1560" t="s">
        <v>972</v>
      </c>
      <c r="C23" s="1561" t="s">
        <v>2089</v>
      </c>
      <c r="D23" s="1561" t="s">
        <v>689</v>
      </c>
      <c r="E23" s="1561" t="s">
        <v>4903</v>
      </c>
      <c r="F23" s="1550" t="s">
        <v>4904</v>
      </c>
      <c r="G23" s="1550">
        <v>72</v>
      </c>
      <c r="H23" s="1550" t="s">
        <v>1858</v>
      </c>
      <c r="I23" s="1550" t="s">
        <v>970</v>
      </c>
      <c r="J23" s="1562">
        <v>36.756999999999998</v>
      </c>
      <c r="K23" s="1562">
        <v>41.6</v>
      </c>
      <c r="L23" s="1561" t="s">
        <v>4910</v>
      </c>
      <c r="M23" s="1563">
        <v>44287</v>
      </c>
    </row>
    <row r="24" spans="1:13" s="1353" customFormat="1" ht="14.4">
      <c r="A24" s="1550">
        <v>17</v>
      </c>
      <c r="B24" s="1560" t="s">
        <v>972</v>
      </c>
      <c r="C24" s="1561" t="s">
        <v>2100</v>
      </c>
      <c r="D24" s="1561" t="s">
        <v>4911</v>
      </c>
      <c r="E24" s="1561" t="s">
        <v>4903</v>
      </c>
      <c r="F24" s="1550" t="s">
        <v>4904</v>
      </c>
      <c r="G24" s="1550">
        <v>77</v>
      </c>
      <c r="H24" s="1550" t="s">
        <v>1859</v>
      </c>
      <c r="I24" s="1550" t="s">
        <v>968</v>
      </c>
      <c r="J24" s="1562" t="s">
        <v>4906</v>
      </c>
      <c r="K24" s="1562">
        <v>150.1</v>
      </c>
      <c r="L24" s="1561" t="s">
        <v>4912</v>
      </c>
      <c r="M24" s="1563">
        <v>44287</v>
      </c>
    </row>
    <row r="25" spans="1:13" s="1353" customFormat="1" ht="14.4">
      <c r="A25" s="1550">
        <v>18</v>
      </c>
      <c r="B25" s="1560" t="s">
        <v>972</v>
      </c>
      <c r="C25" s="1561" t="s">
        <v>2100</v>
      </c>
      <c r="D25" s="1561" t="s">
        <v>4911</v>
      </c>
      <c r="E25" s="1561" t="s">
        <v>4903</v>
      </c>
      <c r="F25" s="1550" t="s">
        <v>4904</v>
      </c>
      <c r="G25" s="1550">
        <v>77</v>
      </c>
      <c r="H25" s="1550" t="s">
        <v>1859</v>
      </c>
      <c r="I25" s="1550" t="s">
        <v>980</v>
      </c>
      <c r="J25" s="1562" t="s">
        <v>4906</v>
      </c>
      <c r="K25" s="1562">
        <v>148.1</v>
      </c>
      <c r="L25" s="1561" t="s">
        <v>4912</v>
      </c>
      <c r="M25" s="1563">
        <v>44287</v>
      </c>
    </row>
    <row r="26" spans="1:13" s="1353" customFormat="1" ht="14.4">
      <c r="A26" s="1550">
        <v>19</v>
      </c>
      <c r="B26" s="1560" t="s">
        <v>972</v>
      </c>
      <c r="C26" s="1561" t="s">
        <v>2100</v>
      </c>
      <c r="D26" s="1561" t="s">
        <v>4911</v>
      </c>
      <c r="E26" s="1561" t="s">
        <v>4903</v>
      </c>
      <c r="F26" s="1550" t="s">
        <v>4904</v>
      </c>
      <c r="G26" s="1550">
        <v>77</v>
      </c>
      <c r="H26" s="1550" t="s">
        <v>1859</v>
      </c>
      <c r="I26" s="1550" t="s">
        <v>985</v>
      </c>
      <c r="J26" s="1562" t="s">
        <v>4906</v>
      </c>
      <c r="K26" s="1562">
        <v>146.19999999999999</v>
      </c>
      <c r="L26" s="1561" t="s">
        <v>4912</v>
      </c>
      <c r="M26" s="1563">
        <v>44287</v>
      </c>
    </row>
    <row r="27" spans="1:13" s="1353" customFormat="1" ht="14.4">
      <c r="A27" s="1550">
        <v>20</v>
      </c>
      <c r="B27" s="1560" t="s">
        <v>972</v>
      </c>
      <c r="C27" s="1561" t="s">
        <v>2100</v>
      </c>
      <c r="D27" s="1561" t="s">
        <v>4911</v>
      </c>
      <c r="E27" s="1561" t="s">
        <v>4903</v>
      </c>
      <c r="F27" s="1550" t="s">
        <v>4904</v>
      </c>
      <c r="G27" s="1550">
        <v>77</v>
      </c>
      <c r="H27" s="1550" t="s">
        <v>1859</v>
      </c>
      <c r="I27" s="1550" t="s">
        <v>958</v>
      </c>
      <c r="J27" s="1562" t="s">
        <v>4906</v>
      </c>
      <c r="K27" s="1562">
        <v>144.19999999999999</v>
      </c>
      <c r="L27" s="1561" t="s">
        <v>4912</v>
      </c>
      <c r="M27" s="1563">
        <v>44287</v>
      </c>
    </row>
    <row r="28" spans="1:13" s="1353" customFormat="1" ht="14.4">
      <c r="A28" s="1550">
        <v>21</v>
      </c>
      <c r="B28" s="1560" t="s">
        <v>972</v>
      </c>
      <c r="C28" s="1561" t="s">
        <v>2100</v>
      </c>
      <c r="D28" s="1561" t="s">
        <v>4911</v>
      </c>
      <c r="E28" s="1561" t="s">
        <v>4903</v>
      </c>
      <c r="F28" s="1550" t="s">
        <v>4904</v>
      </c>
      <c r="G28" s="1550">
        <v>77</v>
      </c>
      <c r="H28" s="1550" t="s">
        <v>1859</v>
      </c>
      <c r="I28" s="1550" t="s">
        <v>970</v>
      </c>
      <c r="J28" s="1562" t="s">
        <v>4906</v>
      </c>
      <c r="K28" s="1562">
        <v>142.30000000000001</v>
      </c>
      <c r="L28" s="1561" t="s">
        <v>4912</v>
      </c>
      <c r="M28" s="1563">
        <v>44287</v>
      </c>
    </row>
    <row r="29" spans="1:13" s="1353" customFormat="1" ht="14.4">
      <c r="A29" s="1550">
        <v>22</v>
      </c>
      <c r="B29" s="1560" t="s">
        <v>972</v>
      </c>
      <c r="C29" s="1561" t="s">
        <v>2105</v>
      </c>
      <c r="D29" s="1561" t="s">
        <v>4913</v>
      </c>
      <c r="E29" s="1561" t="s">
        <v>4903</v>
      </c>
      <c r="F29" s="1550" t="s">
        <v>4904</v>
      </c>
      <c r="G29" s="1550">
        <v>77</v>
      </c>
      <c r="H29" s="1550" t="s">
        <v>1859</v>
      </c>
      <c r="I29" s="1550" t="s">
        <v>968</v>
      </c>
      <c r="J29" s="1562" t="s">
        <v>4906</v>
      </c>
      <c r="K29" s="1562">
        <v>2.81</v>
      </c>
      <c r="L29" s="1561" t="s">
        <v>4914</v>
      </c>
      <c r="M29" s="1563">
        <v>44287</v>
      </c>
    </row>
    <row r="30" spans="1:13" s="1353" customFormat="1" ht="14.4">
      <c r="A30" s="1550">
        <v>23</v>
      </c>
      <c r="B30" s="1560" t="s">
        <v>972</v>
      </c>
      <c r="C30" s="1561" t="s">
        <v>2105</v>
      </c>
      <c r="D30" s="1561" t="s">
        <v>4913</v>
      </c>
      <c r="E30" s="1561" t="s">
        <v>4903</v>
      </c>
      <c r="F30" s="1550" t="s">
        <v>4904</v>
      </c>
      <c r="G30" s="1550">
        <v>77</v>
      </c>
      <c r="H30" s="1550" t="s">
        <v>1859</v>
      </c>
      <c r="I30" s="1550" t="s">
        <v>980</v>
      </c>
      <c r="J30" s="1562" t="s">
        <v>4906</v>
      </c>
      <c r="K30" s="1562">
        <v>2.81</v>
      </c>
      <c r="L30" s="1561" t="s">
        <v>4914</v>
      </c>
      <c r="M30" s="1563">
        <v>44287</v>
      </c>
    </row>
    <row r="31" spans="1:13" s="1353" customFormat="1" ht="14.4">
      <c r="A31" s="1550">
        <v>24</v>
      </c>
      <c r="B31" s="1560" t="s">
        <v>972</v>
      </c>
      <c r="C31" s="1561" t="s">
        <v>2105</v>
      </c>
      <c r="D31" s="1561" t="s">
        <v>4913</v>
      </c>
      <c r="E31" s="1561" t="s">
        <v>4903</v>
      </c>
      <c r="F31" s="1550" t="s">
        <v>4904</v>
      </c>
      <c r="G31" s="1550">
        <v>77</v>
      </c>
      <c r="H31" s="1550" t="s">
        <v>1859</v>
      </c>
      <c r="I31" s="1550" t="s">
        <v>985</v>
      </c>
      <c r="J31" s="1562" t="s">
        <v>4906</v>
      </c>
      <c r="K31" s="1562">
        <v>2.81</v>
      </c>
      <c r="L31" s="1561" t="s">
        <v>4914</v>
      </c>
      <c r="M31" s="1563">
        <v>44287</v>
      </c>
    </row>
    <row r="32" spans="1:13" s="1353" customFormat="1" ht="14.4">
      <c r="A32" s="1550">
        <v>25</v>
      </c>
      <c r="B32" s="1560" t="s">
        <v>972</v>
      </c>
      <c r="C32" s="1561" t="s">
        <v>2105</v>
      </c>
      <c r="D32" s="1561" t="s">
        <v>4913</v>
      </c>
      <c r="E32" s="1561" t="s">
        <v>4903</v>
      </c>
      <c r="F32" s="1550" t="s">
        <v>4904</v>
      </c>
      <c r="G32" s="1550">
        <v>77</v>
      </c>
      <c r="H32" s="1550" t="s">
        <v>1859</v>
      </c>
      <c r="I32" s="1550" t="s">
        <v>958</v>
      </c>
      <c r="J32" s="1562" t="s">
        <v>4906</v>
      </c>
      <c r="K32" s="1562">
        <v>2.81</v>
      </c>
      <c r="L32" s="1561" t="s">
        <v>4914</v>
      </c>
      <c r="M32" s="1563">
        <v>44287</v>
      </c>
    </row>
    <row r="33" spans="1:13" s="1353" customFormat="1" ht="14.4">
      <c r="A33" s="1550">
        <v>26</v>
      </c>
      <c r="B33" s="1560" t="s">
        <v>972</v>
      </c>
      <c r="C33" s="1561" t="s">
        <v>2105</v>
      </c>
      <c r="D33" s="1561" t="s">
        <v>4913</v>
      </c>
      <c r="E33" s="1561" t="s">
        <v>4903</v>
      </c>
      <c r="F33" s="1550" t="s">
        <v>4904</v>
      </c>
      <c r="G33" s="1550">
        <v>77</v>
      </c>
      <c r="H33" s="1550" t="s">
        <v>1859</v>
      </c>
      <c r="I33" s="1550" t="s">
        <v>970</v>
      </c>
      <c r="J33" s="1562" t="s">
        <v>4906</v>
      </c>
      <c r="K33" s="1562">
        <v>2.81</v>
      </c>
      <c r="L33" s="1561" t="s">
        <v>4914</v>
      </c>
      <c r="M33" s="1563">
        <v>44287</v>
      </c>
    </row>
    <row r="34" spans="1:13" s="1353" customFormat="1" ht="14.4">
      <c r="A34" s="1565">
        <v>27</v>
      </c>
      <c r="B34" s="1566" t="s">
        <v>972</v>
      </c>
      <c r="C34" s="1567" t="s">
        <v>2138</v>
      </c>
      <c r="D34" s="1567" t="s">
        <v>2139</v>
      </c>
      <c r="E34" s="1567" t="s">
        <v>788</v>
      </c>
      <c r="F34" s="1565" t="s">
        <v>4904</v>
      </c>
      <c r="G34" s="1565">
        <v>41</v>
      </c>
      <c r="H34" s="1565" t="s">
        <v>4915</v>
      </c>
      <c r="I34" s="1565" t="s">
        <v>968</v>
      </c>
      <c r="J34" s="1568">
        <v>-87</v>
      </c>
      <c r="K34" s="1568">
        <v>0</v>
      </c>
      <c r="L34" s="1567" t="s">
        <v>4916</v>
      </c>
      <c r="M34" s="1569">
        <v>44225</v>
      </c>
    </row>
    <row r="35" spans="1:13" s="1353" customFormat="1" ht="14.4">
      <c r="A35" s="1565">
        <v>28</v>
      </c>
      <c r="B35" s="1566" t="s">
        <v>972</v>
      </c>
      <c r="C35" s="1567" t="s">
        <v>2138</v>
      </c>
      <c r="D35" s="1567" t="s">
        <v>2139</v>
      </c>
      <c r="E35" s="1567" t="s">
        <v>788</v>
      </c>
      <c r="F35" s="1565" t="s">
        <v>4904</v>
      </c>
      <c r="G35" s="1565">
        <v>41</v>
      </c>
      <c r="H35" s="1565" t="s">
        <v>4915</v>
      </c>
      <c r="I35" s="1565" t="s">
        <v>980</v>
      </c>
      <c r="J35" s="1568">
        <v>-87</v>
      </c>
      <c r="K35" s="1568">
        <v>0</v>
      </c>
      <c r="L35" s="1567" t="s">
        <v>4916</v>
      </c>
      <c r="M35" s="1569">
        <v>44225</v>
      </c>
    </row>
    <row r="36" spans="1:13" s="1353" customFormat="1" ht="14.4">
      <c r="A36" s="1565">
        <v>29</v>
      </c>
      <c r="B36" s="1566" t="s">
        <v>972</v>
      </c>
      <c r="C36" s="1567" t="s">
        <v>2138</v>
      </c>
      <c r="D36" s="1567" t="s">
        <v>2139</v>
      </c>
      <c r="E36" s="1567" t="s">
        <v>788</v>
      </c>
      <c r="F36" s="1565" t="s">
        <v>4904</v>
      </c>
      <c r="G36" s="1565">
        <v>41</v>
      </c>
      <c r="H36" s="1565" t="s">
        <v>4915</v>
      </c>
      <c r="I36" s="1565" t="s">
        <v>985</v>
      </c>
      <c r="J36" s="1568">
        <v>-87</v>
      </c>
      <c r="K36" s="1568">
        <v>0</v>
      </c>
      <c r="L36" s="1567" t="s">
        <v>4916</v>
      </c>
      <c r="M36" s="1569">
        <v>44225</v>
      </c>
    </row>
    <row r="37" spans="1:13" s="1353" customFormat="1" ht="14.4">
      <c r="A37" s="1565">
        <v>30</v>
      </c>
      <c r="B37" s="1566" t="s">
        <v>972</v>
      </c>
      <c r="C37" s="1567" t="s">
        <v>2138</v>
      </c>
      <c r="D37" s="1567" t="s">
        <v>2139</v>
      </c>
      <c r="E37" s="1567" t="s">
        <v>788</v>
      </c>
      <c r="F37" s="1565" t="s">
        <v>4904</v>
      </c>
      <c r="G37" s="1565">
        <v>41</v>
      </c>
      <c r="H37" s="1565" t="s">
        <v>4915</v>
      </c>
      <c r="I37" s="1565" t="s">
        <v>958</v>
      </c>
      <c r="J37" s="1568">
        <v>-87</v>
      </c>
      <c r="K37" s="1568">
        <v>0</v>
      </c>
      <c r="L37" s="1567" t="s">
        <v>4916</v>
      </c>
      <c r="M37" s="1569">
        <v>44225</v>
      </c>
    </row>
    <row r="38" spans="1:13" s="1353" customFormat="1" ht="14.4">
      <c r="A38" s="1565">
        <v>31</v>
      </c>
      <c r="B38" s="1566" t="s">
        <v>972</v>
      </c>
      <c r="C38" s="1567" t="s">
        <v>2138</v>
      </c>
      <c r="D38" s="1567" t="s">
        <v>2139</v>
      </c>
      <c r="E38" s="1567" t="s">
        <v>788</v>
      </c>
      <c r="F38" s="1565" t="s">
        <v>4904</v>
      </c>
      <c r="G38" s="1565">
        <v>41</v>
      </c>
      <c r="H38" s="1565" t="s">
        <v>4915</v>
      </c>
      <c r="I38" s="1565" t="s">
        <v>970</v>
      </c>
      <c r="J38" s="1568">
        <v>-87</v>
      </c>
      <c r="K38" s="1568">
        <v>0</v>
      </c>
      <c r="L38" s="1567" t="s">
        <v>4916</v>
      </c>
      <c r="M38" s="1569">
        <v>44225</v>
      </c>
    </row>
    <row r="39" spans="1:13" s="1353" customFormat="1" ht="14.4">
      <c r="A39" s="1565">
        <v>32</v>
      </c>
      <c r="B39" s="1566" t="s">
        <v>972</v>
      </c>
      <c r="C39" s="1567" t="s">
        <v>2138</v>
      </c>
      <c r="D39" s="1567" t="s">
        <v>2139</v>
      </c>
      <c r="E39" s="1567" t="s">
        <v>788</v>
      </c>
      <c r="F39" s="1565" t="s">
        <v>4904</v>
      </c>
      <c r="G39" s="1565">
        <v>72</v>
      </c>
      <c r="H39" s="1565" t="s">
        <v>1858</v>
      </c>
      <c r="I39" s="1565" t="s">
        <v>968</v>
      </c>
      <c r="J39" s="1568">
        <v>2634</v>
      </c>
      <c r="K39" s="1568">
        <v>648</v>
      </c>
      <c r="L39" s="1567" t="s">
        <v>4916</v>
      </c>
      <c r="M39" s="1569">
        <v>44225</v>
      </c>
    </row>
    <row r="40" spans="1:13" s="1353" customFormat="1" ht="14.4">
      <c r="A40" s="1565">
        <v>33</v>
      </c>
      <c r="B40" s="1566" t="s">
        <v>972</v>
      </c>
      <c r="C40" s="1567" t="s">
        <v>2138</v>
      </c>
      <c r="D40" s="1567" t="s">
        <v>2139</v>
      </c>
      <c r="E40" s="1567" t="s">
        <v>788</v>
      </c>
      <c r="F40" s="1565" t="s">
        <v>4904</v>
      </c>
      <c r="G40" s="1565">
        <v>72</v>
      </c>
      <c r="H40" s="1565" t="s">
        <v>1858</v>
      </c>
      <c r="I40" s="1565" t="s">
        <v>980</v>
      </c>
      <c r="J40" s="1568">
        <v>2634</v>
      </c>
      <c r="K40" s="1568">
        <v>648</v>
      </c>
      <c r="L40" s="1567" t="s">
        <v>4916</v>
      </c>
      <c r="M40" s="1569">
        <v>44225</v>
      </c>
    </row>
    <row r="41" spans="1:13" s="1353" customFormat="1" ht="14.4">
      <c r="A41" s="1565">
        <v>34</v>
      </c>
      <c r="B41" s="1566" t="s">
        <v>972</v>
      </c>
      <c r="C41" s="1567" t="s">
        <v>2138</v>
      </c>
      <c r="D41" s="1567" t="s">
        <v>2139</v>
      </c>
      <c r="E41" s="1567" t="s">
        <v>788</v>
      </c>
      <c r="F41" s="1565" t="s">
        <v>4904</v>
      </c>
      <c r="G41" s="1565">
        <v>72</v>
      </c>
      <c r="H41" s="1565" t="s">
        <v>1858</v>
      </c>
      <c r="I41" s="1565" t="s">
        <v>985</v>
      </c>
      <c r="J41" s="1568">
        <v>2634</v>
      </c>
      <c r="K41" s="1568">
        <v>648</v>
      </c>
      <c r="L41" s="1567" t="s">
        <v>4916</v>
      </c>
      <c r="M41" s="1569">
        <v>44225</v>
      </c>
    </row>
    <row r="42" spans="1:13" s="1353" customFormat="1" ht="14.4">
      <c r="A42" s="1565">
        <v>35</v>
      </c>
      <c r="B42" s="1566" t="s">
        <v>972</v>
      </c>
      <c r="C42" s="1567" t="s">
        <v>2138</v>
      </c>
      <c r="D42" s="1567" t="s">
        <v>2139</v>
      </c>
      <c r="E42" s="1567" t="s">
        <v>788</v>
      </c>
      <c r="F42" s="1565" t="s">
        <v>4904</v>
      </c>
      <c r="G42" s="1565">
        <v>72</v>
      </c>
      <c r="H42" s="1565" t="s">
        <v>1858</v>
      </c>
      <c r="I42" s="1565" t="s">
        <v>958</v>
      </c>
      <c r="J42" s="1568">
        <v>2634</v>
      </c>
      <c r="K42" s="1568">
        <v>648</v>
      </c>
      <c r="L42" s="1567" t="s">
        <v>4916</v>
      </c>
      <c r="M42" s="1569">
        <v>44225</v>
      </c>
    </row>
    <row r="43" spans="1:13" s="1353" customFormat="1" ht="14.4">
      <c r="A43" s="1565">
        <v>36</v>
      </c>
      <c r="B43" s="1566" t="s">
        <v>972</v>
      </c>
      <c r="C43" s="1567" t="s">
        <v>2138</v>
      </c>
      <c r="D43" s="1567" t="s">
        <v>2139</v>
      </c>
      <c r="E43" s="1567" t="s">
        <v>788</v>
      </c>
      <c r="F43" s="1565" t="s">
        <v>4904</v>
      </c>
      <c r="G43" s="1565">
        <v>72</v>
      </c>
      <c r="H43" s="1565" t="s">
        <v>1858</v>
      </c>
      <c r="I43" s="1565" t="s">
        <v>970</v>
      </c>
      <c r="J43" s="1568">
        <v>2634</v>
      </c>
      <c r="K43" s="1568">
        <v>648</v>
      </c>
      <c r="L43" s="1567" t="s">
        <v>4916</v>
      </c>
      <c r="M43" s="1569">
        <v>44225</v>
      </c>
    </row>
    <row r="44" spans="1:13" s="1353" customFormat="1" ht="14.4">
      <c r="A44" s="1565">
        <v>37</v>
      </c>
      <c r="B44" s="1566" t="s">
        <v>972</v>
      </c>
      <c r="C44" s="1567" t="s">
        <v>2138</v>
      </c>
      <c r="D44" s="1567" t="s">
        <v>2139</v>
      </c>
      <c r="E44" s="1567" t="s">
        <v>788</v>
      </c>
      <c r="F44" s="1565" t="s">
        <v>4904</v>
      </c>
      <c r="G44" s="1565">
        <v>87</v>
      </c>
      <c r="H44" s="1565" t="s">
        <v>1861</v>
      </c>
      <c r="I44" s="1565" t="s">
        <v>968</v>
      </c>
      <c r="J44" s="1568">
        <v>-8886</v>
      </c>
      <c r="K44" s="1568">
        <v>-1848</v>
      </c>
      <c r="L44" s="1567" t="s">
        <v>4916</v>
      </c>
      <c r="M44" s="1569">
        <v>44225</v>
      </c>
    </row>
    <row r="45" spans="1:13" s="1353" customFormat="1" ht="14.4">
      <c r="A45" s="1565">
        <v>38</v>
      </c>
      <c r="B45" s="1566" t="s">
        <v>972</v>
      </c>
      <c r="C45" s="1567" t="s">
        <v>2138</v>
      </c>
      <c r="D45" s="1567" t="s">
        <v>2139</v>
      </c>
      <c r="E45" s="1567" t="s">
        <v>788</v>
      </c>
      <c r="F45" s="1565" t="s">
        <v>4904</v>
      </c>
      <c r="G45" s="1565">
        <v>87</v>
      </c>
      <c r="H45" s="1565" t="s">
        <v>1861</v>
      </c>
      <c r="I45" s="1565" t="s">
        <v>980</v>
      </c>
      <c r="J45" s="1568">
        <v>-8886</v>
      </c>
      <c r="K45" s="1568">
        <v>-1848</v>
      </c>
      <c r="L45" s="1567" t="s">
        <v>4916</v>
      </c>
      <c r="M45" s="1569">
        <v>44225</v>
      </c>
    </row>
    <row r="46" spans="1:13" s="1353" customFormat="1" ht="14.4">
      <c r="A46" s="1565">
        <v>39</v>
      </c>
      <c r="B46" s="1566" t="s">
        <v>972</v>
      </c>
      <c r="C46" s="1567" t="s">
        <v>2138</v>
      </c>
      <c r="D46" s="1567" t="s">
        <v>2139</v>
      </c>
      <c r="E46" s="1567" t="s">
        <v>788</v>
      </c>
      <c r="F46" s="1565" t="s">
        <v>4904</v>
      </c>
      <c r="G46" s="1565">
        <v>87</v>
      </c>
      <c r="H46" s="1565" t="s">
        <v>1861</v>
      </c>
      <c r="I46" s="1565" t="s">
        <v>985</v>
      </c>
      <c r="J46" s="1568">
        <v>-8886</v>
      </c>
      <c r="K46" s="1568">
        <v>-1848</v>
      </c>
      <c r="L46" s="1567" t="s">
        <v>4916</v>
      </c>
      <c r="M46" s="1569">
        <v>44225</v>
      </c>
    </row>
    <row r="47" spans="1:13" s="1353" customFormat="1" ht="14.4">
      <c r="A47" s="1565">
        <v>40</v>
      </c>
      <c r="B47" s="1566" t="s">
        <v>972</v>
      </c>
      <c r="C47" s="1567" t="s">
        <v>2138</v>
      </c>
      <c r="D47" s="1567" t="s">
        <v>2139</v>
      </c>
      <c r="E47" s="1567" t="s">
        <v>788</v>
      </c>
      <c r="F47" s="1565" t="s">
        <v>4904</v>
      </c>
      <c r="G47" s="1565">
        <v>87</v>
      </c>
      <c r="H47" s="1565" t="s">
        <v>1861</v>
      </c>
      <c r="I47" s="1565" t="s">
        <v>958</v>
      </c>
      <c r="J47" s="1568">
        <v>-8886</v>
      </c>
      <c r="K47" s="1568">
        <v>-1848</v>
      </c>
      <c r="L47" s="1567" t="s">
        <v>4916</v>
      </c>
      <c r="M47" s="1569">
        <v>44225</v>
      </c>
    </row>
    <row r="48" spans="1:13" s="1353" customFormat="1" ht="14.4">
      <c r="A48" s="1565">
        <v>41</v>
      </c>
      <c r="B48" s="1566" t="s">
        <v>972</v>
      </c>
      <c r="C48" s="1567" t="s">
        <v>2138</v>
      </c>
      <c r="D48" s="1567" t="s">
        <v>2139</v>
      </c>
      <c r="E48" s="1567" t="s">
        <v>788</v>
      </c>
      <c r="F48" s="1565" t="s">
        <v>4904</v>
      </c>
      <c r="G48" s="1565">
        <v>87</v>
      </c>
      <c r="H48" s="1565" t="s">
        <v>1861</v>
      </c>
      <c r="I48" s="1565" t="s">
        <v>970</v>
      </c>
      <c r="J48" s="1568">
        <v>-8886</v>
      </c>
      <c r="K48" s="1568">
        <v>-1848</v>
      </c>
      <c r="L48" s="1567" t="s">
        <v>4916</v>
      </c>
      <c r="M48" s="1569">
        <v>44225</v>
      </c>
    </row>
    <row r="49" spans="1:13" s="1353" customFormat="1" ht="43.2">
      <c r="A49" s="1550">
        <v>42</v>
      </c>
      <c r="B49" s="1560" t="s">
        <v>972</v>
      </c>
      <c r="C49" s="1561" t="s">
        <v>2192</v>
      </c>
      <c r="D49" s="1561" t="s">
        <v>2193</v>
      </c>
      <c r="E49" s="1561" t="s">
        <v>4903</v>
      </c>
      <c r="F49" s="1550" t="s">
        <v>4904</v>
      </c>
      <c r="G49" s="1550">
        <v>97</v>
      </c>
      <c r="H49" s="1564" t="s">
        <v>1907</v>
      </c>
      <c r="I49" s="1550" t="s">
        <v>1037</v>
      </c>
      <c r="J49" s="1570">
        <v>-1.4E-5</v>
      </c>
      <c r="K49" s="1570">
        <v>-3.0000000000000001E-5</v>
      </c>
      <c r="L49" s="1561" t="s">
        <v>4917</v>
      </c>
      <c r="M49" s="1563">
        <v>44287</v>
      </c>
    </row>
    <row r="50" spans="1:13" s="1353" customFormat="1" ht="14.4">
      <c r="A50" s="1550">
        <v>43</v>
      </c>
      <c r="B50" s="1560" t="s">
        <v>972</v>
      </c>
      <c r="C50" s="1561" t="s">
        <v>1127</v>
      </c>
      <c r="D50" s="1561" t="s">
        <v>1126</v>
      </c>
      <c r="E50" s="1561" t="s">
        <v>4903</v>
      </c>
      <c r="F50" s="1550" t="s">
        <v>4904</v>
      </c>
      <c r="G50" s="1550">
        <v>41</v>
      </c>
      <c r="H50" s="1550" t="s">
        <v>4915</v>
      </c>
      <c r="I50" s="1550" t="s">
        <v>970</v>
      </c>
      <c r="J50" s="1562">
        <v>355.2</v>
      </c>
      <c r="K50" s="1562">
        <v>382.4</v>
      </c>
      <c r="L50" s="1561" t="s">
        <v>4918</v>
      </c>
      <c r="M50" s="1563">
        <v>44287</v>
      </c>
    </row>
    <row r="51" spans="1:13" s="1353" customFormat="1" ht="72">
      <c r="A51" s="1550">
        <v>44</v>
      </c>
      <c r="B51" s="1560" t="s">
        <v>972</v>
      </c>
      <c r="C51" s="1561" t="s">
        <v>1127</v>
      </c>
      <c r="D51" s="1561" t="s">
        <v>1126</v>
      </c>
      <c r="E51" s="1561" t="s">
        <v>4903</v>
      </c>
      <c r="F51" s="1550" t="s">
        <v>4904</v>
      </c>
      <c r="G51" s="1550">
        <v>97</v>
      </c>
      <c r="H51" s="1564" t="s">
        <v>1907</v>
      </c>
      <c r="I51" s="1550" t="s">
        <v>1037</v>
      </c>
      <c r="J51" s="1571">
        <v>-6.83E-2</v>
      </c>
      <c r="K51" s="1571">
        <v>-0.46</v>
      </c>
      <c r="L51" s="1561" t="s">
        <v>4919</v>
      </c>
      <c r="M51" s="1563">
        <v>44287</v>
      </c>
    </row>
    <row r="52" spans="1:13" s="1353" customFormat="1" ht="28.8">
      <c r="A52" s="1550">
        <v>45</v>
      </c>
      <c r="B52" s="1560" t="s">
        <v>972</v>
      </c>
      <c r="C52" s="1561" t="s">
        <v>2199</v>
      </c>
      <c r="D52" s="1561" t="s">
        <v>2200</v>
      </c>
      <c r="E52" s="1561" t="s">
        <v>4903</v>
      </c>
      <c r="F52" s="1550" t="s">
        <v>4904</v>
      </c>
      <c r="G52" s="1550">
        <v>97</v>
      </c>
      <c r="H52" s="1564" t="s">
        <v>1907</v>
      </c>
      <c r="I52" s="1550" t="s">
        <v>1037</v>
      </c>
      <c r="J52" s="1571">
        <v>-4.3099999999999999E-2</v>
      </c>
      <c r="K52" s="1571">
        <v>-6.4799999999999996E-2</v>
      </c>
      <c r="L52" s="1561" t="s">
        <v>4920</v>
      </c>
      <c r="M52" s="1563">
        <v>44287</v>
      </c>
    </row>
    <row r="53" spans="1:13" s="1353" customFormat="1" ht="28.8">
      <c r="A53" s="1550">
        <v>46</v>
      </c>
      <c r="B53" s="1560" t="s">
        <v>972</v>
      </c>
      <c r="C53" s="1561" t="s">
        <v>2202</v>
      </c>
      <c r="D53" s="1561" t="s">
        <v>2203</v>
      </c>
      <c r="E53" s="1561" t="s">
        <v>4903</v>
      </c>
      <c r="F53" s="1550" t="s">
        <v>4904</v>
      </c>
      <c r="G53" s="1550">
        <v>97</v>
      </c>
      <c r="H53" s="1564" t="s">
        <v>1907</v>
      </c>
      <c r="I53" s="1550" t="s">
        <v>1037</v>
      </c>
      <c r="J53" s="1571">
        <v>-4.6199999999999998E-2</v>
      </c>
      <c r="K53" s="1571">
        <v>-5.9499999999999997E-2</v>
      </c>
      <c r="L53" s="1561" t="s">
        <v>4921</v>
      </c>
      <c r="M53" s="1563">
        <v>44287</v>
      </c>
    </row>
    <row r="54" spans="1:13" s="1353" customFormat="1" ht="14.4">
      <c r="A54" s="1550">
        <v>47</v>
      </c>
      <c r="B54" s="1560" t="s">
        <v>1022</v>
      </c>
      <c r="C54" s="1561" t="s">
        <v>2223</v>
      </c>
      <c r="D54" s="1561" t="s">
        <v>4902</v>
      </c>
      <c r="E54" s="1561" t="s">
        <v>4903</v>
      </c>
      <c r="F54" s="1550" t="s">
        <v>4904</v>
      </c>
      <c r="G54" s="1550">
        <v>77</v>
      </c>
      <c r="H54" s="1550" t="s">
        <v>1859</v>
      </c>
      <c r="I54" s="1550" t="s">
        <v>985</v>
      </c>
      <c r="J54" s="1572">
        <v>2</v>
      </c>
      <c r="K54" s="1572">
        <v>1.5</v>
      </c>
      <c r="L54" s="1561" t="s">
        <v>4905</v>
      </c>
      <c r="M54" s="1563">
        <v>44287</v>
      </c>
    </row>
    <row r="55" spans="1:13" s="1353" customFormat="1" ht="14.4">
      <c r="A55" s="1550">
        <v>48</v>
      </c>
      <c r="B55" s="1560" t="s">
        <v>1022</v>
      </c>
      <c r="C55" s="1561" t="s">
        <v>2223</v>
      </c>
      <c r="D55" s="1561" t="s">
        <v>4902</v>
      </c>
      <c r="E55" s="1561" t="s">
        <v>4903</v>
      </c>
      <c r="F55" s="1550" t="s">
        <v>4904</v>
      </c>
      <c r="G55" s="1550">
        <v>77</v>
      </c>
      <c r="H55" s="1550" t="s">
        <v>1859</v>
      </c>
      <c r="I55" s="1550" t="s">
        <v>958</v>
      </c>
      <c r="J55" s="1572">
        <v>2</v>
      </c>
      <c r="K55" s="1572">
        <v>1.5</v>
      </c>
      <c r="L55" s="1561" t="s">
        <v>4905</v>
      </c>
      <c r="M55" s="1563">
        <v>44287</v>
      </c>
    </row>
    <row r="56" spans="1:13" s="1353" customFormat="1" ht="14.4">
      <c r="A56" s="1550">
        <v>49</v>
      </c>
      <c r="B56" s="1560" t="s">
        <v>1022</v>
      </c>
      <c r="C56" s="1561" t="s">
        <v>2223</v>
      </c>
      <c r="D56" s="1561" t="s">
        <v>4902</v>
      </c>
      <c r="E56" s="1561" t="s">
        <v>4903</v>
      </c>
      <c r="F56" s="1550" t="s">
        <v>4904</v>
      </c>
      <c r="G56" s="1550">
        <v>77</v>
      </c>
      <c r="H56" s="1550" t="s">
        <v>1859</v>
      </c>
      <c r="I56" s="1550" t="s">
        <v>970</v>
      </c>
      <c r="J56" s="1572">
        <v>2</v>
      </c>
      <c r="K56" s="1572">
        <v>1.5</v>
      </c>
      <c r="L56" s="1561" t="s">
        <v>4905</v>
      </c>
      <c r="M56" s="1563">
        <v>44287</v>
      </c>
    </row>
    <row r="57" spans="1:13" s="1353" customFormat="1" ht="14.4">
      <c r="A57" s="1550">
        <v>50</v>
      </c>
      <c r="B57" s="1560" t="s">
        <v>1022</v>
      </c>
      <c r="C57" s="1561" t="s">
        <v>2231</v>
      </c>
      <c r="D57" s="1561" t="s">
        <v>4911</v>
      </c>
      <c r="E57" s="1561" t="s">
        <v>4903</v>
      </c>
      <c r="F57" s="1550" t="s">
        <v>4904</v>
      </c>
      <c r="G57" s="1550">
        <v>77</v>
      </c>
      <c r="H57" s="1550" t="s">
        <v>1859</v>
      </c>
      <c r="I57" s="1550" t="s">
        <v>968</v>
      </c>
      <c r="J57" s="1562" t="s">
        <v>4906</v>
      </c>
      <c r="K57" s="1573">
        <v>148.4</v>
      </c>
      <c r="L57" s="1561" t="s">
        <v>4912</v>
      </c>
      <c r="M57" s="1563">
        <v>44287</v>
      </c>
    </row>
    <row r="58" spans="1:13" s="1353" customFormat="1" ht="14.4">
      <c r="A58" s="1550">
        <v>51</v>
      </c>
      <c r="B58" s="1560" t="s">
        <v>1022</v>
      </c>
      <c r="C58" s="1561" t="s">
        <v>2231</v>
      </c>
      <c r="D58" s="1561" t="s">
        <v>4911</v>
      </c>
      <c r="E58" s="1561" t="s">
        <v>4903</v>
      </c>
      <c r="F58" s="1550" t="s">
        <v>4904</v>
      </c>
      <c r="G58" s="1550">
        <v>77</v>
      </c>
      <c r="H58" s="1550" t="s">
        <v>1859</v>
      </c>
      <c r="I58" s="1550" t="s">
        <v>980</v>
      </c>
      <c r="J58" s="1562" t="s">
        <v>4906</v>
      </c>
      <c r="K58" s="1573">
        <v>146.5</v>
      </c>
      <c r="L58" s="1561" t="s">
        <v>4912</v>
      </c>
      <c r="M58" s="1563">
        <v>44287</v>
      </c>
    </row>
    <row r="59" spans="1:13" s="1353" customFormat="1" ht="14.4">
      <c r="A59" s="1550">
        <v>52</v>
      </c>
      <c r="B59" s="1560" t="s">
        <v>1022</v>
      </c>
      <c r="C59" s="1561" t="s">
        <v>2231</v>
      </c>
      <c r="D59" s="1561" t="s">
        <v>4911</v>
      </c>
      <c r="E59" s="1561" t="s">
        <v>4903</v>
      </c>
      <c r="F59" s="1550" t="s">
        <v>4904</v>
      </c>
      <c r="G59" s="1550">
        <v>77</v>
      </c>
      <c r="H59" s="1550" t="s">
        <v>1859</v>
      </c>
      <c r="I59" s="1550" t="s">
        <v>985</v>
      </c>
      <c r="J59" s="1562" t="s">
        <v>4906</v>
      </c>
      <c r="K59" s="1573">
        <v>144.6</v>
      </c>
      <c r="L59" s="1561" t="s">
        <v>4912</v>
      </c>
      <c r="M59" s="1563">
        <v>44287</v>
      </c>
    </row>
    <row r="60" spans="1:13" s="1353" customFormat="1" ht="14.4">
      <c r="A60" s="1550">
        <v>53</v>
      </c>
      <c r="B60" s="1560" t="s">
        <v>1022</v>
      </c>
      <c r="C60" s="1561" t="s">
        <v>2231</v>
      </c>
      <c r="D60" s="1561" t="s">
        <v>4911</v>
      </c>
      <c r="E60" s="1561" t="s">
        <v>4903</v>
      </c>
      <c r="F60" s="1550" t="s">
        <v>4904</v>
      </c>
      <c r="G60" s="1550">
        <v>77</v>
      </c>
      <c r="H60" s="1550" t="s">
        <v>1859</v>
      </c>
      <c r="I60" s="1550" t="s">
        <v>958</v>
      </c>
      <c r="J60" s="1562" t="s">
        <v>4906</v>
      </c>
      <c r="K60" s="1573">
        <v>142.69999999999999</v>
      </c>
      <c r="L60" s="1561" t="s">
        <v>4912</v>
      </c>
      <c r="M60" s="1563">
        <v>44287</v>
      </c>
    </row>
    <row r="61" spans="1:13" s="1353" customFormat="1" ht="14.4">
      <c r="A61" s="1550">
        <v>54</v>
      </c>
      <c r="B61" s="1560" t="s">
        <v>1022</v>
      </c>
      <c r="C61" s="1561" t="s">
        <v>2231</v>
      </c>
      <c r="D61" s="1561" t="s">
        <v>4911</v>
      </c>
      <c r="E61" s="1561" t="s">
        <v>4903</v>
      </c>
      <c r="F61" s="1550" t="s">
        <v>4904</v>
      </c>
      <c r="G61" s="1550">
        <v>77</v>
      </c>
      <c r="H61" s="1550" t="s">
        <v>1859</v>
      </c>
      <c r="I61" s="1550" t="s">
        <v>970</v>
      </c>
      <c r="J61" s="1562" t="s">
        <v>4906</v>
      </c>
      <c r="K61" s="1573">
        <v>140.69999999999999</v>
      </c>
      <c r="L61" s="1561" t="s">
        <v>4912</v>
      </c>
      <c r="M61" s="1563">
        <v>44287</v>
      </c>
    </row>
    <row r="62" spans="1:13" s="1353" customFormat="1" ht="14.4">
      <c r="A62" s="1550">
        <v>55</v>
      </c>
      <c r="B62" s="1560" t="s">
        <v>1022</v>
      </c>
      <c r="C62" s="1561" t="s">
        <v>2235</v>
      </c>
      <c r="D62" s="1561" t="s">
        <v>4913</v>
      </c>
      <c r="E62" s="1561" t="s">
        <v>4903</v>
      </c>
      <c r="F62" s="1550" t="s">
        <v>4904</v>
      </c>
      <c r="G62" s="1550">
        <v>77</v>
      </c>
      <c r="H62" s="1550" t="s">
        <v>1859</v>
      </c>
      <c r="I62" s="1550" t="s">
        <v>968</v>
      </c>
      <c r="J62" s="1562" t="s">
        <v>4906</v>
      </c>
      <c r="K62" s="1572">
        <v>2.81</v>
      </c>
      <c r="L62" s="1561" t="s">
        <v>4914</v>
      </c>
      <c r="M62" s="1563">
        <v>44287</v>
      </c>
    </row>
    <row r="63" spans="1:13" s="1353" customFormat="1" ht="14.4">
      <c r="A63" s="1550">
        <v>56</v>
      </c>
      <c r="B63" s="1560" t="s">
        <v>1022</v>
      </c>
      <c r="C63" s="1561" t="s">
        <v>2235</v>
      </c>
      <c r="D63" s="1561" t="s">
        <v>4913</v>
      </c>
      <c r="E63" s="1561" t="s">
        <v>4903</v>
      </c>
      <c r="F63" s="1550" t="s">
        <v>4904</v>
      </c>
      <c r="G63" s="1550">
        <v>77</v>
      </c>
      <c r="H63" s="1550" t="s">
        <v>1859</v>
      </c>
      <c r="I63" s="1550" t="s">
        <v>980</v>
      </c>
      <c r="J63" s="1562" t="s">
        <v>4906</v>
      </c>
      <c r="K63" s="1572">
        <v>2.81</v>
      </c>
      <c r="L63" s="1561" t="s">
        <v>4914</v>
      </c>
      <c r="M63" s="1563">
        <v>44287</v>
      </c>
    </row>
    <row r="64" spans="1:13" s="1353" customFormat="1" ht="14.4">
      <c r="A64" s="1550">
        <v>57</v>
      </c>
      <c r="B64" s="1560" t="s">
        <v>1022</v>
      </c>
      <c r="C64" s="1561" t="s">
        <v>2235</v>
      </c>
      <c r="D64" s="1561" t="s">
        <v>4913</v>
      </c>
      <c r="E64" s="1561" t="s">
        <v>4903</v>
      </c>
      <c r="F64" s="1550" t="s">
        <v>4904</v>
      </c>
      <c r="G64" s="1550">
        <v>77</v>
      </c>
      <c r="H64" s="1550" t="s">
        <v>1859</v>
      </c>
      <c r="I64" s="1550" t="s">
        <v>985</v>
      </c>
      <c r="J64" s="1562" t="s">
        <v>4906</v>
      </c>
      <c r="K64" s="1572">
        <v>2.81</v>
      </c>
      <c r="L64" s="1561" t="s">
        <v>4914</v>
      </c>
      <c r="M64" s="1563">
        <v>44287</v>
      </c>
    </row>
    <row r="65" spans="1:13" s="1353" customFormat="1" ht="14.4">
      <c r="A65" s="1550">
        <v>58</v>
      </c>
      <c r="B65" s="1560" t="s">
        <v>1022</v>
      </c>
      <c r="C65" s="1561" t="s">
        <v>2235</v>
      </c>
      <c r="D65" s="1561" t="s">
        <v>4913</v>
      </c>
      <c r="E65" s="1561" t="s">
        <v>4903</v>
      </c>
      <c r="F65" s="1550" t="s">
        <v>4904</v>
      </c>
      <c r="G65" s="1550">
        <v>77</v>
      </c>
      <c r="H65" s="1550" t="s">
        <v>1859</v>
      </c>
      <c r="I65" s="1550" t="s">
        <v>958</v>
      </c>
      <c r="J65" s="1562" t="s">
        <v>4906</v>
      </c>
      <c r="K65" s="1572">
        <v>2.81</v>
      </c>
      <c r="L65" s="1561" t="s">
        <v>4914</v>
      </c>
      <c r="M65" s="1563">
        <v>44287</v>
      </c>
    </row>
    <row r="66" spans="1:13" s="1353" customFormat="1" ht="14.4">
      <c r="A66" s="1550">
        <v>59</v>
      </c>
      <c r="B66" s="1560" t="s">
        <v>1022</v>
      </c>
      <c r="C66" s="1561" t="s">
        <v>2235</v>
      </c>
      <c r="D66" s="1561" t="s">
        <v>4913</v>
      </c>
      <c r="E66" s="1561" t="s">
        <v>4903</v>
      </c>
      <c r="F66" s="1550" t="s">
        <v>4904</v>
      </c>
      <c r="G66" s="1550">
        <v>77</v>
      </c>
      <c r="H66" s="1550" t="s">
        <v>1859</v>
      </c>
      <c r="I66" s="1550" t="s">
        <v>970</v>
      </c>
      <c r="J66" s="1562" t="s">
        <v>4906</v>
      </c>
      <c r="K66" s="1572">
        <v>2.81</v>
      </c>
      <c r="L66" s="1561" t="s">
        <v>4914</v>
      </c>
      <c r="M66" s="1563">
        <v>44287</v>
      </c>
    </row>
    <row r="67" spans="1:13" s="1353" customFormat="1" ht="43.2">
      <c r="A67" s="1550">
        <v>60</v>
      </c>
      <c r="B67" s="1560" t="s">
        <v>1022</v>
      </c>
      <c r="C67" s="1561" t="s">
        <v>2293</v>
      </c>
      <c r="D67" s="1561" t="s">
        <v>629</v>
      </c>
      <c r="E67" s="1561" t="s">
        <v>4903</v>
      </c>
      <c r="F67" s="1550" t="s">
        <v>4904</v>
      </c>
      <c r="G67" s="1550">
        <v>97</v>
      </c>
      <c r="H67" s="1564" t="s">
        <v>1908</v>
      </c>
      <c r="I67" s="1550" t="s">
        <v>1037</v>
      </c>
      <c r="J67" s="1562">
        <v>-6.3549999999999995E-2</v>
      </c>
      <c r="K67" s="1562">
        <v>-0.26200000000000001</v>
      </c>
      <c r="L67" s="1561" t="s">
        <v>4922</v>
      </c>
      <c r="M67" s="1563">
        <v>44287</v>
      </c>
    </row>
    <row r="68" spans="1:13" s="1353" customFormat="1" ht="28.8">
      <c r="A68" s="1550">
        <v>61</v>
      </c>
      <c r="B68" s="1560" t="s">
        <v>1022</v>
      </c>
      <c r="C68" s="1561" t="s">
        <v>1162</v>
      </c>
      <c r="D68" s="1561" t="s">
        <v>1124</v>
      </c>
      <c r="E68" s="1561" t="s">
        <v>4903</v>
      </c>
      <c r="F68" s="1550" t="s">
        <v>4904</v>
      </c>
      <c r="G68" s="1550">
        <v>97</v>
      </c>
      <c r="H68" s="1564" t="s">
        <v>1907</v>
      </c>
      <c r="I68" s="1550" t="s">
        <v>1037</v>
      </c>
      <c r="J68" s="1562">
        <v>-6.6600000000000006E-2</v>
      </c>
      <c r="K68" s="1562">
        <v>-0.03</v>
      </c>
      <c r="L68" s="1561" t="s">
        <v>4923</v>
      </c>
      <c r="M68" s="1563">
        <v>44287</v>
      </c>
    </row>
    <row r="69" spans="1:13" s="1353" customFormat="1" ht="28.8">
      <c r="A69" s="1550">
        <v>62</v>
      </c>
      <c r="B69" s="1560" t="s">
        <v>1022</v>
      </c>
      <c r="C69" s="1561" t="s">
        <v>1162</v>
      </c>
      <c r="D69" s="1561" t="s">
        <v>1124</v>
      </c>
      <c r="E69" s="1561" t="s">
        <v>4903</v>
      </c>
      <c r="F69" s="1550" t="s">
        <v>4904</v>
      </c>
      <c r="G69" s="1550">
        <v>101</v>
      </c>
      <c r="H69" s="1564" t="s">
        <v>1911</v>
      </c>
      <c r="I69" s="1550" t="s">
        <v>1037</v>
      </c>
      <c r="J69" s="1562">
        <v>5.5500000000000001E-2</v>
      </c>
      <c r="K69" s="1562">
        <v>2.5000000000000001E-2</v>
      </c>
      <c r="L69" s="1561" t="s">
        <v>4923</v>
      </c>
      <c r="M69" s="1563">
        <v>44287</v>
      </c>
    </row>
    <row r="70" spans="1:13" s="1353" customFormat="1" ht="28.8">
      <c r="A70" s="1550">
        <v>63</v>
      </c>
      <c r="B70" s="1560" t="s">
        <v>1022</v>
      </c>
      <c r="C70" s="1561" t="s">
        <v>2301</v>
      </c>
      <c r="D70" s="1561" t="s">
        <v>4924</v>
      </c>
      <c r="E70" s="1561" t="s">
        <v>4903</v>
      </c>
      <c r="F70" s="1550" t="s">
        <v>4904</v>
      </c>
      <c r="G70" s="1550">
        <v>97</v>
      </c>
      <c r="H70" s="1564" t="s">
        <v>1907</v>
      </c>
      <c r="I70" s="1550" t="s">
        <v>1037</v>
      </c>
      <c r="J70" s="1562">
        <v>-0.40036899999999997</v>
      </c>
      <c r="K70" s="1562">
        <v>-0.45300000000000001</v>
      </c>
      <c r="L70" s="1561" t="s">
        <v>4925</v>
      </c>
      <c r="M70" s="1563">
        <v>44287</v>
      </c>
    </row>
    <row r="71" spans="1:13" s="1353" customFormat="1" ht="28.8">
      <c r="A71" s="1550">
        <v>64</v>
      </c>
      <c r="B71" s="1560" t="s">
        <v>1022</v>
      </c>
      <c r="C71" s="1561" t="s">
        <v>2301</v>
      </c>
      <c r="D71" s="1561" t="s">
        <v>4924</v>
      </c>
      <c r="E71" s="1561" t="s">
        <v>4903</v>
      </c>
      <c r="F71" s="1550" t="s">
        <v>4904</v>
      </c>
      <c r="G71" s="1550">
        <v>101</v>
      </c>
      <c r="H71" s="1564" t="s">
        <v>1911</v>
      </c>
      <c r="I71" s="1550" t="s">
        <v>1037</v>
      </c>
      <c r="J71" s="1562">
        <v>0.606595</v>
      </c>
      <c r="K71" s="1562">
        <v>0.55400000000000005</v>
      </c>
      <c r="L71" s="1561" t="s">
        <v>4925</v>
      </c>
      <c r="M71" s="1563">
        <v>44287</v>
      </c>
    </row>
    <row r="72" spans="1:13" s="1353" customFormat="1" ht="28.8">
      <c r="A72" s="1550">
        <v>65</v>
      </c>
      <c r="B72" s="1560" t="s">
        <v>1022</v>
      </c>
      <c r="C72" s="1561" t="s">
        <v>2323</v>
      </c>
      <c r="D72" s="1561" t="s">
        <v>4926</v>
      </c>
      <c r="E72" s="1561" t="s">
        <v>4903</v>
      </c>
      <c r="F72" s="1550" t="s">
        <v>4904</v>
      </c>
      <c r="G72" s="1550">
        <v>97</v>
      </c>
      <c r="H72" s="1564" t="s">
        <v>1907</v>
      </c>
      <c r="I72" s="1550" t="s">
        <v>1037</v>
      </c>
      <c r="J72" s="1574">
        <v>-2.3E-3</v>
      </c>
      <c r="K72" s="1574">
        <v>-2.3800000000000002E-3</v>
      </c>
      <c r="L72" s="1561" t="s">
        <v>4927</v>
      </c>
      <c r="M72" s="1563">
        <v>44287</v>
      </c>
    </row>
    <row r="73" spans="1:13" s="1353" customFormat="1" ht="28.8">
      <c r="A73" s="1550">
        <v>66</v>
      </c>
      <c r="B73" s="1560" t="s">
        <v>1022</v>
      </c>
      <c r="C73" s="1561" t="s">
        <v>2343</v>
      </c>
      <c r="D73" s="1561" t="s">
        <v>4928</v>
      </c>
      <c r="E73" s="1561" t="s">
        <v>4903</v>
      </c>
      <c r="F73" s="1550" t="s">
        <v>4904</v>
      </c>
      <c r="G73" s="1550">
        <v>97</v>
      </c>
      <c r="H73" s="1564" t="s">
        <v>1907</v>
      </c>
      <c r="I73" s="1550" t="s">
        <v>1037</v>
      </c>
      <c r="J73" s="1571">
        <v>-4.6899999999999997E-2</v>
      </c>
      <c r="K73" s="1571">
        <v>-5.3100000000000001E-2</v>
      </c>
      <c r="L73" s="1561" t="s">
        <v>4929</v>
      </c>
      <c r="M73" s="1563">
        <v>44287</v>
      </c>
    </row>
    <row r="74" spans="1:13" s="1353" customFormat="1" ht="14.4">
      <c r="A74" s="1550">
        <v>67</v>
      </c>
      <c r="B74" s="1560" t="s">
        <v>990</v>
      </c>
      <c r="C74" s="1561" t="s">
        <v>2511</v>
      </c>
      <c r="D74" s="1561" t="s">
        <v>4930</v>
      </c>
      <c r="E74" s="1561" t="s">
        <v>4903</v>
      </c>
      <c r="F74" s="1550" t="s">
        <v>4904</v>
      </c>
      <c r="G74" s="1550">
        <v>67</v>
      </c>
      <c r="H74" s="1550" t="s">
        <v>955</v>
      </c>
      <c r="I74" s="1550" t="s">
        <v>968</v>
      </c>
      <c r="J74" s="1562">
        <v>186.57761434904049</v>
      </c>
      <c r="K74" s="1562" t="s">
        <v>4906</v>
      </c>
      <c r="L74" s="1561" t="s">
        <v>4907</v>
      </c>
      <c r="M74" s="1563">
        <v>44287</v>
      </c>
    </row>
    <row r="75" spans="1:13" s="1353" customFormat="1" ht="14.4">
      <c r="A75" s="1550">
        <v>68</v>
      </c>
      <c r="B75" s="1560" t="s">
        <v>990</v>
      </c>
      <c r="C75" s="1561" t="s">
        <v>2511</v>
      </c>
      <c r="D75" s="1561" t="s">
        <v>4930</v>
      </c>
      <c r="E75" s="1561" t="s">
        <v>4903</v>
      </c>
      <c r="F75" s="1550" t="s">
        <v>4904</v>
      </c>
      <c r="G75" s="1550">
        <v>67</v>
      </c>
      <c r="H75" s="1550" t="s">
        <v>955</v>
      </c>
      <c r="I75" s="1550" t="s">
        <v>980</v>
      </c>
      <c r="J75" s="1562">
        <v>186.57761434904049</v>
      </c>
      <c r="K75" s="1562" t="s">
        <v>4906</v>
      </c>
      <c r="L75" s="1561" t="s">
        <v>4907</v>
      </c>
      <c r="M75" s="1563">
        <v>44287</v>
      </c>
    </row>
    <row r="76" spans="1:13" s="1353" customFormat="1" ht="14.4">
      <c r="A76" s="1550">
        <v>69</v>
      </c>
      <c r="B76" s="1560" t="s">
        <v>990</v>
      </c>
      <c r="C76" s="1561" t="s">
        <v>2511</v>
      </c>
      <c r="D76" s="1561" t="s">
        <v>4930</v>
      </c>
      <c r="E76" s="1561" t="s">
        <v>4903</v>
      </c>
      <c r="F76" s="1550" t="s">
        <v>4904</v>
      </c>
      <c r="G76" s="1550">
        <v>67</v>
      </c>
      <c r="H76" s="1550" t="s">
        <v>955</v>
      </c>
      <c r="I76" s="1550" t="s">
        <v>985</v>
      </c>
      <c r="J76" s="1562">
        <v>186.57761434904049</v>
      </c>
      <c r="K76" s="1562" t="s">
        <v>4906</v>
      </c>
      <c r="L76" s="1561" t="s">
        <v>4907</v>
      </c>
      <c r="M76" s="1563">
        <v>44287</v>
      </c>
    </row>
    <row r="77" spans="1:13" s="1353" customFormat="1" ht="14.4">
      <c r="A77" s="1550">
        <v>70</v>
      </c>
      <c r="B77" s="1560" t="s">
        <v>990</v>
      </c>
      <c r="C77" s="1561" t="s">
        <v>2511</v>
      </c>
      <c r="D77" s="1561" t="s">
        <v>4930</v>
      </c>
      <c r="E77" s="1561" t="s">
        <v>4903</v>
      </c>
      <c r="F77" s="1550" t="s">
        <v>4904</v>
      </c>
      <c r="G77" s="1550">
        <v>67</v>
      </c>
      <c r="H77" s="1550" t="s">
        <v>955</v>
      </c>
      <c r="I77" s="1550" t="s">
        <v>958</v>
      </c>
      <c r="J77" s="1562">
        <v>186.57761434904049</v>
      </c>
      <c r="K77" s="1562" t="s">
        <v>4906</v>
      </c>
      <c r="L77" s="1561" t="s">
        <v>4907</v>
      </c>
      <c r="M77" s="1563">
        <v>44287</v>
      </c>
    </row>
    <row r="78" spans="1:13" s="1353" customFormat="1" ht="14.4">
      <c r="A78" s="1550">
        <v>71</v>
      </c>
      <c r="B78" s="1560" t="s">
        <v>990</v>
      </c>
      <c r="C78" s="1561" t="s">
        <v>2511</v>
      </c>
      <c r="D78" s="1561" t="s">
        <v>4930</v>
      </c>
      <c r="E78" s="1561" t="s">
        <v>4903</v>
      </c>
      <c r="F78" s="1550" t="s">
        <v>4904</v>
      </c>
      <c r="G78" s="1550">
        <v>67</v>
      </c>
      <c r="H78" s="1550" t="s">
        <v>955</v>
      </c>
      <c r="I78" s="1550" t="s">
        <v>970</v>
      </c>
      <c r="J78" s="1562">
        <v>186.57761434904049</v>
      </c>
      <c r="K78" s="1562" t="s">
        <v>4906</v>
      </c>
      <c r="L78" s="1561" t="s">
        <v>4907</v>
      </c>
      <c r="M78" s="1563">
        <v>44287</v>
      </c>
    </row>
    <row r="79" spans="1:13" s="1353" customFormat="1" ht="14.4">
      <c r="A79" s="1550">
        <v>72</v>
      </c>
      <c r="B79" s="1560" t="s">
        <v>990</v>
      </c>
      <c r="C79" s="1561" t="s">
        <v>2516</v>
      </c>
      <c r="D79" s="1561" t="s">
        <v>4931</v>
      </c>
      <c r="E79" s="1561" t="s">
        <v>4903</v>
      </c>
      <c r="F79" s="1550" t="s">
        <v>4904</v>
      </c>
      <c r="G79" s="1550">
        <v>67</v>
      </c>
      <c r="H79" s="1550" t="s">
        <v>955</v>
      </c>
      <c r="I79" s="1550" t="s">
        <v>968</v>
      </c>
      <c r="J79" s="1562">
        <v>109.90615346050799</v>
      </c>
      <c r="K79" s="1562" t="s">
        <v>4906</v>
      </c>
      <c r="L79" s="1561" t="s">
        <v>4907</v>
      </c>
      <c r="M79" s="1563">
        <v>44287</v>
      </c>
    </row>
    <row r="80" spans="1:13" s="1353" customFormat="1" ht="14.4">
      <c r="A80" s="1550">
        <v>73</v>
      </c>
      <c r="B80" s="1560" t="s">
        <v>990</v>
      </c>
      <c r="C80" s="1561" t="s">
        <v>2516</v>
      </c>
      <c r="D80" s="1561" t="s">
        <v>4931</v>
      </c>
      <c r="E80" s="1561" t="s">
        <v>4903</v>
      </c>
      <c r="F80" s="1550" t="s">
        <v>4904</v>
      </c>
      <c r="G80" s="1550">
        <v>67</v>
      </c>
      <c r="H80" s="1550" t="s">
        <v>955</v>
      </c>
      <c r="I80" s="1550" t="s">
        <v>980</v>
      </c>
      <c r="J80" s="1562">
        <v>109.90615346050799</v>
      </c>
      <c r="K80" s="1562" t="s">
        <v>4906</v>
      </c>
      <c r="L80" s="1561" t="s">
        <v>4907</v>
      </c>
      <c r="M80" s="1563">
        <v>44287</v>
      </c>
    </row>
    <row r="81" spans="1:13" s="1353" customFormat="1" ht="14.4">
      <c r="A81" s="1550">
        <v>74</v>
      </c>
      <c r="B81" s="1560" t="s">
        <v>990</v>
      </c>
      <c r="C81" s="1561" t="s">
        <v>2516</v>
      </c>
      <c r="D81" s="1561" t="s">
        <v>4931</v>
      </c>
      <c r="E81" s="1561" t="s">
        <v>4903</v>
      </c>
      <c r="F81" s="1550" t="s">
        <v>4904</v>
      </c>
      <c r="G81" s="1550">
        <v>67</v>
      </c>
      <c r="H81" s="1550" t="s">
        <v>955</v>
      </c>
      <c r="I81" s="1550" t="s">
        <v>985</v>
      </c>
      <c r="J81" s="1562">
        <v>109.90615346050799</v>
      </c>
      <c r="K81" s="1562" t="s">
        <v>4906</v>
      </c>
      <c r="L81" s="1561" t="s">
        <v>4907</v>
      </c>
      <c r="M81" s="1563">
        <v>44287</v>
      </c>
    </row>
    <row r="82" spans="1:13" s="1353" customFormat="1" ht="14.4">
      <c r="A82" s="1550">
        <v>75</v>
      </c>
      <c r="B82" s="1560" t="s">
        <v>990</v>
      </c>
      <c r="C82" s="1561" t="s">
        <v>2516</v>
      </c>
      <c r="D82" s="1561" t="s">
        <v>4931</v>
      </c>
      <c r="E82" s="1561" t="s">
        <v>4903</v>
      </c>
      <c r="F82" s="1550" t="s">
        <v>4904</v>
      </c>
      <c r="G82" s="1550">
        <v>67</v>
      </c>
      <c r="H82" s="1550" t="s">
        <v>955</v>
      </c>
      <c r="I82" s="1550" t="s">
        <v>958</v>
      </c>
      <c r="J82" s="1562">
        <v>109.90615346050799</v>
      </c>
      <c r="K82" s="1562" t="s">
        <v>4906</v>
      </c>
      <c r="L82" s="1561" t="s">
        <v>4907</v>
      </c>
      <c r="M82" s="1563">
        <v>44287</v>
      </c>
    </row>
    <row r="83" spans="1:13" s="1353" customFormat="1" ht="14.4">
      <c r="A83" s="1550">
        <v>76</v>
      </c>
      <c r="B83" s="1560" t="s">
        <v>990</v>
      </c>
      <c r="C83" s="1561" t="s">
        <v>2516</v>
      </c>
      <c r="D83" s="1561" t="s">
        <v>4931</v>
      </c>
      <c r="E83" s="1561" t="s">
        <v>4903</v>
      </c>
      <c r="F83" s="1550" t="s">
        <v>4904</v>
      </c>
      <c r="G83" s="1550">
        <v>67</v>
      </c>
      <c r="H83" s="1550" t="s">
        <v>955</v>
      </c>
      <c r="I83" s="1550" t="s">
        <v>970</v>
      </c>
      <c r="J83" s="1562">
        <v>109.90615346050799</v>
      </c>
      <c r="K83" s="1562" t="s">
        <v>4906</v>
      </c>
      <c r="L83" s="1561" t="s">
        <v>4907</v>
      </c>
      <c r="M83" s="1563">
        <v>44287</v>
      </c>
    </row>
    <row r="84" spans="1:13" s="1353" customFormat="1" ht="14.4">
      <c r="A84" s="1550">
        <v>77</v>
      </c>
      <c r="B84" s="1560" t="s">
        <v>990</v>
      </c>
      <c r="C84" s="1561" t="s">
        <v>2502</v>
      </c>
      <c r="D84" s="1561" t="s">
        <v>4902</v>
      </c>
      <c r="E84" s="1561" t="s">
        <v>4903</v>
      </c>
      <c r="F84" s="1550" t="s">
        <v>4904</v>
      </c>
      <c r="G84" s="1550">
        <v>77</v>
      </c>
      <c r="H84" s="1550" t="s">
        <v>1859</v>
      </c>
      <c r="I84" s="1550" t="s">
        <v>985</v>
      </c>
      <c r="J84" s="1562">
        <v>2</v>
      </c>
      <c r="K84" s="1562">
        <v>1.5</v>
      </c>
      <c r="L84" s="1561" t="s">
        <v>4905</v>
      </c>
      <c r="M84" s="1563">
        <v>44287</v>
      </c>
    </row>
    <row r="85" spans="1:13" s="1353" customFormat="1" ht="14.4">
      <c r="A85" s="1550">
        <v>78</v>
      </c>
      <c r="B85" s="1560" t="s">
        <v>990</v>
      </c>
      <c r="C85" s="1561" t="s">
        <v>2502</v>
      </c>
      <c r="D85" s="1561" t="s">
        <v>4902</v>
      </c>
      <c r="E85" s="1561" t="s">
        <v>4903</v>
      </c>
      <c r="F85" s="1550" t="s">
        <v>4904</v>
      </c>
      <c r="G85" s="1550">
        <v>77</v>
      </c>
      <c r="H85" s="1550" t="s">
        <v>1859</v>
      </c>
      <c r="I85" s="1550" t="s">
        <v>958</v>
      </c>
      <c r="J85" s="1562">
        <v>2</v>
      </c>
      <c r="K85" s="1562">
        <v>1.5</v>
      </c>
      <c r="L85" s="1561" t="s">
        <v>4905</v>
      </c>
      <c r="M85" s="1563">
        <v>44287</v>
      </c>
    </row>
    <row r="86" spans="1:13" s="1353" customFormat="1" ht="14.4">
      <c r="A86" s="1550">
        <v>79</v>
      </c>
      <c r="B86" s="1560" t="s">
        <v>990</v>
      </c>
      <c r="C86" s="1561" t="s">
        <v>2502</v>
      </c>
      <c r="D86" s="1561" t="s">
        <v>4902</v>
      </c>
      <c r="E86" s="1561" t="s">
        <v>4903</v>
      </c>
      <c r="F86" s="1550" t="s">
        <v>4904</v>
      </c>
      <c r="G86" s="1550">
        <v>77</v>
      </c>
      <c r="H86" s="1550" t="s">
        <v>1859</v>
      </c>
      <c r="I86" s="1550" t="s">
        <v>970</v>
      </c>
      <c r="J86" s="1562">
        <v>2</v>
      </c>
      <c r="K86" s="1562">
        <v>1.5</v>
      </c>
      <c r="L86" s="1561" t="s">
        <v>4905</v>
      </c>
      <c r="M86" s="1563">
        <v>44287</v>
      </c>
    </row>
    <row r="87" spans="1:13" s="1353" customFormat="1" ht="14.4">
      <c r="A87" s="1550">
        <v>80</v>
      </c>
      <c r="B87" s="1575" t="s">
        <v>990</v>
      </c>
      <c r="C87" s="1561" t="s">
        <v>2542</v>
      </c>
      <c r="D87" s="1561" t="s">
        <v>4911</v>
      </c>
      <c r="E87" s="1561" t="s">
        <v>4903</v>
      </c>
      <c r="F87" s="1550" t="s">
        <v>4904</v>
      </c>
      <c r="G87" s="1550">
        <v>77</v>
      </c>
      <c r="H87" s="1550" t="s">
        <v>1859</v>
      </c>
      <c r="I87" s="1550" t="s">
        <v>968</v>
      </c>
      <c r="J87" s="1562" t="s">
        <v>4906</v>
      </c>
      <c r="K87" s="1573">
        <v>151.9</v>
      </c>
      <c r="L87" s="1561" t="s">
        <v>4912</v>
      </c>
      <c r="M87" s="1563">
        <v>44287</v>
      </c>
    </row>
    <row r="88" spans="1:13" s="1353" customFormat="1" ht="14.4">
      <c r="A88" s="1550">
        <v>81</v>
      </c>
      <c r="B88" s="1575" t="s">
        <v>990</v>
      </c>
      <c r="C88" s="1561" t="s">
        <v>2542</v>
      </c>
      <c r="D88" s="1561" t="s">
        <v>4911</v>
      </c>
      <c r="E88" s="1561" t="s">
        <v>4903</v>
      </c>
      <c r="F88" s="1550" t="s">
        <v>4904</v>
      </c>
      <c r="G88" s="1550">
        <v>77</v>
      </c>
      <c r="H88" s="1550" t="s">
        <v>1859</v>
      </c>
      <c r="I88" s="1550" t="s">
        <v>980</v>
      </c>
      <c r="J88" s="1562" t="s">
        <v>4906</v>
      </c>
      <c r="K88" s="1573">
        <v>147.1</v>
      </c>
      <c r="L88" s="1561" t="s">
        <v>4912</v>
      </c>
      <c r="M88" s="1563">
        <v>44287</v>
      </c>
    </row>
    <row r="89" spans="1:13" s="1353" customFormat="1" ht="14.4">
      <c r="A89" s="1550">
        <v>82</v>
      </c>
      <c r="B89" s="1575" t="s">
        <v>990</v>
      </c>
      <c r="C89" s="1561" t="s">
        <v>2542</v>
      </c>
      <c r="D89" s="1561" t="s">
        <v>4911</v>
      </c>
      <c r="E89" s="1561" t="s">
        <v>4903</v>
      </c>
      <c r="F89" s="1550" t="s">
        <v>4904</v>
      </c>
      <c r="G89" s="1550">
        <v>77</v>
      </c>
      <c r="H89" s="1550" t="s">
        <v>1859</v>
      </c>
      <c r="I89" s="1550" t="s">
        <v>985</v>
      </c>
      <c r="J89" s="1562" t="s">
        <v>4906</v>
      </c>
      <c r="K89" s="1573">
        <v>142.4</v>
      </c>
      <c r="L89" s="1561" t="s">
        <v>4912</v>
      </c>
      <c r="M89" s="1563">
        <v>44287</v>
      </c>
    </row>
    <row r="90" spans="1:13" s="1353" customFormat="1" ht="14.4">
      <c r="A90" s="1550">
        <v>83</v>
      </c>
      <c r="B90" s="1575" t="s">
        <v>990</v>
      </c>
      <c r="C90" s="1561" t="s">
        <v>2542</v>
      </c>
      <c r="D90" s="1561" t="s">
        <v>4911</v>
      </c>
      <c r="E90" s="1561" t="s">
        <v>4903</v>
      </c>
      <c r="F90" s="1550" t="s">
        <v>4904</v>
      </c>
      <c r="G90" s="1550">
        <v>77</v>
      </c>
      <c r="H90" s="1550" t="s">
        <v>1859</v>
      </c>
      <c r="I90" s="1550" t="s">
        <v>958</v>
      </c>
      <c r="J90" s="1562" t="s">
        <v>4906</v>
      </c>
      <c r="K90" s="1573">
        <v>137.9</v>
      </c>
      <c r="L90" s="1561" t="s">
        <v>4912</v>
      </c>
      <c r="M90" s="1563">
        <v>44287</v>
      </c>
    </row>
    <row r="91" spans="1:13" s="1353" customFormat="1" ht="14.4">
      <c r="A91" s="1550">
        <v>84</v>
      </c>
      <c r="B91" s="1575" t="s">
        <v>990</v>
      </c>
      <c r="C91" s="1561" t="s">
        <v>2542</v>
      </c>
      <c r="D91" s="1561" t="s">
        <v>4911</v>
      </c>
      <c r="E91" s="1561" t="s">
        <v>4903</v>
      </c>
      <c r="F91" s="1550" t="s">
        <v>4904</v>
      </c>
      <c r="G91" s="1550">
        <v>77</v>
      </c>
      <c r="H91" s="1550" t="s">
        <v>1859</v>
      </c>
      <c r="I91" s="1550" t="s">
        <v>970</v>
      </c>
      <c r="J91" s="1562" t="s">
        <v>4906</v>
      </c>
      <c r="K91" s="1573">
        <v>133.4</v>
      </c>
      <c r="L91" s="1561" t="s">
        <v>4912</v>
      </c>
      <c r="M91" s="1563">
        <v>44287</v>
      </c>
    </row>
    <row r="92" spans="1:13" s="1353" customFormat="1" ht="14.4">
      <c r="A92" s="1550">
        <v>85</v>
      </c>
      <c r="B92" s="1575" t="s">
        <v>990</v>
      </c>
      <c r="C92" s="1561" t="s">
        <v>2546</v>
      </c>
      <c r="D92" s="1561" t="s">
        <v>4913</v>
      </c>
      <c r="E92" s="1561" t="s">
        <v>4903</v>
      </c>
      <c r="F92" s="1550" t="s">
        <v>4904</v>
      </c>
      <c r="G92" s="1550">
        <v>77</v>
      </c>
      <c r="H92" s="1550" t="s">
        <v>1859</v>
      </c>
      <c r="I92" s="1550" t="s">
        <v>968</v>
      </c>
      <c r="J92" s="1562" t="s">
        <v>4906</v>
      </c>
      <c r="K92" s="1572">
        <v>7.64</v>
      </c>
      <c r="L92" s="1561" t="s">
        <v>4932</v>
      </c>
      <c r="M92" s="1563">
        <v>44287</v>
      </c>
    </row>
    <row r="93" spans="1:13" s="1353" customFormat="1" ht="14.4">
      <c r="A93" s="1550">
        <v>86</v>
      </c>
      <c r="B93" s="1575" t="s">
        <v>990</v>
      </c>
      <c r="C93" s="1561" t="s">
        <v>2546</v>
      </c>
      <c r="D93" s="1561" t="s">
        <v>4913</v>
      </c>
      <c r="E93" s="1561" t="s">
        <v>4903</v>
      </c>
      <c r="F93" s="1550" t="s">
        <v>4904</v>
      </c>
      <c r="G93" s="1550">
        <v>77</v>
      </c>
      <c r="H93" s="1550" t="s">
        <v>1859</v>
      </c>
      <c r="I93" s="1550" t="s">
        <v>980</v>
      </c>
      <c r="J93" s="1562" t="s">
        <v>4906</v>
      </c>
      <c r="K93" s="1572">
        <v>6.43</v>
      </c>
      <c r="L93" s="1561" t="s">
        <v>4932</v>
      </c>
      <c r="M93" s="1563">
        <v>44287</v>
      </c>
    </row>
    <row r="94" spans="1:13" s="1353" customFormat="1" ht="14.4">
      <c r="A94" s="1550">
        <v>87</v>
      </c>
      <c r="B94" s="1575" t="s">
        <v>990</v>
      </c>
      <c r="C94" s="1561" t="s">
        <v>2546</v>
      </c>
      <c r="D94" s="1561" t="s">
        <v>4913</v>
      </c>
      <c r="E94" s="1561" t="s">
        <v>4903</v>
      </c>
      <c r="F94" s="1550" t="s">
        <v>4904</v>
      </c>
      <c r="G94" s="1550">
        <v>77</v>
      </c>
      <c r="H94" s="1550" t="s">
        <v>1859</v>
      </c>
      <c r="I94" s="1550" t="s">
        <v>985</v>
      </c>
      <c r="J94" s="1562" t="s">
        <v>4906</v>
      </c>
      <c r="K94" s="1572">
        <v>5.23</v>
      </c>
      <c r="L94" s="1561" t="s">
        <v>4932</v>
      </c>
      <c r="M94" s="1563">
        <v>44287</v>
      </c>
    </row>
    <row r="95" spans="1:13" s="1353" customFormat="1" ht="14.4">
      <c r="A95" s="1550">
        <v>88</v>
      </c>
      <c r="B95" s="1575" t="s">
        <v>990</v>
      </c>
      <c r="C95" s="1561" t="s">
        <v>2546</v>
      </c>
      <c r="D95" s="1561" t="s">
        <v>4913</v>
      </c>
      <c r="E95" s="1561" t="s">
        <v>4903</v>
      </c>
      <c r="F95" s="1550" t="s">
        <v>4904</v>
      </c>
      <c r="G95" s="1550">
        <v>77</v>
      </c>
      <c r="H95" s="1550" t="s">
        <v>1859</v>
      </c>
      <c r="I95" s="1550" t="s">
        <v>958</v>
      </c>
      <c r="J95" s="1562" t="s">
        <v>4906</v>
      </c>
      <c r="K95" s="1572">
        <v>4.0199999999999996</v>
      </c>
      <c r="L95" s="1561" t="s">
        <v>4932</v>
      </c>
      <c r="M95" s="1563">
        <v>44287</v>
      </c>
    </row>
    <row r="96" spans="1:13" s="1353" customFormat="1" ht="14.4">
      <c r="A96" s="1550">
        <v>89</v>
      </c>
      <c r="B96" s="1575" t="s">
        <v>990</v>
      </c>
      <c r="C96" s="1561" t="s">
        <v>2546</v>
      </c>
      <c r="D96" s="1561" t="s">
        <v>4913</v>
      </c>
      <c r="E96" s="1561" t="s">
        <v>4903</v>
      </c>
      <c r="F96" s="1550" t="s">
        <v>4904</v>
      </c>
      <c r="G96" s="1550">
        <v>77</v>
      </c>
      <c r="H96" s="1550" t="s">
        <v>1859</v>
      </c>
      <c r="I96" s="1550" t="s">
        <v>970</v>
      </c>
      <c r="J96" s="1562" t="s">
        <v>4906</v>
      </c>
      <c r="K96" s="1572">
        <v>2.81</v>
      </c>
      <c r="L96" s="1561" t="s">
        <v>4932</v>
      </c>
      <c r="M96" s="1563">
        <v>44287</v>
      </c>
    </row>
    <row r="97" spans="1:13" s="1353" customFormat="1" ht="14.4">
      <c r="A97" s="1550">
        <v>90</v>
      </c>
      <c r="B97" s="1560" t="s">
        <v>990</v>
      </c>
      <c r="C97" s="1561" t="s">
        <v>2511</v>
      </c>
      <c r="D97" s="1561" t="s">
        <v>4930</v>
      </c>
      <c r="E97" s="1561" t="s">
        <v>4903</v>
      </c>
      <c r="F97" s="1550" t="s">
        <v>4904</v>
      </c>
      <c r="G97" s="1550">
        <v>92</v>
      </c>
      <c r="H97" s="1550" t="s">
        <v>1862</v>
      </c>
      <c r="I97" s="1550" t="s">
        <v>968</v>
      </c>
      <c r="J97" s="1562" t="s">
        <v>4797</v>
      </c>
      <c r="K97" s="1562" t="s">
        <v>4906</v>
      </c>
      <c r="L97" s="1561" t="s">
        <v>4907</v>
      </c>
      <c r="M97" s="1563">
        <v>44287</v>
      </c>
    </row>
    <row r="98" spans="1:13" s="1353" customFormat="1" ht="14.4">
      <c r="A98" s="1550">
        <v>91</v>
      </c>
      <c r="B98" s="1560" t="s">
        <v>990</v>
      </c>
      <c r="C98" s="1561" t="s">
        <v>2511</v>
      </c>
      <c r="D98" s="1561" t="s">
        <v>4930</v>
      </c>
      <c r="E98" s="1561" t="s">
        <v>4903</v>
      </c>
      <c r="F98" s="1550" t="s">
        <v>4904</v>
      </c>
      <c r="G98" s="1550">
        <v>92</v>
      </c>
      <c r="H98" s="1550" t="s">
        <v>1862</v>
      </c>
      <c r="I98" s="1550" t="s">
        <v>980</v>
      </c>
      <c r="J98" s="1562" t="s">
        <v>4797</v>
      </c>
      <c r="K98" s="1562" t="s">
        <v>4906</v>
      </c>
      <c r="L98" s="1561" t="s">
        <v>4907</v>
      </c>
      <c r="M98" s="1563">
        <v>44287</v>
      </c>
    </row>
    <row r="99" spans="1:13" s="1353" customFormat="1" ht="14.4">
      <c r="A99" s="1550">
        <v>92</v>
      </c>
      <c r="B99" s="1560" t="s">
        <v>990</v>
      </c>
      <c r="C99" s="1561" t="s">
        <v>2511</v>
      </c>
      <c r="D99" s="1561" t="s">
        <v>4930</v>
      </c>
      <c r="E99" s="1561" t="s">
        <v>4903</v>
      </c>
      <c r="F99" s="1550" t="s">
        <v>4904</v>
      </c>
      <c r="G99" s="1550">
        <v>92</v>
      </c>
      <c r="H99" s="1550" t="s">
        <v>1862</v>
      </c>
      <c r="I99" s="1550" t="s">
        <v>985</v>
      </c>
      <c r="J99" s="1562" t="s">
        <v>4797</v>
      </c>
      <c r="K99" s="1562" t="s">
        <v>4906</v>
      </c>
      <c r="L99" s="1561" t="s">
        <v>4907</v>
      </c>
      <c r="M99" s="1563">
        <v>44287</v>
      </c>
    </row>
    <row r="100" spans="1:13" s="1353" customFormat="1" ht="14.4">
      <c r="A100" s="1550">
        <v>93</v>
      </c>
      <c r="B100" s="1560" t="s">
        <v>990</v>
      </c>
      <c r="C100" s="1561" t="s">
        <v>2511</v>
      </c>
      <c r="D100" s="1561" t="s">
        <v>4930</v>
      </c>
      <c r="E100" s="1561" t="s">
        <v>4903</v>
      </c>
      <c r="F100" s="1550" t="s">
        <v>4904</v>
      </c>
      <c r="G100" s="1550">
        <v>92</v>
      </c>
      <c r="H100" s="1550" t="s">
        <v>1862</v>
      </c>
      <c r="I100" s="1550" t="s">
        <v>958</v>
      </c>
      <c r="J100" s="1562" t="s">
        <v>4797</v>
      </c>
      <c r="K100" s="1562" t="s">
        <v>4906</v>
      </c>
      <c r="L100" s="1561" t="s">
        <v>4907</v>
      </c>
      <c r="M100" s="1563">
        <v>44287</v>
      </c>
    </row>
    <row r="101" spans="1:13" s="1353" customFormat="1" ht="14.4">
      <c r="A101" s="1550">
        <v>94</v>
      </c>
      <c r="B101" s="1560" t="s">
        <v>990</v>
      </c>
      <c r="C101" s="1561" t="s">
        <v>2511</v>
      </c>
      <c r="D101" s="1561" t="s">
        <v>4930</v>
      </c>
      <c r="E101" s="1561" t="s">
        <v>4903</v>
      </c>
      <c r="F101" s="1550" t="s">
        <v>4904</v>
      </c>
      <c r="G101" s="1550">
        <v>92</v>
      </c>
      <c r="H101" s="1550" t="s">
        <v>1862</v>
      </c>
      <c r="I101" s="1550" t="s">
        <v>970</v>
      </c>
      <c r="J101" s="1562" t="s">
        <v>4797</v>
      </c>
      <c r="K101" s="1562" t="s">
        <v>4906</v>
      </c>
      <c r="L101" s="1561" t="s">
        <v>4907</v>
      </c>
      <c r="M101" s="1563">
        <v>44287</v>
      </c>
    </row>
    <row r="102" spans="1:13" s="1353" customFormat="1" ht="14.4">
      <c r="A102" s="1550">
        <v>95</v>
      </c>
      <c r="B102" s="1560" t="s">
        <v>990</v>
      </c>
      <c r="C102" s="1561" t="s">
        <v>2516</v>
      </c>
      <c r="D102" s="1561" t="s">
        <v>4931</v>
      </c>
      <c r="E102" s="1561" t="s">
        <v>4903</v>
      </c>
      <c r="F102" s="1550" t="s">
        <v>4904</v>
      </c>
      <c r="G102" s="1550">
        <v>92</v>
      </c>
      <c r="H102" s="1550" t="s">
        <v>1862</v>
      </c>
      <c r="I102" s="1550" t="s">
        <v>968</v>
      </c>
      <c r="J102" s="1562" t="s">
        <v>4797</v>
      </c>
      <c r="K102" s="1562" t="s">
        <v>4906</v>
      </c>
      <c r="L102" s="1561" t="s">
        <v>4907</v>
      </c>
      <c r="M102" s="1563">
        <v>44287</v>
      </c>
    </row>
    <row r="103" spans="1:13" s="1353" customFormat="1" ht="14.4">
      <c r="A103" s="1550">
        <v>96</v>
      </c>
      <c r="B103" s="1560" t="s">
        <v>990</v>
      </c>
      <c r="C103" s="1561" t="s">
        <v>2516</v>
      </c>
      <c r="D103" s="1561" t="s">
        <v>4931</v>
      </c>
      <c r="E103" s="1561" t="s">
        <v>4903</v>
      </c>
      <c r="F103" s="1550" t="s">
        <v>4904</v>
      </c>
      <c r="G103" s="1550">
        <v>92</v>
      </c>
      <c r="H103" s="1550" t="s">
        <v>1862</v>
      </c>
      <c r="I103" s="1550" t="s">
        <v>980</v>
      </c>
      <c r="J103" s="1562" t="s">
        <v>4797</v>
      </c>
      <c r="K103" s="1562" t="s">
        <v>4906</v>
      </c>
      <c r="L103" s="1561" t="s">
        <v>4907</v>
      </c>
      <c r="M103" s="1563">
        <v>44287</v>
      </c>
    </row>
    <row r="104" spans="1:13" s="1353" customFormat="1" ht="14.4">
      <c r="A104" s="1550">
        <v>97</v>
      </c>
      <c r="B104" s="1560" t="s">
        <v>990</v>
      </c>
      <c r="C104" s="1561" t="s">
        <v>2516</v>
      </c>
      <c r="D104" s="1561" t="s">
        <v>4931</v>
      </c>
      <c r="E104" s="1561" t="s">
        <v>4903</v>
      </c>
      <c r="F104" s="1550" t="s">
        <v>4904</v>
      </c>
      <c r="G104" s="1550">
        <v>92</v>
      </c>
      <c r="H104" s="1550" t="s">
        <v>1862</v>
      </c>
      <c r="I104" s="1550" t="s">
        <v>985</v>
      </c>
      <c r="J104" s="1562" t="s">
        <v>4797</v>
      </c>
      <c r="K104" s="1562" t="s">
        <v>4906</v>
      </c>
      <c r="L104" s="1561" t="s">
        <v>4907</v>
      </c>
      <c r="M104" s="1563">
        <v>44287</v>
      </c>
    </row>
    <row r="105" spans="1:13" s="1353" customFormat="1" ht="14.4">
      <c r="A105" s="1550">
        <v>98</v>
      </c>
      <c r="B105" s="1560" t="s">
        <v>990</v>
      </c>
      <c r="C105" s="1561" t="s">
        <v>2516</v>
      </c>
      <c r="D105" s="1561" t="s">
        <v>4931</v>
      </c>
      <c r="E105" s="1561" t="s">
        <v>4903</v>
      </c>
      <c r="F105" s="1550" t="s">
        <v>4904</v>
      </c>
      <c r="G105" s="1550">
        <v>92</v>
      </c>
      <c r="H105" s="1550" t="s">
        <v>1862</v>
      </c>
      <c r="I105" s="1550" t="s">
        <v>958</v>
      </c>
      <c r="J105" s="1562" t="s">
        <v>4797</v>
      </c>
      <c r="K105" s="1562" t="s">
        <v>4906</v>
      </c>
      <c r="L105" s="1561" t="s">
        <v>4907</v>
      </c>
      <c r="M105" s="1563">
        <v>44287</v>
      </c>
    </row>
    <row r="106" spans="1:13" s="1353" customFormat="1" ht="14.4">
      <c r="A106" s="1550">
        <v>99</v>
      </c>
      <c r="B106" s="1560" t="s">
        <v>990</v>
      </c>
      <c r="C106" s="1561" t="s">
        <v>2516</v>
      </c>
      <c r="D106" s="1561" t="s">
        <v>4931</v>
      </c>
      <c r="E106" s="1561" t="s">
        <v>4903</v>
      </c>
      <c r="F106" s="1550" t="s">
        <v>4904</v>
      </c>
      <c r="G106" s="1550">
        <v>92</v>
      </c>
      <c r="H106" s="1550" t="s">
        <v>1862</v>
      </c>
      <c r="I106" s="1550" t="s">
        <v>970</v>
      </c>
      <c r="J106" s="1562" t="s">
        <v>4797</v>
      </c>
      <c r="K106" s="1562" t="s">
        <v>4906</v>
      </c>
      <c r="L106" s="1561" t="s">
        <v>4907</v>
      </c>
      <c r="M106" s="1563">
        <v>44287</v>
      </c>
    </row>
    <row r="107" spans="1:13" s="1353" customFormat="1" ht="43.2">
      <c r="A107" s="1550">
        <v>100</v>
      </c>
      <c r="B107" s="1560" t="s">
        <v>990</v>
      </c>
      <c r="C107" s="1561" t="s">
        <v>2511</v>
      </c>
      <c r="D107" s="1561" t="s">
        <v>4930</v>
      </c>
      <c r="E107" s="1561" t="s">
        <v>4903</v>
      </c>
      <c r="F107" s="1550" t="s">
        <v>4904</v>
      </c>
      <c r="G107" s="1550">
        <v>97</v>
      </c>
      <c r="H107" s="1576" t="s">
        <v>1908</v>
      </c>
      <c r="I107" s="1550" t="s">
        <v>1037</v>
      </c>
      <c r="J107" s="1562" t="s">
        <v>4906</v>
      </c>
      <c r="K107" s="1562">
        <v>-0.17499999999999999</v>
      </c>
      <c r="L107" s="1561" t="s">
        <v>4933</v>
      </c>
      <c r="M107" s="1563">
        <v>44287</v>
      </c>
    </row>
    <row r="108" spans="1:13" s="1353" customFormat="1" ht="43.2">
      <c r="A108" s="1550">
        <v>101</v>
      </c>
      <c r="B108" s="1560" t="s">
        <v>990</v>
      </c>
      <c r="C108" s="1561" t="s">
        <v>2516</v>
      </c>
      <c r="D108" s="1561" t="s">
        <v>4931</v>
      </c>
      <c r="E108" s="1561" t="s">
        <v>4903</v>
      </c>
      <c r="F108" s="1550" t="s">
        <v>4904</v>
      </c>
      <c r="G108" s="1550">
        <v>97</v>
      </c>
      <c r="H108" s="1576" t="s">
        <v>1908</v>
      </c>
      <c r="I108" s="1550" t="s">
        <v>1037</v>
      </c>
      <c r="J108" s="1562" t="s">
        <v>4906</v>
      </c>
      <c r="K108" s="1562">
        <v>-0.18</v>
      </c>
      <c r="L108" s="1561" t="s">
        <v>4934</v>
      </c>
      <c r="M108" s="1563">
        <v>44287</v>
      </c>
    </row>
    <row r="109" spans="1:13" s="1353" customFormat="1" ht="43.2">
      <c r="A109" s="1550">
        <v>102</v>
      </c>
      <c r="B109" s="1575" t="s">
        <v>990</v>
      </c>
      <c r="C109" s="1576" t="s">
        <v>2685</v>
      </c>
      <c r="D109" s="1576" t="s">
        <v>2687</v>
      </c>
      <c r="E109" s="1561" t="s">
        <v>4903</v>
      </c>
      <c r="F109" s="1550" t="s">
        <v>4904</v>
      </c>
      <c r="G109" s="1550">
        <v>97</v>
      </c>
      <c r="H109" s="1576" t="s">
        <v>1907</v>
      </c>
      <c r="I109" s="1550" t="s">
        <v>1037</v>
      </c>
      <c r="J109" s="1562">
        <v>-0.29430000000000001</v>
      </c>
      <c r="K109" s="1562">
        <v>-0.36899999999999999</v>
      </c>
      <c r="L109" s="1561" t="s">
        <v>4935</v>
      </c>
      <c r="M109" s="1563">
        <v>44287</v>
      </c>
    </row>
    <row r="110" spans="1:13" s="1353" customFormat="1" ht="28.8">
      <c r="A110" s="1550">
        <v>103</v>
      </c>
      <c r="B110" s="1575" t="s">
        <v>990</v>
      </c>
      <c r="C110" s="1576" t="s">
        <v>2690</v>
      </c>
      <c r="D110" s="1576" t="s">
        <v>2692</v>
      </c>
      <c r="E110" s="1561" t="s">
        <v>4903</v>
      </c>
      <c r="F110" s="1550" t="s">
        <v>4904</v>
      </c>
      <c r="G110" s="1550">
        <v>97</v>
      </c>
      <c r="H110" s="1576" t="s">
        <v>1907</v>
      </c>
      <c r="I110" s="1550" t="s">
        <v>1037</v>
      </c>
      <c r="J110" s="1571">
        <v>-4.7399999999999998E-2</v>
      </c>
      <c r="K110" s="1571">
        <v>-4.6199999999999998E-2</v>
      </c>
      <c r="L110" s="1561" t="s">
        <v>4936</v>
      </c>
      <c r="M110" s="1563">
        <v>44287</v>
      </c>
    </row>
    <row r="111" spans="1:13" s="1353" customFormat="1" ht="28.8">
      <c r="A111" s="1550">
        <v>104</v>
      </c>
      <c r="B111" s="1575" t="s">
        <v>990</v>
      </c>
      <c r="C111" s="1576" t="s">
        <v>2694</v>
      </c>
      <c r="D111" s="1576" t="s">
        <v>2696</v>
      </c>
      <c r="E111" s="1561" t="s">
        <v>4903</v>
      </c>
      <c r="F111" s="1550" t="s">
        <v>4904</v>
      </c>
      <c r="G111" s="1550">
        <v>97</v>
      </c>
      <c r="H111" s="1576" t="s">
        <v>1907</v>
      </c>
      <c r="I111" s="1550" t="s">
        <v>1037</v>
      </c>
      <c r="J111" s="1562">
        <v>-0.19900000000000001</v>
      </c>
      <c r="K111" s="1562">
        <v>-0.19400000000000001</v>
      </c>
      <c r="L111" s="1561" t="s">
        <v>4937</v>
      </c>
      <c r="M111" s="1563">
        <v>44287</v>
      </c>
    </row>
    <row r="112" spans="1:13" s="1353" customFormat="1" ht="28.8">
      <c r="A112" s="1550">
        <v>105</v>
      </c>
      <c r="B112" s="1575" t="s">
        <v>990</v>
      </c>
      <c r="C112" s="1576" t="s">
        <v>1136</v>
      </c>
      <c r="D112" s="1576" t="s">
        <v>4938</v>
      </c>
      <c r="E112" s="1561" t="s">
        <v>4903</v>
      </c>
      <c r="F112" s="1550" t="s">
        <v>4904</v>
      </c>
      <c r="G112" s="1550">
        <v>97</v>
      </c>
      <c r="H112" s="1576" t="s">
        <v>1907</v>
      </c>
      <c r="I112" s="1550" t="s">
        <v>1037</v>
      </c>
      <c r="J112" s="1571">
        <v>-9.74E-2</v>
      </c>
      <c r="K112" s="1562">
        <v>-0.127</v>
      </c>
      <c r="L112" s="1561" t="s">
        <v>4939</v>
      </c>
      <c r="M112" s="1563">
        <v>44287</v>
      </c>
    </row>
    <row r="113" spans="1:13" s="1353" customFormat="1" ht="43.2">
      <c r="A113" s="1550">
        <v>106</v>
      </c>
      <c r="B113" s="1575" t="s">
        <v>990</v>
      </c>
      <c r="C113" s="1576" t="s">
        <v>2702</v>
      </c>
      <c r="D113" s="1576" t="s">
        <v>2704</v>
      </c>
      <c r="E113" s="1561" t="s">
        <v>4903</v>
      </c>
      <c r="F113" s="1550" t="s">
        <v>4904</v>
      </c>
      <c r="G113" s="1550">
        <v>97</v>
      </c>
      <c r="H113" s="1576" t="s">
        <v>1907</v>
      </c>
      <c r="I113" s="1550" t="s">
        <v>1037</v>
      </c>
      <c r="J113" s="1571">
        <v>-7.1000000000000004E-3</v>
      </c>
      <c r="K113" s="1571">
        <v>-7.3000000000000001E-3</v>
      </c>
      <c r="L113" s="1561" t="s">
        <v>4940</v>
      </c>
      <c r="M113" s="1563">
        <v>44287</v>
      </c>
    </row>
    <row r="114" spans="1:13" s="1353" customFormat="1" ht="28.8">
      <c r="A114" s="1550">
        <v>107</v>
      </c>
      <c r="B114" s="1575" t="s">
        <v>990</v>
      </c>
      <c r="C114" s="1576" t="s">
        <v>2718</v>
      </c>
      <c r="D114" s="1576" t="s">
        <v>2720</v>
      </c>
      <c r="E114" s="1561" t="s">
        <v>4903</v>
      </c>
      <c r="F114" s="1550" t="s">
        <v>4904</v>
      </c>
      <c r="G114" s="1550">
        <v>97</v>
      </c>
      <c r="H114" s="1576" t="s">
        <v>1907</v>
      </c>
      <c r="I114" s="1550" t="s">
        <v>1037</v>
      </c>
      <c r="J114" s="1571">
        <v>-2.0899999999999998E-2</v>
      </c>
      <c r="K114" s="1571">
        <v>-2.7400000000000001E-2</v>
      </c>
      <c r="L114" s="1561" t="s">
        <v>4941</v>
      </c>
      <c r="M114" s="1563">
        <v>44287</v>
      </c>
    </row>
    <row r="115" spans="1:13" s="1353" customFormat="1" ht="28.8">
      <c r="A115" s="1550">
        <v>108</v>
      </c>
      <c r="B115" s="1575" t="s">
        <v>990</v>
      </c>
      <c r="C115" s="1576" t="s">
        <v>2711</v>
      </c>
      <c r="D115" s="1576" t="s">
        <v>2172</v>
      </c>
      <c r="E115" s="1561" t="s">
        <v>4903</v>
      </c>
      <c r="F115" s="1550" t="s">
        <v>4904</v>
      </c>
      <c r="G115" s="1550">
        <v>97</v>
      </c>
      <c r="H115" s="1576" t="s">
        <v>1907</v>
      </c>
      <c r="I115" s="1550" t="s">
        <v>1037</v>
      </c>
      <c r="J115" s="1571">
        <v>-1.78E-2</v>
      </c>
      <c r="K115" s="1571">
        <v>-1.83E-2</v>
      </c>
      <c r="L115" s="1561" t="s">
        <v>4942</v>
      </c>
      <c r="M115" s="1563">
        <v>44287</v>
      </c>
    </row>
    <row r="116" spans="1:13" s="1353" customFormat="1" ht="14.4">
      <c r="A116" s="1550">
        <v>109</v>
      </c>
      <c r="B116" s="1560" t="s">
        <v>990</v>
      </c>
      <c r="C116" s="1561" t="s">
        <v>2511</v>
      </c>
      <c r="D116" s="1561" t="s">
        <v>4930</v>
      </c>
      <c r="E116" s="1561" t="s">
        <v>4903</v>
      </c>
      <c r="F116" s="1550" t="s">
        <v>4904</v>
      </c>
      <c r="G116" s="1550">
        <v>100</v>
      </c>
      <c r="H116" s="1550" t="s">
        <v>1910</v>
      </c>
      <c r="I116" s="1550" t="s">
        <v>1037</v>
      </c>
      <c r="J116" s="1562">
        <v>-0.26645000000000002</v>
      </c>
      <c r="K116" s="1562" t="s">
        <v>4906</v>
      </c>
      <c r="L116" s="1561" t="s">
        <v>4907</v>
      </c>
      <c r="M116" s="1563">
        <v>44287</v>
      </c>
    </row>
    <row r="117" spans="1:13" s="1353" customFormat="1" ht="14.4">
      <c r="A117" s="1550">
        <v>110</v>
      </c>
      <c r="B117" s="1560" t="s">
        <v>990</v>
      </c>
      <c r="C117" s="1561" t="s">
        <v>2516</v>
      </c>
      <c r="D117" s="1561" t="s">
        <v>4931</v>
      </c>
      <c r="E117" s="1561" t="s">
        <v>4903</v>
      </c>
      <c r="F117" s="1550" t="s">
        <v>4904</v>
      </c>
      <c r="G117" s="1550">
        <v>100</v>
      </c>
      <c r="H117" s="1550" t="s">
        <v>1910</v>
      </c>
      <c r="I117" s="1550" t="s">
        <v>1037</v>
      </c>
      <c r="J117" s="1562">
        <v>-0.48801299999999997</v>
      </c>
      <c r="K117" s="1562" t="s">
        <v>4906</v>
      </c>
      <c r="L117" s="1561" t="s">
        <v>4907</v>
      </c>
      <c r="M117" s="1563">
        <v>44287</v>
      </c>
    </row>
    <row r="118" spans="1:13" s="1353" customFormat="1" ht="14.4">
      <c r="A118" s="1550">
        <v>111</v>
      </c>
      <c r="B118" s="1560" t="s">
        <v>990</v>
      </c>
      <c r="C118" s="1561" t="s">
        <v>2511</v>
      </c>
      <c r="D118" s="1561" t="s">
        <v>4930</v>
      </c>
      <c r="E118" s="1561" t="s">
        <v>4903</v>
      </c>
      <c r="F118" s="1550" t="s">
        <v>4904</v>
      </c>
      <c r="G118" s="1550">
        <v>104</v>
      </c>
      <c r="H118" s="1550" t="s">
        <v>1914</v>
      </c>
      <c r="I118" s="1550" t="s">
        <v>1037</v>
      </c>
      <c r="J118" s="1562">
        <v>0.26645000000000002</v>
      </c>
      <c r="K118" s="1562" t="s">
        <v>4906</v>
      </c>
      <c r="L118" s="1561" t="s">
        <v>4907</v>
      </c>
      <c r="M118" s="1563">
        <v>44287</v>
      </c>
    </row>
    <row r="119" spans="1:13" s="1353" customFormat="1" ht="14.4">
      <c r="A119" s="1550">
        <v>112</v>
      </c>
      <c r="B119" s="1560" t="s">
        <v>990</v>
      </c>
      <c r="C119" s="1561" t="s">
        <v>2516</v>
      </c>
      <c r="D119" s="1561" t="s">
        <v>4931</v>
      </c>
      <c r="E119" s="1561" t="s">
        <v>4903</v>
      </c>
      <c r="F119" s="1550" t="s">
        <v>4904</v>
      </c>
      <c r="G119" s="1550">
        <v>104</v>
      </c>
      <c r="H119" s="1550" t="s">
        <v>1914</v>
      </c>
      <c r="I119" s="1550" t="s">
        <v>1037</v>
      </c>
      <c r="J119" s="1562">
        <v>0.48801299999999997</v>
      </c>
      <c r="K119" s="1562" t="s">
        <v>4906</v>
      </c>
      <c r="L119" s="1561" t="s">
        <v>4907</v>
      </c>
      <c r="M119" s="1563">
        <v>44287</v>
      </c>
    </row>
    <row r="120" spans="1:13" s="1353" customFormat="1" ht="43.2">
      <c r="A120" s="1550">
        <v>113</v>
      </c>
      <c r="B120" s="1575" t="s">
        <v>990</v>
      </c>
      <c r="C120" s="1576" t="s">
        <v>4943</v>
      </c>
      <c r="D120" s="1561" t="s">
        <v>4944</v>
      </c>
      <c r="E120" s="1561" t="s">
        <v>4903</v>
      </c>
      <c r="F120" s="1550" t="s">
        <v>4904</v>
      </c>
      <c r="G120" s="1550"/>
      <c r="H120" s="1550"/>
      <c r="I120" s="1550"/>
      <c r="J120" s="1562" t="s">
        <v>4945</v>
      </c>
      <c r="K120" s="1562" t="s">
        <v>4945</v>
      </c>
      <c r="L120" s="1561" t="s">
        <v>4946</v>
      </c>
      <c r="M120" s="1563">
        <v>44287</v>
      </c>
    </row>
    <row r="121" spans="1:13" s="1353" customFormat="1" ht="14.4">
      <c r="A121" s="1550">
        <v>114</v>
      </c>
      <c r="B121" s="1575" t="s">
        <v>1015</v>
      </c>
      <c r="C121" s="1576" t="s">
        <v>4653</v>
      </c>
      <c r="D121" s="1576" t="s">
        <v>4902</v>
      </c>
      <c r="E121" s="1561" t="s">
        <v>4903</v>
      </c>
      <c r="F121" s="1550" t="s">
        <v>4904</v>
      </c>
      <c r="G121" s="1550">
        <v>77</v>
      </c>
      <c r="H121" s="1550" t="s">
        <v>1859</v>
      </c>
      <c r="I121" s="1550" t="s">
        <v>985</v>
      </c>
      <c r="J121" s="1562">
        <v>2</v>
      </c>
      <c r="K121" s="1562">
        <v>1.5</v>
      </c>
      <c r="L121" s="1561" t="s">
        <v>4905</v>
      </c>
      <c r="M121" s="1563">
        <v>44287</v>
      </c>
    </row>
    <row r="122" spans="1:13" s="1353" customFormat="1" ht="14.4">
      <c r="A122" s="1550">
        <v>115</v>
      </c>
      <c r="B122" s="1575" t="s">
        <v>1015</v>
      </c>
      <c r="C122" s="1576" t="s">
        <v>4653</v>
      </c>
      <c r="D122" s="1576" t="s">
        <v>4902</v>
      </c>
      <c r="E122" s="1561" t="s">
        <v>4903</v>
      </c>
      <c r="F122" s="1550" t="s">
        <v>4904</v>
      </c>
      <c r="G122" s="1550">
        <v>77</v>
      </c>
      <c r="H122" s="1550" t="s">
        <v>1859</v>
      </c>
      <c r="I122" s="1550" t="s">
        <v>958</v>
      </c>
      <c r="J122" s="1562">
        <v>2</v>
      </c>
      <c r="K122" s="1562">
        <v>1.5</v>
      </c>
      <c r="L122" s="1561" t="s">
        <v>4905</v>
      </c>
      <c r="M122" s="1563">
        <v>44287</v>
      </c>
    </row>
    <row r="123" spans="1:13" s="1353" customFormat="1" ht="14.4">
      <c r="A123" s="1550">
        <v>116</v>
      </c>
      <c r="B123" s="1575" t="s">
        <v>1015</v>
      </c>
      <c r="C123" s="1576" t="s">
        <v>4653</v>
      </c>
      <c r="D123" s="1576" t="s">
        <v>4902</v>
      </c>
      <c r="E123" s="1561" t="s">
        <v>4903</v>
      </c>
      <c r="F123" s="1550" t="s">
        <v>4904</v>
      </c>
      <c r="G123" s="1550">
        <v>77</v>
      </c>
      <c r="H123" s="1550" t="s">
        <v>1859</v>
      </c>
      <c r="I123" s="1550" t="s">
        <v>970</v>
      </c>
      <c r="J123" s="1562">
        <v>2</v>
      </c>
      <c r="K123" s="1562">
        <v>1.5</v>
      </c>
      <c r="L123" s="1561" t="s">
        <v>4905</v>
      </c>
      <c r="M123" s="1563">
        <v>44287</v>
      </c>
    </row>
    <row r="124" spans="1:13" s="1353" customFormat="1" ht="14.4">
      <c r="A124" s="1550">
        <v>117</v>
      </c>
      <c r="B124" s="1560" t="s">
        <v>1015</v>
      </c>
      <c r="C124" s="1561" t="s">
        <v>4659</v>
      </c>
      <c r="D124" s="1561" t="s">
        <v>629</v>
      </c>
      <c r="E124" s="1561" t="s">
        <v>4903</v>
      </c>
      <c r="F124" s="1550" t="s">
        <v>4904</v>
      </c>
      <c r="G124" s="1550">
        <v>67</v>
      </c>
      <c r="H124" s="1550" t="s">
        <v>1857</v>
      </c>
      <c r="I124" s="1550" t="s">
        <v>968</v>
      </c>
      <c r="J124" s="1562">
        <v>348.76805357173879</v>
      </c>
      <c r="K124" s="1562" t="s">
        <v>4906</v>
      </c>
      <c r="L124" s="1561" t="s">
        <v>4907</v>
      </c>
      <c r="M124" s="1563">
        <v>44287</v>
      </c>
    </row>
    <row r="125" spans="1:13" s="1353" customFormat="1" ht="14.4">
      <c r="A125" s="1550">
        <v>118</v>
      </c>
      <c r="B125" s="1560" t="s">
        <v>1015</v>
      </c>
      <c r="C125" s="1561" t="s">
        <v>4659</v>
      </c>
      <c r="D125" s="1561" t="s">
        <v>629</v>
      </c>
      <c r="E125" s="1561" t="s">
        <v>4903</v>
      </c>
      <c r="F125" s="1550" t="s">
        <v>4904</v>
      </c>
      <c r="G125" s="1550">
        <v>67</v>
      </c>
      <c r="H125" s="1550" t="s">
        <v>1857</v>
      </c>
      <c r="I125" s="1550" t="s">
        <v>980</v>
      </c>
      <c r="J125" s="1562">
        <v>348.76805357173879</v>
      </c>
      <c r="K125" s="1562" t="s">
        <v>4906</v>
      </c>
      <c r="L125" s="1561" t="s">
        <v>4907</v>
      </c>
      <c r="M125" s="1563">
        <v>44287</v>
      </c>
    </row>
    <row r="126" spans="1:13" s="1353" customFormat="1" ht="14.4">
      <c r="A126" s="1550">
        <v>119</v>
      </c>
      <c r="B126" s="1560" t="s">
        <v>1015</v>
      </c>
      <c r="C126" s="1561" t="s">
        <v>4659</v>
      </c>
      <c r="D126" s="1561" t="s">
        <v>629</v>
      </c>
      <c r="E126" s="1561" t="s">
        <v>4903</v>
      </c>
      <c r="F126" s="1550" t="s">
        <v>4904</v>
      </c>
      <c r="G126" s="1550">
        <v>67</v>
      </c>
      <c r="H126" s="1550" t="s">
        <v>1857</v>
      </c>
      <c r="I126" s="1550" t="s">
        <v>985</v>
      </c>
      <c r="J126" s="1562">
        <v>348.76805357173879</v>
      </c>
      <c r="K126" s="1562" t="s">
        <v>4906</v>
      </c>
      <c r="L126" s="1561" t="s">
        <v>4907</v>
      </c>
      <c r="M126" s="1563">
        <v>44287</v>
      </c>
    </row>
    <row r="127" spans="1:13" s="1353" customFormat="1" ht="14.4">
      <c r="A127" s="1550">
        <v>120</v>
      </c>
      <c r="B127" s="1560" t="s">
        <v>1015</v>
      </c>
      <c r="C127" s="1561" t="s">
        <v>4659</v>
      </c>
      <c r="D127" s="1561" t="s">
        <v>629</v>
      </c>
      <c r="E127" s="1561" t="s">
        <v>4903</v>
      </c>
      <c r="F127" s="1550" t="s">
        <v>4904</v>
      </c>
      <c r="G127" s="1550">
        <v>67</v>
      </c>
      <c r="H127" s="1550" t="s">
        <v>1857</v>
      </c>
      <c r="I127" s="1550" t="s">
        <v>958</v>
      </c>
      <c r="J127" s="1562">
        <v>348.76805357173879</v>
      </c>
      <c r="K127" s="1562" t="s">
        <v>4906</v>
      </c>
      <c r="L127" s="1561" t="s">
        <v>4907</v>
      </c>
      <c r="M127" s="1563">
        <v>44287</v>
      </c>
    </row>
    <row r="128" spans="1:13" s="1353" customFormat="1" ht="14.4">
      <c r="A128" s="1550">
        <v>121</v>
      </c>
      <c r="B128" s="1560" t="s">
        <v>1015</v>
      </c>
      <c r="C128" s="1561" t="s">
        <v>4659</v>
      </c>
      <c r="D128" s="1561" t="s">
        <v>629</v>
      </c>
      <c r="E128" s="1561" t="s">
        <v>4903</v>
      </c>
      <c r="F128" s="1550" t="s">
        <v>4904</v>
      </c>
      <c r="G128" s="1550">
        <v>67</v>
      </c>
      <c r="H128" s="1550" t="s">
        <v>1857</v>
      </c>
      <c r="I128" s="1550" t="s">
        <v>970</v>
      </c>
      <c r="J128" s="1562">
        <v>348.76805357173879</v>
      </c>
      <c r="K128" s="1562" t="s">
        <v>4906</v>
      </c>
      <c r="L128" s="1561" t="s">
        <v>4907</v>
      </c>
      <c r="M128" s="1563">
        <v>44287</v>
      </c>
    </row>
    <row r="129" spans="1:13" s="1353" customFormat="1" ht="14.4">
      <c r="A129" s="1550">
        <v>122</v>
      </c>
      <c r="B129" s="1560" t="s">
        <v>1015</v>
      </c>
      <c r="C129" s="1561" t="s">
        <v>4659</v>
      </c>
      <c r="D129" s="1561" t="s">
        <v>629</v>
      </c>
      <c r="E129" s="1561" t="s">
        <v>4903</v>
      </c>
      <c r="F129" s="1550" t="s">
        <v>4904</v>
      </c>
      <c r="G129" s="1550">
        <v>92</v>
      </c>
      <c r="H129" s="1550" t="s">
        <v>1862</v>
      </c>
      <c r="I129" s="1550" t="s">
        <v>968</v>
      </c>
      <c r="J129" s="1562" t="s">
        <v>4797</v>
      </c>
      <c r="K129" s="1562" t="s">
        <v>4906</v>
      </c>
      <c r="L129" s="1561" t="s">
        <v>4907</v>
      </c>
      <c r="M129" s="1563">
        <v>44287</v>
      </c>
    </row>
    <row r="130" spans="1:13" s="1353" customFormat="1" ht="14.4">
      <c r="A130" s="1550">
        <v>123</v>
      </c>
      <c r="B130" s="1560" t="s">
        <v>1015</v>
      </c>
      <c r="C130" s="1561" t="s">
        <v>4659</v>
      </c>
      <c r="D130" s="1561" t="s">
        <v>629</v>
      </c>
      <c r="E130" s="1561" t="s">
        <v>4903</v>
      </c>
      <c r="F130" s="1550" t="s">
        <v>4904</v>
      </c>
      <c r="G130" s="1550">
        <v>92</v>
      </c>
      <c r="H130" s="1550" t="s">
        <v>1862</v>
      </c>
      <c r="I130" s="1550" t="s">
        <v>980</v>
      </c>
      <c r="J130" s="1562" t="s">
        <v>4797</v>
      </c>
      <c r="K130" s="1562" t="s">
        <v>4906</v>
      </c>
      <c r="L130" s="1561" t="s">
        <v>4907</v>
      </c>
      <c r="M130" s="1563">
        <v>44287</v>
      </c>
    </row>
    <row r="131" spans="1:13" s="1353" customFormat="1" ht="14.4">
      <c r="A131" s="1550">
        <v>124</v>
      </c>
      <c r="B131" s="1560" t="s">
        <v>1015</v>
      </c>
      <c r="C131" s="1561" t="s">
        <v>4659</v>
      </c>
      <c r="D131" s="1561" t="s">
        <v>629</v>
      </c>
      <c r="E131" s="1561" t="s">
        <v>4903</v>
      </c>
      <c r="F131" s="1550" t="s">
        <v>4904</v>
      </c>
      <c r="G131" s="1550">
        <v>92</v>
      </c>
      <c r="H131" s="1550" t="s">
        <v>1862</v>
      </c>
      <c r="I131" s="1550" t="s">
        <v>985</v>
      </c>
      <c r="J131" s="1562" t="s">
        <v>4797</v>
      </c>
      <c r="K131" s="1562" t="s">
        <v>4906</v>
      </c>
      <c r="L131" s="1561" t="s">
        <v>4907</v>
      </c>
      <c r="M131" s="1563">
        <v>44287</v>
      </c>
    </row>
    <row r="132" spans="1:13" s="1353" customFormat="1" ht="14.4">
      <c r="A132" s="1550">
        <v>125</v>
      </c>
      <c r="B132" s="1560" t="s">
        <v>1015</v>
      </c>
      <c r="C132" s="1561" t="s">
        <v>4659</v>
      </c>
      <c r="D132" s="1561" t="s">
        <v>629</v>
      </c>
      <c r="E132" s="1561" t="s">
        <v>4903</v>
      </c>
      <c r="F132" s="1550" t="s">
        <v>4904</v>
      </c>
      <c r="G132" s="1550">
        <v>92</v>
      </c>
      <c r="H132" s="1550" t="s">
        <v>1862</v>
      </c>
      <c r="I132" s="1550" t="s">
        <v>958</v>
      </c>
      <c r="J132" s="1562" t="s">
        <v>4797</v>
      </c>
      <c r="K132" s="1562" t="s">
        <v>4906</v>
      </c>
      <c r="L132" s="1561" t="s">
        <v>4907</v>
      </c>
      <c r="M132" s="1563">
        <v>44287</v>
      </c>
    </row>
    <row r="133" spans="1:13" s="1353" customFormat="1" ht="14.4">
      <c r="A133" s="1550">
        <v>126</v>
      </c>
      <c r="B133" s="1560" t="s">
        <v>1015</v>
      </c>
      <c r="C133" s="1561" t="s">
        <v>4659</v>
      </c>
      <c r="D133" s="1561" t="s">
        <v>629</v>
      </c>
      <c r="E133" s="1561" t="s">
        <v>4903</v>
      </c>
      <c r="F133" s="1550" t="s">
        <v>4904</v>
      </c>
      <c r="G133" s="1550">
        <v>92</v>
      </c>
      <c r="H133" s="1550" t="s">
        <v>1862</v>
      </c>
      <c r="I133" s="1550" t="s">
        <v>970</v>
      </c>
      <c r="J133" s="1562" t="s">
        <v>4797</v>
      </c>
      <c r="K133" s="1562" t="s">
        <v>4906</v>
      </c>
      <c r="L133" s="1561" t="s">
        <v>4907</v>
      </c>
      <c r="M133" s="1563">
        <v>44287</v>
      </c>
    </row>
    <row r="134" spans="1:13" s="1353" customFormat="1" ht="43.2">
      <c r="A134" s="1550">
        <v>127</v>
      </c>
      <c r="B134" s="1560" t="s">
        <v>1015</v>
      </c>
      <c r="C134" s="1561" t="s">
        <v>4659</v>
      </c>
      <c r="D134" s="1561" t="s">
        <v>629</v>
      </c>
      <c r="E134" s="1561" t="s">
        <v>4903</v>
      </c>
      <c r="F134" s="1550" t="s">
        <v>4904</v>
      </c>
      <c r="G134" s="1550">
        <v>97</v>
      </c>
      <c r="H134" s="1564" t="s">
        <v>1908</v>
      </c>
      <c r="I134" s="1550" t="s">
        <v>1037</v>
      </c>
      <c r="J134" s="1562" t="s">
        <v>4906</v>
      </c>
      <c r="K134" s="1562">
        <v>-0.253</v>
      </c>
      <c r="L134" s="1561" t="s">
        <v>4947</v>
      </c>
      <c r="M134" s="1563">
        <v>44287</v>
      </c>
    </row>
    <row r="135" spans="1:13" s="1353" customFormat="1" ht="14.4">
      <c r="A135" s="1550">
        <v>128</v>
      </c>
      <c r="B135" s="1560" t="s">
        <v>1015</v>
      </c>
      <c r="C135" s="1561" t="s">
        <v>4659</v>
      </c>
      <c r="D135" s="1561" t="s">
        <v>629</v>
      </c>
      <c r="E135" s="1561" t="s">
        <v>4903</v>
      </c>
      <c r="F135" s="1550" t="s">
        <v>4904</v>
      </c>
      <c r="G135" s="1550">
        <v>100</v>
      </c>
      <c r="H135" s="1550" t="s">
        <v>1910</v>
      </c>
      <c r="I135" s="1550" t="s">
        <v>1037</v>
      </c>
      <c r="J135" s="1562">
        <v>-0.70199387493371368</v>
      </c>
      <c r="K135" s="1562" t="s">
        <v>4906</v>
      </c>
      <c r="L135" s="1561" t="s">
        <v>4907</v>
      </c>
      <c r="M135" s="1563">
        <v>44287</v>
      </c>
    </row>
    <row r="136" spans="1:13" s="1353" customFormat="1" ht="14.4">
      <c r="A136" s="1550">
        <v>129</v>
      </c>
      <c r="B136" s="1560" t="s">
        <v>1015</v>
      </c>
      <c r="C136" s="1561" t="s">
        <v>4659</v>
      </c>
      <c r="D136" s="1561" t="s">
        <v>629</v>
      </c>
      <c r="E136" s="1561" t="s">
        <v>4903</v>
      </c>
      <c r="F136" s="1550" t="s">
        <v>4904</v>
      </c>
      <c r="G136" s="1550">
        <v>104</v>
      </c>
      <c r="H136" s="1550" t="s">
        <v>1914</v>
      </c>
      <c r="I136" s="1550" t="s">
        <v>1037</v>
      </c>
      <c r="J136" s="1562">
        <v>0.70199387493371368</v>
      </c>
      <c r="K136" s="1562" t="s">
        <v>4906</v>
      </c>
      <c r="L136" s="1561" t="s">
        <v>4907</v>
      </c>
      <c r="M136" s="1563">
        <v>44287</v>
      </c>
    </row>
    <row r="137" spans="1:13" s="1353" customFormat="1" ht="14.4">
      <c r="A137" s="1550">
        <v>130</v>
      </c>
      <c r="B137" s="1560" t="s">
        <v>1015</v>
      </c>
      <c r="C137" s="1561" t="s">
        <v>4662</v>
      </c>
      <c r="D137" s="1561" t="s">
        <v>4913</v>
      </c>
      <c r="E137" s="1561" t="s">
        <v>4903</v>
      </c>
      <c r="F137" s="1550" t="s">
        <v>4904</v>
      </c>
      <c r="G137" s="1550">
        <v>77</v>
      </c>
      <c r="H137" s="1550" t="s">
        <v>1859</v>
      </c>
      <c r="I137" s="1550" t="s">
        <v>968</v>
      </c>
      <c r="J137" s="1562" t="s">
        <v>4906</v>
      </c>
      <c r="K137" s="1562">
        <v>6.14</v>
      </c>
      <c r="L137" s="1561" t="s">
        <v>4932</v>
      </c>
      <c r="M137" s="1563">
        <v>44287</v>
      </c>
    </row>
    <row r="138" spans="1:13" s="1353" customFormat="1" ht="14.4">
      <c r="A138" s="1550">
        <v>131</v>
      </c>
      <c r="B138" s="1560" t="s">
        <v>1015</v>
      </c>
      <c r="C138" s="1561" t="s">
        <v>4662</v>
      </c>
      <c r="D138" s="1561" t="s">
        <v>4913</v>
      </c>
      <c r="E138" s="1561" t="s">
        <v>4903</v>
      </c>
      <c r="F138" s="1550" t="s">
        <v>4904</v>
      </c>
      <c r="G138" s="1550">
        <v>77</v>
      </c>
      <c r="H138" s="1550" t="s">
        <v>1859</v>
      </c>
      <c r="I138" s="1550" t="s">
        <v>980</v>
      </c>
      <c r="J138" s="1562" t="s">
        <v>4906</v>
      </c>
      <c r="K138" s="1562">
        <v>5.3</v>
      </c>
      <c r="L138" s="1561" t="s">
        <v>4932</v>
      </c>
      <c r="M138" s="1563">
        <v>44287</v>
      </c>
    </row>
    <row r="139" spans="1:13" s="1353" customFormat="1" ht="14.4">
      <c r="A139" s="1550">
        <v>132</v>
      </c>
      <c r="B139" s="1560" t="s">
        <v>1015</v>
      </c>
      <c r="C139" s="1561" t="s">
        <v>4662</v>
      </c>
      <c r="D139" s="1561" t="s">
        <v>4913</v>
      </c>
      <c r="E139" s="1561" t="s">
        <v>4903</v>
      </c>
      <c r="F139" s="1550" t="s">
        <v>4904</v>
      </c>
      <c r="G139" s="1550">
        <v>77</v>
      </c>
      <c r="H139" s="1550" t="s">
        <v>1859</v>
      </c>
      <c r="I139" s="1550" t="s">
        <v>985</v>
      </c>
      <c r="J139" s="1562" t="s">
        <v>4906</v>
      </c>
      <c r="K139" s="1562">
        <v>4.4800000000000004</v>
      </c>
      <c r="L139" s="1561" t="s">
        <v>4932</v>
      </c>
      <c r="M139" s="1563">
        <v>44287</v>
      </c>
    </row>
    <row r="140" spans="1:13" s="1353" customFormat="1" ht="14.4">
      <c r="A140" s="1550">
        <v>133</v>
      </c>
      <c r="B140" s="1560" t="s">
        <v>1015</v>
      </c>
      <c r="C140" s="1561" t="s">
        <v>4662</v>
      </c>
      <c r="D140" s="1561" t="s">
        <v>4913</v>
      </c>
      <c r="E140" s="1561" t="s">
        <v>4903</v>
      </c>
      <c r="F140" s="1550" t="s">
        <v>4904</v>
      </c>
      <c r="G140" s="1550">
        <v>77</v>
      </c>
      <c r="H140" s="1550" t="s">
        <v>1859</v>
      </c>
      <c r="I140" s="1550" t="s">
        <v>958</v>
      </c>
      <c r="J140" s="1562" t="s">
        <v>4906</v>
      </c>
      <c r="K140" s="1562">
        <v>3.64</v>
      </c>
      <c r="L140" s="1561" t="s">
        <v>4932</v>
      </c>
      <c r="M140" s="1563">
        <v>44287</v>
      </c>
    </row>
    <row r="141" spans="1:13" s="1353" customFormat="1" ht="14.4">
      <c r="A141" s="1550">
        <v>134</v>
      </c>
      <c r="B141" s="1560" t="s">
        <v>1015</v>
      </c>
      <c r="C141" s="1561" t="s">
        <v>4662</v>
      </c>
      <c r="D141" s="1561" t="s">
        <v>4913</v>
      </c>
      <c r="E141" s="1561" t="s">
        <v>4903</v>
      </c>
      <c r="F141" s="1550" t="s">
        <v>4904</v>
      </c>
      <c r="G141" s="1550">
        <v>77</v>
      </c>
      <c r="H141" s="1550" t="s">
        <v>1859</v>
      </c>
      <c r="I141" s="1550" t="s">
        <v>970</v>
      </c>
      <c r="J141" s="1562" t="s">
        <v>4906</v>
      </c>
      <c r="K141" s="1562">
        <v>2.81</v>
      </c>
      <c r="L141" s="1561" t="s">
        <v>4932</v>
      </c>
      <c r="M141" s="1563">
        <v>44287</v>
      </c>
    </row>
    <row r="142" spans="1:13" s="1353" customFormat="1" ht="14.4">
      <c r="A142" s="1550">
        <v>135</v>
      </c>
      <c r="B142" s="1560" t="s">
        <v>1015</v>
      </c>
      <c r="C142" s="1561" t="s">
        <v>4665</v>
      </c>
      <c r="D142" s="1561" t="s">
        <v>4911</v>
      </c>
      <c r="E142" s="1561" t="s">
        <v>4903</v>
      </c>
      <c r="F142" s="1550" t="s">
        <v>4904</v>
      </c>
      <c r="G142" s="1550">
        <v>77</v>
      </c>
      <c r="H142" s="1550" t="s">
        <v>1859</v>
      </c>
      <c r="I142" s="1550" t="s">
        <v>968</v>
      </c>
      <c r="J142" s="1562" t="s">
        <v>4906</v>
      </c>
      <c r="K142" s="1562">
        <v>196.1</v>
      </c>
      <c r="L142" s="1561" t="s">
        <v>4912</v>
      </c>
      <c r="M142" s="1563">
        <v>44287</v>
      </c>
    </row>
    <row r="143" spans="1:13" s="1353" customFormat="1" ht="14.4">
      <c r="A143" s="1550">
        <v>136</v>
      </c>
      <c r="B143" s="1560" t="s">
        <v>1015</v>
      </c>
      <c r="C143" s="1561" t="s">
        <v>4665</v>
      </c>
      <c r="D143" s="1561" t="s">
        <v>4911</v>
      </c>
      <c r="E143" s="1561" t="s">
        <v>4903</v>
      </c>
      <c r="F143" s="1550" t="s">
        <v>4904</v>
      </c>
      <c r="G143" s="1550">
        <v>77</v>
      </c>
      <c r="H143" s="1550" t="s">
        <v>1859</v>
      </c>
      <c r="I143" s="1550" t="s">
        <v>980</v>
      </c>
      <c r="J143" s="1562" t="s">
        <v>4906</v>
      </c>
      <c r="K143" s="1562">
        <v>193.6</v>
      </c>
      <c r="L143" s="1561" t="s">
        <v>4912</v>
      </c>
      <c r="M143" s="1563">
        <v>44287</v>
      </c>
    </row>
    <row r="144" spans="1:13" s="1353" customFormat="1" ht="14.4">
      <c r="A144" s="1550">
        <v>137</v>
      </c>
      <c r="B144" s="1560" t="s">
        <v>1015</v>
      </c>
      <c r="C144" s="1561" t="s">
        <v>4665</v>
      </c>
      <c r="D144" s="1561" t="s">
        <v>4911</v>
      </c>
      <c r="E144" s="1561" t="s">
        <v>4903</v>
      </c>
      <c r="F144" s="1550" t="s">
        <v>4904</v>
      </c>
      <c r="G144" s="1550">
        <v>77</v>
      </c>
      <c r="H144" s="1550" t="s">
        <v>1859</v>
      </c>
      <c r="I144" s="1550" t="s">
        <v>985</v>
      </c>
      <c r="J144" s="1562" t="s">
        <v>4906</v>
      </c>
      <c r="K144" s="1562">
        <v>191</v>
      </c>
      <c r="L144" s="1561" t="s">
        <v>4912</v>
      </c>
      <c r="M144" s="1563">
        <v>44287</v>
      </c>
    </row>
    <row r="145" spans="1:13" s="1353" customFormat="1" ht="14.4">
      <c r="A145" s="1550">
        <v>138</v>
      </c>
      <c r="B145" s="1560" t="s">
        <v>1015</v>
      </c>
      <c r="C145" s="1561" t="s">
        <v>4665</v>
      </c>
      <c r="D145" s="1561" t="s">
        <v>4911</v>
      </c>
      <c r="E145" s="1561" t="s">
        <v>4903</v>
      </c>
      <c r="F145" s="1550" t="s">
        <v>4904</v>
      </c>
      <c r="G145" s="1550">
        <v>77</v>
      </c>
      <c r="H145" s="1550" t="s">
        <v>1859</v>
      </c>
      <c r="I145" s="1550" t="s">
        <v>958</v>
      </c>
      <c r="J145" s="1562" t="s">
        <v>4906</v>
      </c>
      <c r="K145" s="1562">
        <v>188.4</v>
      </c>
      <c r="L145" s="1561" t="s">
        <v>4912</v>
      </c>
      <c r="M145" s="1563">
        <v>44287</v>
      </c>
    </row>
    <row r="146" spans="1:13" s="1353" customFormat="1" ht="14.4">
      <c r="A146" s="1550">
        <v>139</v>
      </c>
      <c r="B146" s="1560" t="s">
        <v>1015</v>
      </c>
      <c r="C146" s="1561" t="s">
        <v>4665</v>
      </c>
      <c r="D146" s="1561" t="s">
        <v>4911</v>
      </c>
      <c r="E146" s="1561" t="s">
        <v>4903</v>
      </c>
      <c r="F146" s="1550" t="s">
        <v>4904</v>
      </c>
      <c r="G146" s="1550">
        <v>77</v>
      </c>
      <c r="H146" s="1550" t="s">
        <v>1859</v>
      </c>
      <c r="I146" s="1550" t="s">
        <v>970</v>
      </c>
      <c r="J146" s="1562" t="s">
        <v>4906</v>
      </c>
      <c r="K146" s="1562">
        <v>185.8</v>
      </c>
      <c r="L146" s="1561" t="s">
        <v>4912</v>
      </c>
      <c r="M146" s="1563">
        <v>44287</v>
      </c>
    </row>
    <row r="147" spans="1:13" s="1353" customFormat="1" ht="28.8">
      <c r="A147" s="1550">
        <v>140</v>
      </c>
      <c r="B147" s="1560" t="s">
        <v>1015</v>
      </c>
      <c r="C147" s="1561" t="s">
        <v>4678</v>
      </c>
      <c r="D147" s="1561" t="s">
        <v>2016</v>
      </c>
      <c r="E147" s="1561" t="s">
        <v>4903</v>
      </c>
      <c r="F147" s="1550" t="s">
        <v>4904</v>
      </c>
      <c r="G147" s="1550">
        <v>101</v>
      </c>
      <c r="H147" s="1564" t="s">
        <v>1911</v>
      </c>
      <c r="I147" s="1550" t="s">
        <v>1037</v>
      </c>
      <c r="J147" s="1562">
        <v>0.139214</v>
      </c>
      <c r="K147" s="1562" t="s">
        <v>4906</v>
      </c>
      <c r="L147" s="1561" t="s">
        <v>4948</v>
      </c>
      <c r="M147" s="1563">
        <v>44287</v>
      </c>
    </row>
    <row r="148" spans="1:13" s="1353" customFormat="1" ht="28.8">
      <c r="A148" s="1565">
        <v>141</v>
      </c>
      <c r="B148" s="1566" t="s">
        <v>1036</v>
      </c>
      <c r="C148" s="1567" t="s">
        <v>3358</v>
      </c>
      <c r="D148" s="1567" t="s">
        <v>3360</v>
      </c>
      <c r="E148" s="1567" t="s">
        <v>788</v>
      </c>
      <c r="F148" s="1565" t="s">
        <v>4904</v>
      </c>
      <c r="G148" s="1565">
        <v>20</v>
      </c>
      <c r="H148" s="1565" t="s">
        <v>1873</v>
      </c>
      <c r="I148" s="1565" t="s">
        <v>1037</v>
      </c>
      <c r="J148" s="1568" t="s">
        <v>1039</v>
      </c>
      <c r="K148" s="1568" t="s">
        <v>2204</v>
      </c>
      <c r="L148" s="1567" t="s">
        <v>4949</v>
      </c>
      <c r="M148" s="1569">
        <v>44225</v>
      </c>
    </row>
    <row r="149" spans="1:13" s="1353" customFormat="1" ht="28.8">
      <c r="A149" s="1565">
        <v>142</v>
      </c>
      <c r="B149" s="1566" t="s">
        <v>1036</v>
      </c>
      <c r="C149" s="1567" t="s">
        <v>3405</v>
      </c>
      <c r="D149" s="1567" t="s">
        <v>3407</v>
      </c>
      <c r="E149" s="1567" t="s">
        <v>788</v>
      </c>
      <c r="F149" s="1565" t="s">
        <v>4904</v>
      </c>
      <c r="G149" s="1565">
        <v>41</v>
      </c>
      <c r="H149" s="1565" t="s">
        <v>4915</v>
      </c>
      <c r="I149" s="1565" t="s">
        <v>985</v>
      </c>
      <c r="J149" s="1568">
        <v>44.9</v>
      </c>
      <c r="K149" s="1568">
        <v>55.1</v>
      </c>
      <c r="L149" s="1567" t="s">
        <v>4949</v>
      </c>
      <c r="M149" s="1569">
        <v>44225</v>
      </c>
    </row>
    <row r="150" spans="1:13" s="1353" customFormat="1" ht="14.4">
      <c r="A150" s="1565">
        <v>143</v>
      </c>
      <c r="B150" s="1577" t="s">
        <v>1003</v>
      </c>
      <c r="C150" s="1578" t="s">
        <v>3899</v>
      </c>
      <c r="D150" s="1578" t="s">
        <v>3901</v>
      </c>
      <c r="E150" s="1578" t="s">
        <v>788</v>
      </c>
      <c r="F150" s="1579" t="s">
        <v>4904</v>
      </c>
      <c r="G150" s="1579">
        <v>62</v>
      </c>
      <c r="H150" s="1579" t="s">
        <v>956</v>
      </c>
      <c r="I150" s="1579" t="s">
        <v>968</v>
      </c>
      <c r="J150" s="1580" t="s">
        <v>4906</v>
      </c>
      <c r="K150" s="1580" t="s">
        <v>961</v>
      </c>
      <c r="L150" s="1578" t="s">
        <v>4950</v>
      </c>
      <c r="M150" s="1581">
        <v>44225</v>
      </c>
    </row>
    <row r="151" spans="1:13" s="1353" customFormat="1" ht="14.4">
      <c r="A151" s="1565">
        <v>144</v>
      </c>
      <c r="B151" s="1577" t="s">
        <v>1003</v>
      </c>
      <c r="C151" s="1578" t="s">
        <v>3899</v>
      </c>
      <c r="D151" s="1578" t="s">
        <v>3901</v>
      </c>
      <c r="E151" s="1578" t="s">
        <v>788</v>
      </c>
      <c r="F151" s="1579" t="s">
        <v>4904</v>
      </c>
      <c r="G151" s="1579">
        <v>62</v>
      </c>
      <c r="H151" s="1579" t="s">
        <v>956</v>
      </c>
      <c r="I151" s="1579" t="s">
        <v>980</v>
      </c>
      <c r="J151" s="1580" t="s">
        <v>4906</v>
      </c>
      <c r="K151" s="1580" t="s">
        <v>961</v>
      </c>
      <c r="L151" s="1578" t="s">
        <v>4950</v>
      </c>
      <c r="M151" s="1581">
        <v>44225</v>
      </c>
    </row>
    <row r="152" spans="1:13" s="1353" customFormat="1" ht="14.4">
      <c r="A152" s="1565">
        <v>145</v>
      </c>
      <c r="B152" s="1577" t="s">
        <v>1003</v>
      </c>
      <c r="C152" s="1578" t="s">
        <v>3899</v>
      </c>
      <c r="D152" s="1578" t="s">
        <v>3901</v>
      </c>
      <c r="E152" s="1578" t="s">
        <v>788</v>
      </c>
      <c r="F152" s="1579" t="s">
        <v>4904</v>
      </c>
      <c r="G152" s="1579">
        <v>62</v>
      </c>
      <c r="H152" s="1579" t="s">
        <v>956</v>
      </c>
      <c r="I152" s="1579" t="s">
        <v>985</v>
      </c>
      <c r="J152" s="1580" t="s">
        <v>4906</v>
      </c>
      <c r="K152" s="1580" t="s">
        <v>961</v>
      </c>
      <c r="L152" s="1578" t="s">
        <v>4950</v>
      </c>
      <c r="M152" s="1581">
        <v>44225</v>
      </c>
    </row>
    <row r="153" spans="1:13" s="1353" customFormat="1" ht="14.4">
      <c r="A153" s="1565">
        <v>146</v>
      </c>
      <c r="B153" s="1577" t="s">
        <v>1003</v>
      </c>
      <c r="C153" s="1578" t="s">
        <v>3899</v>
      </c>
      <c r="D153" s="1578" t="s">
        <v>3901</v>
      </c>
      <c r="E153" s="1578" t="s">
        <v>788</v>
      </c>
      <c r="F153" s="1579" t="s">
        <v>4904</v>
      </c>
      <c r="G153" s="1579">
        <v>62</v>
      </c>
      <c r="H153" s="1579" t="s">
        <v>956</v>
      </c>
      <c r="I153" s="1579" t="s">
        <v>958</v>
      </c>
      <c r="J153" s="1580" t="s">
        <v>4906</v>
      </c>
      <c r="K153" s="1580" t="s">
        <v>961</v>
      </c>
      <c r="L153" s="1578" t="s">
        <v>4950</v>
      </c>
      <c r="M153" s="1581">
        <v>44225</v>
      </c>
    </row>
    <row r="154" spans="1:13" s="1353" customFormat="1" ht="14.4">
      <c r="A154" s="1565">
        <v>147</v>
      </c>
      <c r="B154" s="1566" t="s">
        <v>1008</v>
      </c>
      <c r="C154" s="1567" t="s">
        <v>4007</v>
      </c>
      <c r="D154" s="1567" t="s">
        <v>629</v>
      </c>
      <c r="E154" s="1567" t="s">
        <v>788</v>
      </c>
      <c r="F154" s="1565" t="s">
        <v>4904</v>
      </c>
      <c r="G154" s="1565">
        <v>41</v>
      </c>
      <c r="H154" s="1565" t="s">
        <v>4915</v>
      </c>
      <c r="I154" s="1565" t="s">
        <v>968</v>
      </c>
      <c r="J154" s="1568">
        <v>-0.8</v>
      </c>
      <c r="K154" s="1568">
        <v>0.8</v>
      </c>
      <c r="L154" s="1567" t="s">
        <v>4951</v>
      </c>
      <c r="M154" s="1569">
        <v>44225</v>
      </c>
    </row>
    <row r="155" spans="1:13" s="1353" customFormat="1" ht="14.4">
      <c r="A155" s="1565">
        <v>148</v>
      </c>
      <c r="B155" s="1566" t="s">
        <v>1008</v>
      </c>
      <c r="C155" s="1567" t="s">
        <v>4007</v>
      </c>
      <c r="D155" s="1567" t="s">
        <v>629</v>
      </c>
      <c r="E155" s="1567" t="s">
        <v>788</v>
      </c>
      <c r="F155" s="1565" t="s">
        <v>4904</v>
      </c>
      <c r="G155" s="1565">
        <v>41</v>
      </c>
      <c r="H155" s="1565" t="s">
        <v>4915</v>
      </c>
      <c r="I155" s="1565" t="s">
        <v>980</v>
      </c>
      <c r="J155" s="1568">
        <v>-1.9</v>
      </c>
      <c r="K155" s="1568">
        <v>1.9</v>
      </c>
      <c r="L155" s="1567" t="s">
        <v>4951</v>
      </c>
      <c r="M155" s="1569">
        <v>44225</v>
      </c>
    </row>
    <row r="156" spans="1:13" s="1353" customFormat="1" ht="14.4">
      <c r="A156" s="1565">
        <v>149</v>
      </c>
      <c r="B156" s="1566" t="s">
        <v>1008</v>
      </c>
      <c r="C156" s="1567" t="s">
        <v>4007</v>
      </c>
      <c r="D156" s="1567" t="s">
        <v>629</v>
      </c>
      <c r="E156" s="1567" t="s">
        <v>788</v>
      </c>
      <c r="F156" s="1565" t="s">
        <v>4904</v>
      </c>
      <c r="G156" s="1565">
        <v>41</v>
      </c>
      <c r="H156" s="1565" t="s">
        <v>4915</v>
      </c>
      <c r="I156" s="1565" t="s">
        <v>985</v>
      </c>
      <c r="J156" s="1568">
        <v>-3.7</v>
      </c>
      <c r="K156" s="1568">
        <v>3.7</v>
      </c>
      <c r="L156" s="1567" t="s">
        <v>4951</v>
      </c>
      <c r="M156" s="1569">
        <v>44225</v>
      </c>
    </row>
    <row r="157" spans="1:13" s="1353" customFormat="1" ht="14.4">
      <c r="A157" s="1565">
        <v>150</v>
      </c>
      <c r="B157" s="1566" t="s">
        <v>1008</v>
      </c>
      <c r="C157" s="1567" t="s">
        <v>4007</v>
      </c>
      <c r="D157" s="1567" t="s">
        <v>629</v>
      </c>
      <c r="E157" s="1567" t="s">
        <v>788</v>
      </c>
      <c r="F157" s="1565" t="s">
        <v>4904</v>
      </c>
      <c r="G157" s="1565">
        <v>41</v>
      </c>
      <c r="H157" s="1565" t="s">
        <v>4915</v>
      </c>
      <c r="I157" s="1565" t="s">
        <v>958</v>
      </c>
      <c r="J157" s="1568">
        <v>-6.6</v>
      </c>
      <c r="K157" s="1568">
        <v>6.6</v>
      </c>
      <c r="L157" s="1567" t="s">
        <v>4951</v>
      </c>
      <c r="M157" s="1569">
        <v>44225</v>
      </c>
    </row>
    <row r="158" spans="1:13" s="1353" customFormat="1" ht="14.4">
      <c r="A158" s="1565">
        <v>151</v>
      </c>
      <c r="B158" s="1566" t="s">
        <v>1008</v>
      </c>
      <c r="C158" s="1567" t="s">
        <v>4007</v>
      </c>
      <c r="D158" s="1567" t="s">
        <v>629</v>
      </c>
      <c r="E158" s="1567" t="s">
        <v>788</v>
      </c>
      <c r="F158" s="1565" t="s">
        <v>4904</v>
      </c>
      <c r="G158" s="1565">
        <v>41</v>
      </c>
      <c r="H158" s="1565" t="s">
        <v>4915</v>
      </c>
      <c r="I158" s="1565" t="s">
        <v>970</v>
      </c>
      <c r="J158" s="1568">
        <v>-10.8</v>
      </c>
      <c r="K158" s="1568">
        <v>10.8</v>
      </c>
      <c r="L158" s="1567" t="s">
        <v>4951</v>
      </c>
      <c r="M158" s="1569">
        <v>44225</v>
      </c>
    </row>
    <row r="159" spans="1:13" s="1353" customFormat="1" ht="14.4">
      <c r="A159" s="1565">
        <v>152</v>
      </c>
      <c r="B159" s="1566" t="s">
        <v>1008</v>
      </c>
      <c r="C159" s="1567" t="s">
        <v>4007</v>
      </c>
      <c r="D159" s="1567" t="s">
        <v>629</v>
      </c>
      <c r="E159" s="1567" t="s">
        <v>788</v>
      </c>
      <c r="F159" s="1565" t="s">
        <v>4904</v>
      </c>
      <c r="G159" s="1565">
        <v>72</v>
      </c>
      <c r="H159" s="1565" t="s">
        <v>1858</v>
      </c>
      <c r="I159" s="1565" t="s">
        <v>968</v>
      </c>
      <c r="J159" s="1568">
        <v>5</v>
      </c>
      <c r="K159" s="1568">
        <v>-5</v>
      </c>
      <c r="L159" s="1567" t="s">
        <v>4951</v>
      </c>
      <c r="M159" s="1569">
        <v>44225</v>
      </c>
    </row>
    <row r="160" spans="1:13" s="1353" customFormat="1" ht="14.4">
      <c r="A160" s="1565">
        <v>153</v>
      </c>
      <c r="B160" s="1566" t="s">
        <v>1008</v>
      </c>
      <c r="C160" s="1567" t="s">
        <v>4007</v>
      </c>
      <c r="D160" s="1567" t="s">
        <v>629</v>
      </c>
      <c r="E160" s="1567" t="s">
        <v>788</v>
      </c>
      <c r="F160" s="1565" t="s">
        <v>4904</v>
      </c>
      <c r="G160" s="1565">
        <v>72</v>
      </c>
      <c r="H160" s="1565" t="s">
        <v>1858</v>
      </c>
      <c r="I160" s="1565" t="s">
        <v>980</v>
      </c>
      <c r="J160" s="1568">
        <v>5</v>
      </c>
      <c r="K160" s="1568">
        <v>-5</v>
      </c>
      <c r="L160" s="1567" t="s">
        <v>4951</v>
      </c>
      <c r="M160" s="1569">
        <v>44225</v>
      </c>
    </row>
    <row r="161" spans="1:13" s="1353" customFormat="1" ht="14.4">
      <c r="A161" s="1565">
        <v>154</v>
      </c>
      <c r="B161" s="1566" t="s">
        <v>1008</v>
      </c>
      <c r="C161" s="1567" t="s">
        <v>4007</v>
      </c>
      <c r="D161" s="1567" t="s">
        <v>629</v>
      </c>
      <c r="E161" s="1567" t="s">
        <v>788</v>
      </c>
      <c r="F161" s="1565" t="s">
        <v>4904</v>
      </c>
      <c r="G161" s="1565">
        <v>72</v>
      </c>
      <c r="H161" s="1565" t="s">
        <v>1858</v>
      </c>
      <c r="I161" s="1565" t="s">
        <v>985</v>
      </c>
      <c r="J161" s="1568">
        <v>5</v>
      </c>
      <c r="K161" s="1568">
        <v>-5</v>
      </c>
      <c r="L161" s="1567" t="s">
        <v>4951</v>
      </c>
      <c r="M161" s="1569">
        <v>44225</v>
      </c>
    </row>
    <row r="162" spans="1:13" s="1353" customFormat="1" ht="14.4">
      <c r="A162" s="1565">
        <v>155</v>
      </c>
      <c r="B162" s="1566" t="s">
        <v>1008</v>
      </c>
      <c r="C162" s="1567" t="s">
        <v>4007</v>
      </c>
      <c r="D162" s="1567" t="s">
        <v>629</v>
      </c>
      <c r="E162" s="1567" t="s">
        <v>788</v>
      </c>
      <c r="F162" s="1565" t="s">
        <v>4904</v>
      </c>
      <c r="G162" s="1565">
        <v>72</v>
      </c>
      <c r="H162" s="1565" t="s">
        <v>1858</v>
      </c>
      <c r="I162" s="1565" t="s">
        <v>958</v>
      </c>
      <c r="J162" s="1568">
        <v>5</v>
      </c>
      <c r="K162" s="1568">
        <v>-5</v>
      </c>
      <c r="L162" s="1567" t="s">
        <v>4951</v>
      </c>
      <c r="M162" s="1569">
        <v>44225</v>
      </c>
    </row>
    <row r="163" spans="1:13" s="1353" customFormat="1" ht="14.4">
      <c r="A163" s="1565">
        <v>156</v>
      </c>
      <c r="B163" s="1566" t="s">
        <v>1008</v>
      </c>
      <c r="C163" s="1567" t="s">
        <v>4007</v>
      </c>
      <c r="D163" s="1567" t="s">
        <v>629</v>
      </c>
      <c r="E163" s="1567" t="s">
        <v>788</v>
      </c>
      <c r="F163" s="1565" t="s">
        <v>4904</v>
      </c>
      <c r="G163" s="1565">
        <v>72</v>
      </c>
      <c r="H163" s="1565" t="s">
        <v>1858</v>
      </c>
      <c r="I163" s="1565" t="s">
        <v>970</v>
      </c>
      <c r="J163" s="1568">
        <v>5</v>
      </c>
      <c r="K163" s="1568">
        <v>-5</v>
      </c>
      <c r="L163" s="1567" t="s">
        <v>4951</v>
      </c>
      <c r="M163" s="1569">
        <v>44225</v>
      </c>
    </row>
    <row r="164" spans="1:13" s="1353" customFormat="1" ht="14.4">
      <c r="A164" s="1565">
        <v>157</v>
      </c>
      <c r="B164" s="1566" t="s">
        <v>1008</v>
      </c>
      <c r="C164" s="1567" t="s">
        <v>4007</v>
      </c>
      <c r="D164" s="1567" t="s">
        <v>629</v>
      </c>
      <c r="E164" s="1567" t="s">
        <v>788</v>
      </c>
      <c r="F164" s="1565" t="s">
        <v>4904</v>
      </c>
      <c r="G164" s="1565">
        <v>87</v>
      </c>
      <c r="H164" s="1565" t="s">
        <v>1861</v>
      </c>
      <c r="I164" s="1565" t="s">
        <v>968</v>
      </c>
      <c r="J164" s="1568">
        <v>-2.5</v>
      </c>
      <c r="K164" s="1568">
        <v>2.5</v>
      </c>
      <c r="L164" s="1567" t="s">
        <v>4951</v>
      </c>
      <c r="M164" s="1569">
        <v>44225</v>
      </c>
    </row>
    <row r="165" spans="1:13" s="1353" customFormat="1" ht="14.4">
      <c r="A165" s="1565">
        <v>158</v>
      </c>
      <c r="B165" s="1566" t="s">
        <v>1008</v>
      </c>
      <c r="C165" s="1567" t="s">
        <v>4007</v>
      </c>
      <c r="D165" s="1567" t="s">
        <v>629</v>
      </c>
      <c r="E165" s="1567" t="s">
        <v>788</v>
      </c>
      <c r="F165" s="1565" t="s">
        <v>4904</v>
      </c>
      <c r="G165" s="1565">
        <v>87</v>
      </c>
      <c r="H165" s="1565" t="s">
        <v>1861</v>
      </c>
      <c r="I165" s="1565" t="s">
        <v>980</v>
      </c>
      <c r="J165" s="1568">
        <v>-5.0999999999999996</v>
      </c>
      <c r="K165" s="1568">
        <v>5.0999999999999996</v>
      </c>
      <c r="L165" s="1567" t="s">
        <v>4951</v>
      </c>
      <c r="M165" s="1569">
        <v>44225</v>
      </c>
    </row>
    <row r="166" spans="1:13" s="1353" customFormat="1" ht="14.4">
      <c r="A166" s="1565">
        <v>159</v>
      </c>
      <c r="B166" s="1566" t="s">
        <v>1008</v>
      </c>
      <c r="C166" s="1567" t="s">
        <v>4007</v>
      </c>
      <c r="D166" s="1567" t="s">
        <v>629</v>
      </c>
      <c r="E166" s="1567" t="s">
        <v>788</v>
      </c>
      <c r="F166" s="1565" t="s">
        <v>4904</v>
      </c>
      <c r="G166" s="1565">
        <v>87</v>
      </c>
      <c r="H166" s="1565" t="s">
        <v>1861</v>
      </c>
      <c r="I166" s="1565" t="s">
        <v>985</v>
      </c>
      <c r="J166" s="1568">
        <v>-8.9</v>
      </c>
      <c r="K166" s="1568">
        <v>8.9</v>
      </c>
      <c r="L166" s="1567" t="s">
        <v>4951</v>
      </c>
      <c r="M166" s="1569">
        <v>44225</v>
      </c>
    </row>
    <row r="167" spans="1:13" s="1353" customFormat="1" ht="14.4">
      <c r="A167" s="1565">
        <v>160</v>
      </c>
      <c r="B167" s="1566" t="s">
        <v>1008</v>
      </c>
      <c r="C167" s="1567" t="s">
        <v>4007</v>
      </c>
      <c r="D167" s="1567" t="s">
        <v>629</v>
      </c>
      <c r="E167" s="1567" t="s">
        <v>788</v>
      </c>
      <c r="F167" s="1565" t="s">
        <v>4904</v>
      </c>
      <c r="G167" s="1565">
        <v>87</v>
      </c>
      <c r="H167" s="1565" t="s">
        <v>1861</v>
      </c>
      <c r="I167" s="1565" t="s">
        <v>958</v>
      </c>
      <c r="J167" s="1568">
        <v>-13.200000000000001</v>
      </c>
      <c r="K167" s="1568">
        <v>13.2</v>
      </c>
      <c r="L167" s="1567" t="s">
        <v>4951</v>
      </c>
      <c r="M167" s="1569">
        <v>44225</v>
      </c>
    </row>
    <row r="168" spans="1:13" s="1353" customFormat="1" ht="14.4">
      <c r="A168" s="1565">
        <v>161</v>
      </c>
      <c r="B168" s="1566" t="s">
        <v>1008</v>
      </c>
      <c r="C168" s="1567" t="s">
        <v>4007</v>
      </c>
      <c r="D168" s="1567" t="s">
        <v>629</v>
      </c>
      <c r="E168" s="1567" t="s">
        <v>788</v>
      </c>
      <c r="F168" s="1565" t="s">
        <v>4904</v>
      </c>
      <c r="G168" s="1565">
        <v>87</v>
      </c>
      <c r="H168" s="1565" t="s">
        <v>1861</v>
      </c>
      <c r="I168" s="1565" t="s">
        <v>970</v>
      </c>
      <c r="J168" s="1568">
        <v>-17.200000000000003</v>
      </c>
      <c r="K168" s="1568">
        <v>17.2</v>
      </c>
      <c r="L168" s="1567" t="s">
        <v>4951</v>
      </c>
      <c r="M168" s="1569">
        <v>44225</v>
      </c>
    </row>
    <row r="169" spans="1:13" s="1353" customFormat="1" ht="43.2">
      <c r="A169" s="1565">
        <v>162</v>
      </c>
      <c r="B169" s="1566" t="s">
        <v>4952</v>
      </c>
      <c r="C169" s="1567" t="s">
        <v>1037</v>
      </c>
      <c r="D169" s="1567" t="s">
        <v>4953</v>
      </c>
      <c r="E169" s="1567" t="s">
        <v>4954</v>
      </c>
      <c r="F169" s="1565" t="s">
        <v>4955</v>
      </c>
      <c r="G169" s="1565">
        <v>22</v>
      </c>
      <c r="H169" s="1582" t="s">
        <v>4956</v>
      </c>
      <c r="I169" s="1565" t="s">
        <v>3996</v>
      </c>
      <c r="J169" s="1568" t="s">
        <v>4906</v>
      </c>
      <c r="K169" s="1583">
        <v>0</v>
      </c>
      <c r="L169" s="1567" t="s">
        <v>4957</v>
      </c>
      <c r="M169" s="1569">
        <v>44327</v>
      </c>
    </row>
    <row r="170" spans="1:13" s="1353" customFormat="1" ht="14.4">
      <c r="A170" s="1565">
        <v>163</v>
      </c>
      <c r="B170" s="1566" t="s">
        <v>1012</v>
      </c>
      <c r="C170" s="1567" t="s">
        <v>4573</v>
      </c>
      <c r="D170" s="1567" t="s">
        <v>4575</v>
      </c>
      <c r="E170" s="1567" t="s">
        <v>788</v>
      </c>
      <c r="F170" s="1565" t="s">
        <v>4904</v>
      </c>
      <c r="G170" s="1565">
        <v>97</v>
      </c>
      <c r="H170" s="1565" t="s">
        <v>4958</v>
      </c>
      <c r="I170" s="1565" t="s">
        <v>1037</v>
      </c>
      <c r="J170" s="1565">
        <v>-0.2888</v>
      </c>
      <c r="K170" s="1584">
        <v>-4.2500000000000003E-2</v>
      </c>
      <c r="L170" s="1567" t="s">
        <v>4959</v>
      </c>
      <c r="M170" s="1569">
        <v>44328</v>
      </c>
    </row>
    <row r="171" spans="1:13" s="1353" customFormat="1" ht="14.4">
      <c r="A171" s="1565">
        <v>164</v>
      </c>
      <c r="B171" s="1566" t="s">
        <v>982</v>
      </c>
      <c r="C171" s="1567" t="s">
        <v>4373</v>
      </c>
      <c r="D171" s="1567" t="s">
        <v>4375</v>
      </c>
      <c r="E171" s="1567" t="s">
        <v>788</v>
      </c>
      <c r="F171" s="1565" t="s">
        <v>4904</v>
      </c>
      <c r="G171" s="1565">
        <v>97</v>
      </c>
      <c r="H171" s="1565" t="s">
        <v>4958</v>
      </c>
      <c r="I171" s="1565" t="s">
        <v>1037</v>
      </c>
      <c r="J171" s="1585">
        <v>-8.0000000000000004E-4</v>
      </c>
      <c r="K171" s="1585">
        <v>-7.6000000000000004E-4</v>
      </c>
      <c r="L171" s="1567" t="s">
        <v>4960</v>
      </c>
      <c r="M171" s="1569">
        <v>44328</v>
      </c>
    </row>
    <row r="172" spans="1:13" s="1353" customFormat="1" ht="43.2">
      <c r="A172" s="1565">
        <v>165</v>
      </c>
      <c r="B172" s="1586" t="s">
        <v>1033</v>
      </c>
      <c r="C172" s="1567" t="s">
        <v>2942</v>
      </c>
      <c r="D172" s="1567" t="s">
        <v>4961</v>
      </c>
      <c r="E172" s="1567" t="s">
        <v>4954</v>
      </c>
      <c r="F172" s="1565" t="s">
        <v>4904</v>
      </c>
      <c r="G172" s="1565">
        <v>41</v>
      </c>
      <c r="H172" s="1565" t="s">
        <v>4915</v>
      </c>
      <c r="I172" s="1565" t="s">
        <v>4962</v>
      </c>
      <c r="J172" s="1582" t="s">
        <v>4963</v>
      </c>
      <c r="K172" s="1582" t="s">
        <v>4964</v>
      </c>
      <c r="L172" s="1567" t="s">
        <v>4965</v>
      </c>
      <c r="M172" s="1569">
        <v>44328</v>
      </c>
    </row>
    <row r="173" spans="1:13" s="1353" customFormat="1" ht="43.2">
      <c r="A173" s="1565">
        <v>166</v>
      </c>
      <c r="B173" s="1566" t="s">
        <v>1033</v>
      </c>
      <c r="C173" s="1567" t="s">
        <v>2950</v>
      </c>
      <c r="D173" s="1567" t="s">
        <v>629</v>
      </c>
      <c r="E173" s="1567" t="s">
        <v>4954</v>
      </c>
      <c r="F173" s="1565" t="s">
        <v>4904</v>
      </c>
      <c r="G173" s="1565">
        <v>41</v>
      </c>
      <c r="H173" s="1565" t="s">
        <v>4915</v>
      </c>
      <c r="I173" s="1565" t="s">
        <v>4962</v>
      </c>
      <c r="J173" s="1582" t="s">
        <v>4964</v>
      </c>
      <c r="K173" s="1582" t="s">
        <v>4966</v>
      </c>
      <c r="L173" s="1567" t="s">
        <v>4965</v>
      </c>
      <c r="M173" s="1569">
        <v>44328</v>
      </c>
    </row>
    <row r="174" spans="1:13" s="1353" customFormat="1" ht="43.2">
      <c r="A174" s="1565">
        <v>167</v>
      </c>
      <c r="B174" s="1586" t="s">
        <v>1033</v>
      </c>
      <c r="C174" s="1567" t="s">
        <v>2962</v>
      </c>
      <c r="D174" s="1567" t="s">
        <v>4911</v>
      </c>
      <c r="E174" s="1567" t="s">
        <v>4954</v>
      </c>
      <c r="F174" s="1565" t="s">
        <v>4904</v>
      </c>
      <c r="G174" s="1565">
        <v>41</v>
      </c>
      <c r="H174" s="1565" t="s">
        <v>4915</v>
      </c>
      <c r="I174" s="1565" t="s">
        <v>4962</v>
      </c>
      <c r="J174" s="1582" t="s">
        <v>4964</v>
      </c>
      <c r="K174" s="1582" t="s">
        <v>4966</v>
      </c>
      <c r="L174" s="1567" t="s">
        <v>4967</v>
      </c>
      <c r="M174" s="1569">
        <v>44328</v>
      </c>
    </row>
    <row r="175" spans="1:13" s="1353" customFormat="1" ht="43.2">
      <c r="A175" s="1565">
        <v>168</v>
      </c>
      <c r="B175" s="1566" t="s">
        <v>1033</v>
      </c>
      <c r="C175" s="1567" t="s">
        <v>3024</v>
      </c>
      <c r="D175" s="1567" t="s">
        <v>2595</v>
      </c>
      <c r="E175" s="1567" t="s">
        <v>4954</v>
      </c>
      <c r="F175" s="1565" t="s">
        <v>4904</v>
      </c>
      <c r="G175" s="1565">
        <v>41</v>
      </c>
      <c r="H175" s="1565" t="s">
        <v>4915</v>
      </c>
      <c r="I175" s="1565" t="s">
        <v>4962</v>
      </c>
      <c r="J175" s="1582" t="s">
        <v>4964</v>
      </c>
      <c r="K175" s="1582" t="s">
        <v>4963</v>
      </c>
      <c r="L175" s="1567" t="s">
        <v>4965</v>
      </c>
      <c r="M175" s="1569">
        <v>44328</v>
      </c>
    </row>
    <row r="176" spans="1:13" s="1353" customFormat="1" ht="43.2">
      <c r="A176" s="1565">
        <v>169</v>
      </c>
      <c r="B176" s="1586" t="s">
        <v>1033</v>
      </c>
      <c r="C176" s="1567" t="s">
        <v>1164</v>
      </c>
      <c r="D176" s="1567" t="s">
        <v>4968</v>
      </c>
      <c r="E176" s="1567" t="s">
        <v>4954</v>
      </c>
      <c r="F176" s="1565" t="s">
        <v>4904</v>
      </c>
      <c r="G176" s="1565">
        <v>41</v>
      </c>
      <c r="H176" s="1565" t="s">
        <v>4915</v>
      </c>
      <c r="I176" s="1565" t="s">
        <v>4962</v>
      </c>
      <c r="J176" s="1582" t="s">
        <v>4966</v>
      </c>
      <c r="K176" s="1582" t="s">
        <v>4964</v>
      </c>
      <c r="L176" s="1567" t="s">
        <v>4965</v>
      </c>
      <c r="M176" s="1569">
        <v>44328</v>
      </c>
    </row>
    <row r="177" spans="1:13" s="1353" customFormat="1" ht="43.2">
      <c r="A177" s="1565">
        <v>170</v>
      </c>
      <c r="B177" s="1566" t="s">
        <v>1033</v>
      </c>
      <c r="C177" s="1567" t="s">
        <v>3045</v>
      </c>
      <c r="D177" s="1567" t="s">
        <v>3048</v>
      </c>
      <c r="E177" s="1567" t="s">
        <v>4954</v>
      </c>
      <c r="F177" s="1565" t="s">
        <v>4904</v>
      </c>
      <c r="G177" s="1565">
        <v>41</v>
      </c>
      <c r="H177" s="1565" t="s">
        <v>4915</v>
      </c>
      <c r="I177" s="1565" t="s">
        <v>4962</v>
      </c>
      <c r="J177" s="1582" t="s">
        <v>4963</v>
      </c>
      <c r="K177" s="1582" t="s">
        <v>4966</v>
      </c>
      <c r="L177" s="1567" t="s">
        <v>4965</v>
      </c>
      <c r="M177" s="1569">
        <v>44328</v>
      </c>
    </row>
    <row r="178" spans="1:13" s="1353" customFormat="1" ht="43.2">
      <c r="A178" s="1565">
        <v>171</v>
      </c>
      <c r="B178" s="1586" t="s">
        <v>1033</v>
      </c>
      <c r="C178" s="1567" t="s">
        <v>3074</v>
      </c>
      <c r="D178" s="1567" t="s">
        <v>3076</v>
      </c>
      <c r="E178" s="1567" t="s">
        <v>4954</v>
      </c>
      <c r="F178" s="1565" t="s">
        <v>4904</v>
      </c>
      <c r="G178" s="1565">
        <v>41</v>
      </c>
      <c r="H178" s="1565" t="s">
        <v>4915</v>
      </c>
      <c r="I178" s="1582" t="s">
        <v>4969</v>
      </c>
      <c r="J178" s="1582" t="s">
        <v>4963</v>
      </c>
      <c r="K178" s="1582" t="s">
        <v>4966</v>
      </c>
      <c r="L178" s="1567" t="s">
        <v>4965</v>
      </c>
      <c r="M178" s="1569">
        <v>44328</v>
      </c>
    </row>
    <row r="179" spans="1:13" s="1353" customFormat="1" ht="28.8">
      <c r="A179" s="1565">
        <v>172</v>
      </c>
      <c r="B179" s="1566" t="s">
        <v>4952</v>
      </c>
      <c r="C179" s="1566" t="s">
        <v>1037</v>
      </c>
      <c r="D179" s="1567" t="s">
        <v>4970</v>
      </c>
      <c r="E179" s="1567" t="s">
        <v>788</v>
      </c>
      <c r="F179" s="1565" t="s">
        <v>4904</v>
      </c>
      <c r="G179" s="1582" t="s">
        <v>4971</v>
      </c>
      <c r="H179" s="1565" t="s">
        <v>4972</v>
      </c>
      <c r="I179" s="1565" t="s">
        <v>1037</v>
      </c>
      <c r="J179" s="1582" t="s">
        <v>4973</v>
      </c>
      <c r="K179" s="1582" t="s">
        <v>4974</v>
      </c>
      <c r="L179" s="1587" t="s">
        <v>4975</v>
      </c>
      <c r="M179" s="1569">
        <v>44329</v>
      </c>
    </row>
    <row r="180" spans="1:13" s="1353" customFormat="1" ht="43.2">
      <c r="A180" s="1565">
        <v>173</v>
      </c>
      <c r="B180" s="1566" t="s">
        <v>982</v>
      </c>
      <c r="C180" s="1567" t="s">
        <v>4183</v>
      </c>
      <c r="D180" s="1567" t="s">
        <v>4976</v>
      </c>
      <c r="E180" s="1567" t="s">
        <v>4954</v>
      </c>
      <c r="F180" s="1565" t="s">
        <v>4904</v>
      </c>
      <c r="G180" s="1565">
        <v>87</v>
      </c>
      <c r="H180" s="1565" t="s">
        <v>1861</v>
      </c>
      <c r="I180" s="1565" t="s">
        <v>968</v>
      </c>
      <c r="J180" s="1588">
        <v>1.1805555555555564E-3</v>
      </c>
      <c r="K180" s="1588">
        <v>3.4606481481481485E-3</v>
      </c>
      <c r="L180" s="1567" t="s">
        <v>4977</v>
      </c>
      <c r="M180" s="1569">
        <v>44334</v>
      </c>
    </row>
    <row r="181" spans="1:13" s="1353" customFormat="1" ht="43.2">
      <c r="A181" s="1565">
        <v>174</v>
      </c>
      <c r="B181" s="1566" t="s">
        <v>982</v>
      </c>
      <c r="C181" s="1567" t="s">
        <v>4183</v>
      </c>
      <c r="D181" s="1567" t="s">
        <v>4976</v>
      </c>
      <c r="E181" s="1567" t="s">
        <v>4954</v>
      </c>
      <c r="F181" s="1565" t="s">
        <v>4904</v>
      </c>
      <c r="G181" s="1565">
        <v>87</v>
      </c>
      <c r="H181" s="1565" t="s">
        <v>1861</v>
      </c>
      <c r="I181" s="1565" t="s">
        <v>980</v>
      </c>
      <c r="J181" s="1588">
        <v>1.2037037037037038E-3</v>
      </c>
      <c r="K181" s="1588">
        <v>3.0092592592592588E-3</v>
      </c>
      <c r="L181" s="1567" t="s">
        <v>4977</v>
      </c>
      <c r="M181" s="1569">
        <v>44334</v>
      </c>
    </row>
    <row r="182" spans="1:13" s="1353" customFormat="1" ht="43.2">
      <c r="A182" s="1565">
        <v>175</v>
      </c>
      <c r="B182" s="1566" t="s">
        <v>982</v>
      </c>
      <c r="C182" s="1567" t="s">
        <v>4183</v>
      </c>
      <c r="D182" s="1567" t="s">
        <v>4976</v>
      </c>
      <c r="E182" s="1567" t="s">
        <v>4954</v>
      </c>
      <c r="F182" s="1565" t="s">
        <v>4904</v>
      </c>
      <c r="G182" s="1565">
        <v>87</v>
      </c>
      <c r="H182" s="1565" t="s">
        <v>1861</v>
      </c>
      <c r="I182" s="1565" t="s">
        <v>985</v>
      </c>
      <c r="J182" s="1588">
        <v>1.1458333333333342E-3</v>
      </c>
      <c r="K182" s="1588">
        <v>2.615740740740741E-3</v>
      </c>
      <c r="L182" s="1567" t="s">
        <v>4977</v>
      </c>
      <c r="M182" s="1569">
        <v>44334</v>
      </c>
    </row>
    <row r="183" spans="1:13" s="1353" customFormat="1" ht="43.2">
      <c r="A183" s="1565">
        <v>176</v>
      </c>
      <c r="B183" s="1566" t="s">
        <v>982</v>
      </c>
      <c r="C183" s="1567" t="s">
        <v>4183</v>
      </c>
      <c r="D183" s="1567" t="s">
        <v>4976</v>
      </c>
      <c r="E183" s="1567" t="s">
        <v>4954</v>
      </c>
      <c r="F183" s="1565" t="s">
        <v>4904</v>
      </c>
      <c r="G183" s="1565">
        <v>87</v>
      </c>
      <c r="H183" s="1565" t="s">
        <v>1861</v>
      </c>
      <c r="I183" s="1565" t="s">
        <v>958</v>
      </c>
      <c r="J183" s="1588">
        <v>1.3773148148148147E-3</v>
      </c>
      <c r="K183" s="1588">
        <v>2.1990740740740742E-3</v>
      </c>
      <c r="L183" s="1567" t="s">
        <v>4977</v>
      </c>
      <c r="M183" s="1569">
        <v>44334</v>
      </c>
    </row>
    <row r="184" spans="1:13" s="1353" customFormat="1" ht="43.2">
      <c r="A184" s="1565">
        <v>177</v>
      </c>
      <c r="B184" s="1566" t="s">
        <v>982</v>
      </c>
      <c r="C184" s="1567" t="s">
        <v>4183</v>
      </c>
      <c r="D184" s="1567" t="s">
        <v>4976</v>
      </c>
      <c r="E184" s="1567" t="s">
        <v>4954</v>
      </c>
      <c r="F184" s="1565" t="s">
        <v>4904</v>
      </c>
      <c r="G184" s="1565">
        <v>87</v>
      </c>
      <c r="H184" s="1565" t="s">
        <v>1861</v>
      </c>
      <c r="I184" s="1565" t="s">
        <v>970</v>
      </c>
      <c r="J184" s="1588">
        <v>1.3888888888888889E-3</v>
      </c>
      <c r="K184" s="1588">
        <v>1.8865740740740742E-3</v>
      </c>
      <c r="L184" s="1567" t="s">
        <v>4977</v>
      </c>
      <c r="M184" s="1569">
        <v>44334</v>
      </c>
    </row>
    <row r="185" spans="1:13" s="1353" customFormat="1" ht="43.2">
      <c r="A185" s="1565">
        <v>178</v>
      </c>
      <c r="B185" s="1566" t="s">
        <v>982</v>
      </c>
      <c r="C185" s="1567" t="s">
        <v>4978</v>
      </c>
      <c r="D185" s="1567" t="s">
        <v>4979</v>
      </c>
      <c r="E185" s="1567" t="s">
        <v>4954</v>
      </c>
      <c r="F185" s="1565" t="s">
        <v>4904</v>
      </c>
      <c r="G185" s="1565">
        <v>87</v>
      </c>
      <c r="H185" s="1565" t="s">
        <v>1861</v>
      </c>
      <c r="I185" s="1565" t="s">
        <v>968</v>
      </c>
      <c r="J185" s="1568" t="s">
        <v>4906</v>
      </c>
      <c r="K185" s="1583">
        <v>5</v>
      </c>
      <c r="L185" s="1567" t="s">
        <v>4977</v>
      </c>
      <c r="M185" s="1569">
        <v>44334</v>
      </c>
    </row>
    <row r="186" spans="1:13" s="1353" customFormat="1" ht="43.2">
      <c r="A186" s="1565">
        <v>179</v>
      </c>
      <c r="B186" s="1566" t="s">
        <v>982</v>
      </c>
      <c r="C186" s="1567" t="s">
        <v>4978</v>
      </c>
      <c r="D186" s="1567" t="s">
        <v>4979</v>
      </c>
      <c r="E186" s="1567" t="s">
        <v>4954</v>
      </c>
      <c r="F186" s="1565" t="s">
        <v>4904</v>
      </c>
      <c r="G186" s="1565">
        <v>87</v>
      </c>
      <c r="H186" s="1565" t="s">
        <v>1861</v>
      </c>
      <c r="I186" s="1565" t="s">
        <v>980</v>
      </c>
      <c r="J186" s="1568" t="s">
        <v>4906</v>
      </c>
      <c r="K186" s="1583">
        <v>50</v>
      </c>
      <c r="L186" s="1567" t="s">
        <v>4977</v>
      </c>
      <c r="M186" s="1569">
        <v>44334</v>
      </c>
    </row>
    <row r="187" spans="1:13" s="1353" customFormat="1" ht="43.2">
      <c r="A187" s="1565">
        <v>180</v>
      </c>
      <c r="B187" s="1566" t="s">
        <v>982</v>
      </c>
      <c r="C187" s="1567" t="s">
        <v>4978</v>
      </c>
      <c r="D187" s="1567" t="s">
        <v>4979</v>
      </c>
      <c r="E187" s="1567" t="s">
        <v>4954</v>
      </c>
      <c r="F187" s="1565" t="s">
        <v>4904</v>
      </c>
      <c r="G187" s="1565">
        <v>87</v>
      </c>
      <c r="H187" s="1565" t="s">
        <v>1861</v>
      </c>
      <c r="I187" s="1565" t="s">
        <v>985</v>
      </c>
      <c r="J187" s="1568" t="s">
        <v>4906</v>
      </c>
      <c r="K187" s="1583">
        <v>100</v>
      </c>
      <c r="L187" s="1567" t="s">
        <v>4977</v>
      </c>
      <c r="M187" s="1569">
        <v>44334</v>
      </c>
    </row>
    <row r="188" spans="1:13" s="1353" customFormat="1" ht="43.2">
      <c r="A188" s="1565">
        <v>181</v>
      </c>
      <c r="B188" s="1566" t="s">
        <v>982</v>
      </c>
      <c r="C188" s="1567" t="s">
        <v>4978</v>
      </c>
      <c r="D188" s="1567" t="s">
        <v>4979</v>
      </c>
      <c r="E188" s="1567" t="s">
        <v>4954</v>
      </c>
      <c r="F188" s="1565" t="s">
        <v>4904</v>
      </c>
      <c r="G188" s="1565">
        <v>87</v>
      </c>
      <c r="H188" s="1565" t="s">
        <v>1861</v>
      </c>
      <c r="I188" s="1565" t="s">
        <v>958</v>
      </c>
      <c r="J188" s="1568" t="s">
        <v>4906</v>
      </c>
      <c r="K188" s="1583">
        <v>250</v>
      </c>
      <c r="L188" s="1567" t="s">
        <v>4977</v>
      </c>
      <c r="M188" s="1569">
        <v>44334</v>
      </c>
    </row>
    <row r="189" spans="1:13" s="1353" customFormat="1" ht="43.2">
      <c r="A189" s="1565">
        <v>182</v>
      </c>
      <c r="B189" s="1566" t="s">
        <v>1015</v>
      </c>
      <c r="C189" s="1567" t="s">
        <v>4700</v>
      </c>
      <c r="D189" s="1567" t="s">
        <v>2124</v>
      </c>
      <c r="E189" s="1567" t="s">
        <v>4954</v>
      </c>
      <c r="F189" s="1565" t="s">
        <v>4904</v>
      </c>
      <c r="G189" s="1565">
        <v>87</v>
      </c>
      <c r="H189" s="1565" t="s">
        <v>1861</v>
      </c>
      <c r="I189" s="1565" t="s">
        <v>968</v>
      </c>
      <c r="J189" s="1568">
        <v>3154.7</v>
      </c>
      <c r="K189" s="1589">
        <v>3924</v>
      </c>
      <c r="L189" s="1567" t="s">
        <v>4977</v>
      </c>
      <c r="M189" s="1569">
        <v>44335</v>
      </c>
    </row>
    <row r="190" spans="1:13" s="1353" customFormat="1" ht="43.2">
      <c r="A190" s="1565">
        <v>183</v>
      </c>
      <c r="B190" s="1566" t="s">
        <v>1015</v>
      </c>
      <c r="C190" s="1567" t="s">
        <v>4700</v>
      </c>
      <c r="D190" s="1567" t="s">
        <v>2124</v>
      </c>
      <c r="E190" s="1567" t="s">
        <v>4954</v>
      </c>
      <c r="F190" s="1565" t="s">
        <v>4904</v>
      </c>
      <c r="G190" s="1565">
        <v>87</v>
      </c>
      <c r="H190" s="1565" t="s">
        <v>1861</v>
      </c>
      <c r="I190" s="1565" t="s">
        <v>980</v>
      </c>
      <c r="J190" s="1568">
        <v>2927.4000000000005</v>
      </c>
      <c r="K190" s="1589">
        <v>3702</v>
      </c>
      <c r="L190" s="1567" t="s">
        <v>4977</v>
      </c>
      <c r="M190" s="1569">
        <v>44335</v>
      </c>
    </row>
    <row r="191" spans="1:13" s="1353" customFormat="1" ht="43.2">
      <c r="A191" s="1565">
        <v>184</v>
      </c>
      <c r="B191" s="1566" t="s">
        <v>1015</v>
      </c>
      <c r="C191" s="1567" t="s">
        <v>4700</v>
      </c>
      <c r="D191" s="1567" t="s">
        <v>2124</v>
      </c>
      <c r="E191" s="1567" t="s">
        <v>4954</v>
      </c>
      <c r="F191" s="1565" t="s">
        <v>4904</v>
      </c>
      <c r="G191" s="1565">
        <v>87</v>
      </c>
      <c r="H191" s="1565" t="s">
        <v>1861</v>
      </c>
      <c r="I191" s="1565" t="s">
        <v>985</v>
      </c>
      <c r="J191" s="1568">
        <v>2662.0999999999995</v>
      </c>
      <c r="K191" s="1589">
        <v>3519</v>
      </c>
      <c r="L191" s="1567" t="s">
        <v>4977</v>
      </c>
      <c r="M191" s="1569">
        <v>44335</v>
      </c>
    </row>
    <row r="192" spans="1:13" s="1353" customFormat="1" ht="43.2">
      <c r="A192" s="1565">
        <v>185</v>
      </c>
      <c r="B192" s="1566" t="s">
        <v>1015</v>
      </c>
      <c r="C192" s="1567" t="s">
        <v>4700</v>
      </c>
      <c r="D192" s="1567" t="s">
        <v>2124</v>
      </c>
      <c r="E192" s="1567" t="s">
        <v>4954</v>
      </c>
      <c r="F192" s="1565" t="s">
        <v>4904</v>
      </c>
      <c r="G192" s="1565">
        <v>87</v>
      </c>
      <c r="H192" s="1565" t="s">
        <v>1861</v>
      </c>
      <c r="I192" s="1565" t="s">
        <v>958</v>
      </c>
      <c r="J192" s="1568">
        <v>2368.8000000000002</v>
      </c>
      <c r="K192" s="1589">
        <v>3248</v>
      </c>
      <c r="L192" s="1567" t="s">
        <v>4977</v>
      </c>
      <c r="M192" s="1569">
        <v>44335</v>
      </c>
    </row>
    <row r="193" spans="1:13" s="1353" customFormat="1" ht="43.2">
      <c r="A193" s="1565">
        <v>186</v>
      </c>
      <c r="B193" s="1566" t="s">
        <v>1015</v>
      </c>
      <c r="C193" s="1567" t="s">
        <v>4700</v>
      </c>
      <c r="D193" s="1567" t="s">
        <v>2124</v>
      </c>
      <c r="E193" s="1567" t="s">
        <v>4954</v>
      </c>
      <c r="F193" s="1565" t="s">
        <v>4904</v>
      </c>
      <c r="G193" s="1565">
        <v>87</v>
      </c>
      <c r="H193" s="1565" t="s">
        <v>1861</v>
      </c>
      <c r="I193" s="1565" t="s">
        <v>970</v>
      </c>
      <c r="J193" s="1568">
        <v>2246.5</v>
      </c>
      <c r="K193" s="1589">
        <v>2957</v>
      </c>
      <c r="L193" s="1567" t="s">
        <v>4977</v>
      </c>
      <c r="M193" s="1569">
        <v>44335</v>
      </c>
    </row>
    <row r="194" spans="1:13" s="1353" customFormat="1" ht="43.2">
      <c r="A194" s="1565">
        <v>187</v>
      </c>
      <c r="B194" s="1567" t="s">
        <v>4980</v>
      </c>
      <c r="C194" s="1567" t="s">
        <v>1037</v>
      </c>
      <c r="D194" s="1567" t="s">
        <v>4953</v>
      </c>
      <c r="E194" s="1567" t="s">
        <v>4954</v>
      </c>
      <c r="F194" s="1565" t="s">
        <v>4904</v>
      </c>
      <c r="G194" s="1565">
        <v>22</v>
      </c>
      <c r="H194" s="1565" t="s">
        <v>4981</v>
      </c>
      <c r="I194" s="1565" t="s">
        <v>1037</v>
      </c>
      <c r="J194" s="1582" t="s">
        <v>4973</v>
      </c>
      <c r="K194" s="1565" t="s">
        <v>4982</v>
      </c>
      <c r="L194" s="1567" t="s">
        <v>4983</v>
      </c>
      <c r="M194" s="1569">
        <v>44335</v>
      </c>
    </row>
    <row r="195" spans="1:13" s="1353" customFormat="1" ht="57.6">
      <c r="A195" s="1565">
        <v>188</v>
      </c>
      <c r="B195" s="1567" t="s">
        <v>4984</v>
      </c>
      <c r="C195" s="1567" t="s">
        <v>1037</v>
      </c>
      <c r="D195" s="1567" t="s">
        <v>4953</v>
      </c>
      <c r="E195" s="1567" t="s">
        <v>4954</v>
      </c>
      <c r="F195" s="1565" t="s">
        <v>4904</v>
      </c>
      <c r="G195" s="1565">
        <v>22</v>
      </c>
      <c r="H195" s="1565" t="s">
        <v>4981</v>
      </c>
      <c r="I195" s="1565" t="s">
        <v>1037</v>
      </c>
      <c r="J195" s="1582" t="s">
        <v>4973</v>
      </c>
      <c r="K195" s="1565" t="s">
        <v>4982</v>
      </c>
      <c r="L195" s="1567" t="s">
        <v>4983</v>
      </c>
      <c r="M195" s="1569">
        <v>44335</v>
      </c>
    </row>
    <row r="196" spans="1:13" s="1353" customFormat="1" ht="43.2">
      <c r="A196" s="1565">
        <v>189</v>
      </c>
      <c r="B196" s="1566" t="s">
        <v>1022</v>
      </c>
      <c r="C196" s="1567" t="s">
        <v>2228</v>
      </c>
      <c r="D196" s="1567" t="s">
        <v>1923</v>
      </c>
      <c r="E196" s="1567" t="s">
        <v>4954</v>
      </c>
      <c r="F196" s="1565" t="s">
        <v>4904</v>
      </c>
      <c r="G196" s="1565">
        <v>87</v>
      </c>
      <c r="H196" s="1565" t="s">
        <v>1861</v>
      </c>
      <c r="I196" s="1565" t="s">
        <v>968</v>
      </c>
      <c r="J196" s="1590">
        <v>3.7166666670000001</v>
      </c>
      <c r="K196" s="1588">
        <v>1.8171296296296297E-3</v>
      </c>
      <c r="L196" s="1567" t="s">
        <v>4985</v>
      </c>
      <c r="M196" s="1569">
        <v>44335</v>
      </c>
    </row>
    <row r="197" spans="1:13" s="1353" customFormat="1" ht="43.2">
      <c r="A197" s="1565">
        <v>190</v>
      </c>
      <c r="B197" s="1566" t="s">
        <v>1022</v>
      </c>
      <c r="C197" s="1567" t="s">
        <v>2231</v>
      </c>
      <c r="D197" s="1567" t="s">
        <v>1923</v>
      </c>
      <c r="E197" s="1567" t="s">
        <v>4954</v>
      </c>
      <c r="F197" s="1565" t="s">
        <v>4904</v>
      </c>
      <c r="G197" s="1565">
        <v>87</v>
      </c>
      <c r="H197" s="1565" t="s">
        <v>1861</v>
      </c>
      <c r="I197" s="1565" t="s">
        <v>980</v>
      </c>
      <c r="J197" s="1590">
        <v>3.6666666663333336</v>
      </c>
      <c r="K197" s="1588">
        <v>1.6203703703703703E-3</v>
      </c>
      <c r="L197" s="1567" t="s">
        <v>4985</v>
      </c>
      <c r="M197" s="1569">
        <v>44335</v>
      </c>
    </row>
    <row r="198" spans="1:13" s="1353" customFormat="1" ht="43.2">
      <c r="A198" s="1565">
        <v>191</v>
      </c>
      <c r="B198" s="1566" t="s">
        <v>1022</v>
      </c>
      <c r="C198" s="1567" t="s">
        <v>2235</v>
      </c>
      <c r="D198" s="1567" t="s">
        <v>1923</v>
      </c>
      <c r="E198" s="1567" t="s">
        <v>4954</v>
      </c>
      <c r="F198" s="1565" t="s">
        <v>4904</v>
      </c>
      <c r="G198" s="1565">
        <v>87</v>
      </c>
      <c r="H198" s="1565" t="s">
        <v>1861</v>
      </c>
      <c r="I198" s="1565" t="s">
        <v>985</v>
      </c>
      <c r="J198" s="1590">
        <v>3.583333333000001</v>
      </c>
      <c r="K198" s="1588">
        <v>1.0416666666666667E-3</v>
      </c>
      <c r="L198" s="1567" t="s">
        <v>4985</v>
      </c>
      <c r="M198" s="1569">
        <v>44335</v>
      </c>
    </row>
    <row r="199" spans="1:13" s="1353" customFormat="1" ht="43.2">
      <c r="A199" s="1565">
        <v>192</v>
      </c>
      <c r="B199" s="1566" t="s">
        <v>1022</v>
      </c>
      <c r="C199" s="1567" t="s">
        <v>2238</v>
      </c>
      <c r="D199" s="1567" t="s">
        <v>1923</v>
      </c>
      <c r="E199" s="1567" t="s">
        <v>4954</v>
      </c>
      <c r="F199" s="1565" t="s">
        <v>4904</v>
      </c>
      <c r="G199" s="1565">
        <v>87</v>
      </c>
      <c r="H199" s="1565" t="s">
        <v>1861</v>
      </c>
      <c r="I199" s="1565" t="s">
        <v>958</v>
      </c>
      <c r="J199" s="1590">
        <v>3.5166666663333337</v>
      </c>
      <c r="K199" s="1588">
        <v>1.0416666666666667E-3</v>
      </c>
      <c r="L199" s="1567" t="s">
        <v>4985</v>
      </c>
      <c r="M199" s="1569">
        <v>44335</v>
      </c>
    </row>
    <row r="200" spans="1:13" s="1353" customFormat="1" ht="43.2">
      <c r="A200" s="1565">
        <v>193</v>
      </c>
      <c r="B200" s="1566" t="s">
        <v>1022</v>
      </c>
      <c r="C200" s="1567" t="s">
        <v>2242</v>
      </c>
      <c r="D200" s="1567" t="s">
        <v>1923</v>
      </c>
      <c r="E200" s="1567" t="s">
        <v>4954</v>
      </c>
      <c r="F200" s="1565" t="s">
        <v>4904</v>
      </c>
      <c r="G200" s="1565">
        <v>87</v>
      </c>
      <c r="H200" s="1565" t="s">
        <v>1861</v>
      </c>
      <c r="I200" s="1565" t="s">
        <v>970</v>
      </c>
      <c r="J200" s="1590">
        <v>3.5</v>
      </c>
      <c r="K200" s="1588">
        <v>1.0416666666666667E-3</v>
      </c>
      <c r="L200" s="1567" t="s">
        <v>4985</v>
      </c>
      <c r="M200" s="1569">
        <v>44335</v>
      </c>
    </row>
    <row r="201" spans="1:13" s="1353" customFormat="1" ht="43.2">
      <c r="A201" s="1565">
        <v>194</v>
      </c>
      <c r="B201" s="1566" t="s">
        <v>1022</v>
      </c>
      <c r="C201" s="1591" t="s">
        <v>2343</v>
      </c>
      <c r="D201" s="1591" t="s">
        <v>2345</v>
      </c>
      <c r="E201" s="1567" t="s">
        <v>4954</v>
      </c>
      <c r="F201" s="1565" t="s">
        <v>4904</v>
      </c>
      <c r="G201" s="1565">
        <v>23</v>
      </c>
      <c r="H201" s="1565" t="s">
        <v>1090</v>
      </c>
      <c r="I201" s="1565" t="s">
        <v>4986</v>
      </c>
      <c r="J201" s="1568" t="s">
        <v>966</v>
      </c>
      <c r="K201" s="1568" t="s">
        <v>978</v>
      </c>
      <c r="L201" s="1567" t="s">
        <v>4985</v>
      </c>
      <c r="M201" s="1569">
        <v>44335</v>
      </c>
    </row>
    <row r="202" spans="1:13" s="1353" customFormat="1" ht="43.2">
      <c r="A202" s="1565">
        <v>195</v>
      </c>
      <c r="B202" s="1566" t="s">
        <v>4952</v>
      </c>
      <c r="C202" s="1567" t="s">
        <v>4952</v>
      </c>
      <c r="D202" s="1567" t="s">
        <v>4952</v>
      </c>
      <c r="E202" s="1567" t="s">
        <v>4954</v>
      </c>
      <c r="F202" s="1565" t="s">
        <v>4904</v>
      </c>
      <c r="G202" s="1565">
        <v>22</v>
      </c>
      <c r="H202" s="1565" t="s">
        <v>132</v>
      </c>
      <c r="I202" s="1565" t="s">
        <v>1037</v>
      </c>
      <c r="J202" s="1582" t="s">
        <v>4973</v>
      </c>
      <c r="K202" s="1592" t="s">
        <v>4974</v>
      </c>
      <c r="L202" s="1567" t="s">
        <v>4987</v>
      </c>
      <c r="M202" s="1569">
        <v>44336</v>
      </c>
    </row>
    <row r="203" spans="1:13" s="1353" customFormat="1" ht="43.2">
      <c r="A203" s="1565">
        <v>196</v>
      </c>
      <c r="B203" s="1566" t="s">
        <v>1022</v>
      </c>
      <c r="C203" s="1591" t="s">
        <v>2343</v>
      </c>
      <c r="D203" s="1591" t="s">
        <v>2345</v>
      </c>
      <c r="E203" s="1567" t="s">
        <v>4954</v>
      </c>
      <c r="F203" s="1565" t="s">
        <v>4904</v>
      </c>
      <c r="G203" s="1565">
        <v>20</v>
      </c>
      <c r="H203" s="1565" t="s">
        <v>1873</v>
      </c>
      <c r="I203" s="1565" t="s">
        <v>4986</v>
      </c>
      <c r="J203" s="1565" t="s">
        <v>293</v>
      </c>
      <c r="K203" s="1565" t="s">
        <v>991</v>
      </c>
      <c r="L203" s="1567" t="s">
        <v>4985</v>
      </c>
      <c r="M203" s="1569">
        <v>44336</v>
      </c>
    </row>
    <row r="204" spans="1:13" s="1353" customFormat="1" ht="43.2">
      <c r="A204" s="1565">
        <v>197</v>
      </c>
      <c r="B204" s="1566" t="s">
        <v>999</v>
      </c>
      <c r="C204" s="1591" t="s">
        <v>3722</v>
      </c>
      <c r="D204" s="1567" t="s">
        <v>3724</v>
      </c>
      <c r="E204" s="1567" t="s">
        <v>4954</v>
      </c>
      <c r="F204" s="1565" t="s">
        <v>4904</v>
      </c>
      <c r="G204" s="1565">
        <v>41</v>
      </c>
      <c r="H204" s="1565" t="s">
        <v>4988</v>
      </c>
      <c r="I204" s="1565" t="s">
        <v>4986</v>
      </c>
      <c r="J204" s="1593">
        <v>0</v>
      </c>
      <c r="K204" s="1568" t="s">
        <v>4989</v>
      </c>
      <c r="L204" s="1567" t="s">
        <v>4990</v>
      </c>
      <c r="M204" s="1569">
        <v>44340</v>
      </c>
    </row>
    <row r="205" spans="1:13" s="1353" customFormat="1" ht="43.2">
      <c r="A205" s="1565">
        <v>198</v>
      </c>
      <c r="B205" s="1566" t="s">
        <v>982</v>
      </c>
      <c r="C205" s="1567" t="s">
        <v>4271</v>
      </c>
      <c r="D205" s="1567" t="s">
        <v>4273</v>
      </c>
      <c r="E205" s="1567" t="s">
        <v>4954</v>
      </c>
      <c r="F205" s="1565" t="s">
        <v>4904</v>
      </c>
      <c r="G205" s="1565">
        <v>41</v>
      </c>
      <c r="H205" s="1565" t="s">
        <v>4988</v>
      </c>
      <c r="I205" s="1565" t="s">
        <v>968</v>
      </c>
      <c r="J205" s="1565">
        <v>319.89999999999998</v>
      </c>
      <c r="K205" s="1568">
        <v>86.5</v>
      </c>
      <c r="L205" s="1567" t="s">
        <v>4991</v>
      </c>
      <c r="M205" s="1569">
        <v>44340</v>
      </c>
    </row>
    <row r="206" spans="1:13" s="1353" customFormat="1" ht="72">
      <c r="A206" s="1565">
        <v>199</v>
      </c>
      <c r="B206" s="1566" t="s">
        <v>1033</v>
      </c>
      <c r="C206" s="1567" t="s">
        <v>2998</v>
      </c>
      <c r="D206" s="1567" t="s">
        <v>3000</v>
      </c>
      <c r="E206" s="1567" t="s">
        <v>4954</v>
      </c>
      <c r="F206" s="1565" t="s">
        <v>4904</v>
      </c>
      <c r="G206" s="1565">
        <v>21</v>
      </c>
      <c r="H206" s="1565" t="s">
        <v>1874</v>
      </c>
      <c r="I206" s="1565" t="s">
        <v>4986</v>
      </c>
      <c r="J206" s="1582" t="s">
        <v>4992</v>
      </c>
      <c r="K206" s="1582" t="s">
        <v>3002</v>
      </c>
      <c r="L206" s="1567" t="s">
        <v>4993</v>
      </c>
      <c r="M206" s="1569">
        <v>44340</v>
      </c>
    </row>
    <row r="207" spans="1:13" s="1353" customFormat="1" ht="72">
      <c r="A207" s="1565">
        <v>200</v>
      </c>
      <c r="B207" s="1566" t="s">
        <v>1033</v>
      </c>
      <c r="C207" s="1567" t="s">
        <v>3020</v>
      </c>
      <c r="D207" s="1567" t="s">
        <v>3022</v>
      </c>
      <c r="E207" s="1567" t="s">
        <v>4954</v>
      </c>
      <c r="F207" s="1565" t="s">
        <v>4904</v>
      </c>
      <c r="G207" s="1565">
        <v>21</v>
      </c>
      <c r="H207" s="1565" t="s">
        <v>1874</v>
      </c>
      <c r="I207" s="1565" t="s">
        <v>4986</v>
      </c>
      <c r="J207" s="1582" t="s">
        <v>4992</v>
      </c>
      <c r="K207" s="1582" t="s">
        <v>3002</v>
      </c>
      <c r="L207" s="1567" t="s">
        <v>4993</v>
      </c>
      <c r="M207" s="1569">
        <v>44340</v>
      </c>
    </row>
    <row r="208" spans="1:13" s="1353" customFormat="1" ht="43.2">
      <c r="A208" s="1565">
        <v>201</v>
      </c>
      <c r="B208" s="1566" t="s">
        <v>1033</v>
      </c>
      <c r="C208" s="1567" t="s">
        <v>2998</v>
      </c>
      <c r="D208" s="1567" t="s">
        <v>3000</v>
      </c>
      <c r="E208" s="1567" t="s">
        <v>4954</v>
      </c>
      <c r="F208" s="1565" t="s">
        <v>4904</v>
      </c>
      <c r="G208" s="1565">
        <v>20</v>
      </c>
      <c r="H208" s="1565" t="s">
        <v>4994</v>
      </c>
      <c r="I208" s="1565" t="s">
        <v>4986</v>
      </c>
      <c r="J208" s="1565" t="s">
        <v>293</v>
      </c>
      <c r="K208" s="1565" t="s">
        <v>1039</v>
      </c>
      <c r="L208" s="1567" t="s">
        <v>4993</v>
      </c>
      <c r="M208" s="1569">
        <v>44340</v>
      </c>
    </row>
    <row r="209" spans="1:13" s="1353" customFormat="1" ht="43.2">
      <c r="A209" s="1565">
        <v>202</v>
      </c>
      <c r="B209" s="1566" t="s">
        <v>1033</v>
      </c>
      <c r="C209" s="1567" t="s">
        <v>3020</v>
      </c>
      <c r="D209" s="1567" t="s">
        <v>3022</v>
      </c>
      <c r="E209" s="1567" t="s">
        <v>4954</v>
      </c>
      <c r="F209" s="1565" t="s">
        <v>4904</v>
      </c>
      <c r="G209" s="1565">
        <v>20</v>
      </c>
      <c r="H209" s="1565" t="s">
        <v>4994</v>
      </c>
      <c r="I209" s="1565" t="s">
        <v>4986</v>
      </c>
      <c r="J209" s="1565" t="s">
        <v>293</v>
      </c>
      <c r="K209" s="1565" t="s">
        <v>1039</v>
      </c>
      <c r="L209" s="1567" t="s">
        <v>4993</v>
      </c>
      <c r="M209" s="1569">
        <v>44340</v>
      </c>
    </row>
    <row r="210" spans="1:13" s="1353" customFormat="1" ht="14.4">
      <c r="A210" s="1550">
        <v>203</v>
      </c>
      <c r="B210" s="1560" t="s">
        <v>1015</v>
      </c>
      <c r="C210" s="1561" t="s">
        <v>4678</v>
      </c>
      <c r="D210" s="1561" t="s">
        <v>2016</v>
      </c>
      <c r="E210" s="1561" t="s">
        <v>4903</v>
      </c>
      <c r="F210" s="1550" t="s">
        <v>4904</v>
      </c>
      <c r="G210" s="1550">
        <v>82</v>
      </c>
      <c r="H210" s="1550" t="s">
        <v>1860</v>
      </c>
      <c r="I210" s="1550" t="s">
        <v>968</v>
      </c>
      <c r="J210" s="1562">
        <v>11</v>
      </c>
      <c r="K210" s="1562" t="s">
        <v>4906</v>
      </c>
      <c r="L210" s="1575" t="s">
        <v>4995</v>
      </c>
      <c r="M210" s="1563">
        <v>44341</v>
      </c>
    </row>
    <row r="211" spans="1:13" s="1353" customFormat="1" ht="14.4">
      <c r="A211" s="1550">
        <v>204</v>
      </c>
      <c r="B211" s="1560" t="s">
        <v>1015</v>
      </c>
      <c r="C211" s="1561" t="s">
        <v>4678</v>
      </c>
      <c r="D211" s="1561" t="s">
        <v>2016</v>
      </c>
      <c r="E211" s="1561" t="s">
        <v>4903</v>
      </c>
      <c r="F211" s="1550" t="s">
        <v>4904</v>
      </c>
      <c r="G211" s="1550">
        <v>82</v>
      </c>
      <c r="H211" s="1550" t="s">
        <v>1860</v>
      </c>
      <c r="I211" s="1550" t="s">
        <v>980</v>
      </c>
      <c r="J211" s="1562">
        <v>11</v>
      </c>
      <c r="K211" s="1562" t="s">
        <v>4906</v>
      </c>
      <c r="L211" s="1575" t="s">
        <v>4995</v>
      </c>
      <c r="M211" s="1563">
        <v>44341</v>
      </c>
    </row>
    <row r="212" spans="1:13" s="1353" customFormat="1" ht="14.4">
      <c r="A212" s="1550">
        <v>205</v>
      </c>
      <c r="B212" s="1560" t="s">
        <v>1015</v>
      </c>
      <c r="C212" s="1561" t="s">
        <v>4678</v>
      </c>
      <c r="D212" s="1561" t="s">
        <v>2016</v>
      </c>
      <c r="E212" s="1561" t="s">
        <v>4903</v>
      </c>
      <c r="F212" s="1550" t="s">
        <v>4904</v>
      </c>
      <c r="G212" s="1550">
        <v>82</v>
      </c>
      <c r="H212" s="1550" t="s">
        <v>1860</v>
      </c>
      <c r="I212" s="1550" t="s">
        <v>985</v>
      </c>
      <c r="J212" s="1562">
        <v>11</v>
      </c>
      <c r="K212" s="1562" t="s">
        <v>4906</v>
      </c>
      <c r="L212" s="1575" t="s">
        <v>4995</v>
      </c>
      <c r="M212" s="1563">
        <v>44341</v>
      </c>
    </row>
    <row r="213" spans="1:13" s="1353" customFormat="1" ht="14.4">
      <c r="A213" s="1550">
        <v>206</v>
      </c>
      <c r="B213" s="1560" t="s">
        <v>1015</v>
      </c>
      <c r="C213" s="1561" t="s">
        <v>4678</v>
      </c>
      <c r="D213" s="1561" t="s">
        <v>2016</v>
      </c>
      <c r="E213" s="1561" t="s">
        <v>4903</v>
      </c>
      <c r="F213" s="1550" t="s">
        <v>4904</v>
      </c>
      <c r="G213" s="1550">
        <v>82</v>
      </c>
      <c r="H213" s="1550" t="s">
        <v>1860</v>
      </c>
      <c r="I213" s="1550" t="s">
        <v>958</v>
      </c>
      <c r="J213" s="1562">
        <v>11</v>
      </c>
      <c r="K213" s="1562" t="s">
        <v>4906</v>
      </c>
      <c r="L213" s="1575" t="s">
        <v>4995</v>
      </c>
      <c r="M213" s="1563">
        <v>44341</v>
      </c>
    </row>
    <row r="214" spans="1:13" s="1353" customFormat="1" ht="14.4">
      <c r="A214" s="1550">
        <v>207</v>
      </c>
      <c r="B214" s="1560" t="s">
        <v>1015</v>
      </c>
      <c r="C214" s="1561" t="s">
        <v>4678</v>
      </c>
      <c r="D214" s="1561" t="s">
        <v>2016</v>
      </c>
      <c r="E214" s="1561" t="s">
        <v>4903</v>
      </c>
      <c r="F214" s="1550" t="s">
        <v>4904</v>
      </c>
      <c r="G214" s="1550">
        <v>82</v>
      </c>
      <c r="H214" s="1550" t="s">
        <v>1860</v>
      </c>
      <c r="I214" s="1550" t="s">
        <v>970</v>
      </c>
      <c r="J214" s="1562">
        <v>11</v>
      </c>
      <c r="K214" s="1562" t="s">
        <v>4906</v>
      </c>
      <c r="L214" s="1575" t="s">
        <v>4995</v>
      </c>
      <c r="M214" s="1563">
        <v>44341</v>
      </c>
    </row>
    <row r="215" spans="1:13" s="1353" customFormat="1" ht="14.4">
      <c r="A215" s="1550">
        <v>208</v>
      </c>
      <c r="B215" s="1560" t="s">
        <v>990</v>
      </c>
      <c r="C215" s="1561" t="s">
        <v>2511</v>
      </c>
      <c r="D215" s="1561" t="s">
        <v>2513</v>
      </c>
      <c r="E215" s="1561" t="s">
        <v>4903</v>
      </c>
      <c r="F215" s="1550" t="s">
        <v>4904</v>
      </c>
      <c r="G215" s="1550">
        <v>41</v>
      </c>
      <c r="H215" s="1550" t="s">
        <v>4915</v>
      </c>
      <c r="I215" s="1550" t="s">
        <v>968</v>
      </c>
      <c r="J215" s="1573">
        <v>134</v>
      </c>
      <c r="K215" s="1573">
        <f>'App1'!AQ142</f>
        <v>0</v>
      </c>
      <c r="L215" s="1561" t="s">
        <v>4996</v>
      </c>
      <c r="M215" s="1563">
        <v>44341</v>
      </c>
    </row>
    <row r="216" spans="1:13" s="1353" customFormat="1" ht="14.4">
      <c r="A216" s="1550">
        <v>209</v>
      </c>
      <c r="B216" s="1560" t="s">
        <v>990</v>
      </c>
      <c r="C216" s="1561" t="s">
        <v>2511</v>
      </c>
      <c r="D216" s="1561" t="s">
        <v>2513</v>
      </c>
      <c r="E216" s="1561" t="s">
        <v>4903</v>
      </c>
      <c r="F216" s="1550" t="s">
        <v>4904</v>
      </c>
      <c r="G216" s="1550">
        <v>41</v>
      </c>
      <c r="H216" s="1550" t="s">
        <v>4915</v>
      </c>
      <c r="I216" s="1550" t="s">
        <v>980</v>
      </c>
      <c r="J216" s="1573">
        <v>132.6</v>
      </c>
      <c r="K216" s="1573">
        <f>'App1'!AR142</f>
        <v>0</v>
      </c>
      <c r="L216" s="1561" t="s">
        <v>4996</v>
      </c>
      <c r="M216" s="1563">
        <v>44341</v>
      </c>
    </row>
    <row r="217" spans="1:13" s="1353" customFormat="1" ht="14.4">
      <c r="A217" s="1550">
        <v>210</v>
      </c>
      <c r="B217" s="1560" t="s">
        <v>990</v>
      </c>
      <c r="C217" s="1561" t="s">
        <v>2511</v>
      </c>
      <c r="D217" s="1561" t="s">
        <v>2513</v>
      </c>
      <c r="E217" s="1561" t="s">
        <v>4903</v>
      </c>
      <c r="F217" s="1550" t="s">
        <v>4904</v>
      </c>
      <c r="G217" s="1550">
        <v>41</v>
      </c>
      <c r="H217" s="1550" t="s">
        <v>4915</v>
      </c>
      <c r="I217" s="1550" t="s">
        <v>985</v>
      </c>
      <c r="J217" s="1573">
        <v>128.4</v>
      </c>
      <c r="K217" s="1573">
        <f>'App1'!AS142</f>
        <v>0</v>
      </c>
      <c r="L217" s="1561" t="s">
        <v>4996</v>
      </c>
      <c r="M217" s="1563">
        <v>44341</v>
      </c>
    </row>
    <row r="218" spans="1:13" s="1353" customFormat="1" ht="14.4">
      <c r="A218" s="1550">
        <v>211</v>
      </c>
      <c r="B218" s="1560" t="s">
        <v>990</v>
      </c>
      <c r="C218" s="1561" t="s">
        <v>2511</v>
      </c>
      <c r="D218" s="1561" t="s">
        <v>2513</v>
      </c>
      <c r="E218" s="1561" t="s">
        <v>4903</v>
      </c>
      <c r="F218" s="1550" t="s">
        <v>4904</v>
      </c>
      <c r="G218" s="1550">
        <v>41</v>
      </c>
      <c r="H218" s="1550" t="s">
        <v>4915</v>
      </c>
      <c r="I218" s="1550" t="s">
        <v>958</v>
      </c>
      <c r="J218" s="1573">
        <v>124.4</v>
      </c>
      <c r="K218" s="1573">
        <f>'App1'!AT142</f>
        <v>0</v>
      </c>
      <c r="L218" s="1561" t="s">
        <v>4996</v>
      </c>
      <c r="M218" s="1563">
        <v>44341</v>
      </c>
    </row>
    <row r="219" spans="1:13" s="1353" customFormat="1" ht="14.4">
      <c r="A219" s="1550">
        <v>212</v>
      </c>
      <c r="B219" s="1560" t="s">
        <v>990</v>
      </c>
      <c r="C219" s="1561" t="s">
        <v>2511</v>
      </c>
      <c r="D219" s="1561" t="s">
        <v>2513</v>
      </c>
      <c r="E219" s="1561" t="s">
        <v>4903</v>
      </c>
      <c r="F219" s="1550" t="s">
        <v>4904</v>
      </c>
      <c r="G219" s="1550">
        <v>41</v>
      </c>
      <c r="H219" s="1550" t="s">
        <v>4915</v>
      </c>
      <c r="I219" s="1550" t="s">
        <v>970</v>
      </c>
      <c r="J219" s="1573">
        <v>120.3</v>
      </c>
      <c r="K219" s="1573">
        <f>'App1'!AU142</f>
        <v>0</v>
      </c>
      <c r="L219" s="1561" t="s">
        <v>4996</v>
      </c>
      <c r="M219" s="1563">
        <v>44341</v>
      </c>
    </row>
    <row r="220" spans="1:13" s="1353" customFormat="1" ht="14.4">
      <c r="A220" s="1550">
        <v>213</v>
      </c>
      <c r="B220" s="1560" t="s">
        <v>990</v>
      </c>
      <c r="C220" s="1561" t="s">
        <v>2516</v>
      </c>
      <c r="D220" s="1561" t="s">
        <v>2518</v>
      </c>
      <c r="E220" s="1561" t="s">
        <v>4903</v>
      </c>
      <c r="F220" s="1550" t="s">
        <v>4904</v>
      </c>
      <c r="G220" s="1550">
        <v>41</v>
      </c>
      <c r="H220" s="1550" t="s">
        <v>4915</v>
      </c>
      <c r="I220" s="1550" t="s">
        <v>968</v>
      </c>
      <c r="J220" s="1573">
        <v>58.2</v>
      </c>
      <c r="K220" s="1573">
        <f>'App1'!AQ143</f>
        <v>0</v>
      </c>
      <c r="L220" s="1561" t="s">
        <v>4996</v>
      </c>
      <c r="M220" s="1563">
        <v>44341</v>
      </c>
    </row>
    <row r="221" spans="1:13" s="1353" customFormat="1" ht="14.4">
      <c r="A221" s="1550">
        <v>214</v>
      </c>
      <c r="B221" s="1560" t="s">
        <v>990</v>
      </c>
      <c r="C221" s="1561" t="s">
        <v>2516</v>
      </c>
      <c r="D221" s="1561" t="s">
        <v>2518</v>
      </c>
      <c r="E221" s="1561" t="s">
        <v>4903</v>
      </c>
      <c r="F221" s="1550" t="s">
        <v>4904</v>
      </c>
      <c r="G221" s="1550">
        <v>41</v>
      </c>
      <c r="H221" s="1550" t="s">
        <v>4915</v>
      </c>
      <c r="I221" s="1550" t="s">
        <v>980</v>
      </c>
      <c r="J221" s="1573">
        <v>56.8</v>
      </c>
      <c r="K221" s="1573">
        <f>'App1'!AR143</f>
        <v>0</v>
      </c>
      <c r="L221" s="1561" t="s">
        <v>4996</v>
      </c>
      <c r="M221" s="1563">
        <v>44341</v>
      </c>
    </row>
    <row r="222" spans="1:13" s="1353" customFormat="1" ht="14.4">
      <c r="A222" s="1550">
        <v>215</v>
      </c>
      <c r="B222" s="1560" t="s">
        <v>990</v>
      </c>
      <c r="C222" s="1561" t="s">
        <v>2516</v>
      </c>
      <c r="D222" s="1561" t="s">
        <v>2518</v>
      </c>
      <c r="E222" s="1561" t="s">
        <v>4903</v>
      </c>
      <c r="F222" s="1550" t="s">
        <v>4904</v>
      </c>
      <c r="G222" s="1550">
        <v>41</v>
      </c>
      <c r="H222" s="1550" t="s">
        <v>4915</v>
      </c>
      <c r="I222" s="1550" t="s">
        <v>985</v>
      </c>
      <c r="J222" s="1573">
        <v>54.7</v>
      </c>
      <c r="K222" s="1573">
        <f>'App1'!AS143</f>
        <v>0</v>
      </c>
      <c r="L222" s="1561" t="s">
        <v>4996</v>
      </c>
      <c r="M222" s="1563">
        <v>44341</v>
      </c>
    </row>
    <row r="223" spans="1:13" s="1353" customFormat="1" ht="14.4">
      <c r="A223" s="1550">
        <v>216</v>
      </c>
      <c r="B223" s="1560" t="s">
        <v>990</v>
      </c>
      <c r="C223" s="1561" t="s">
        <v>2516</v>
      </c>
      <c r="D223" s="1561" t="s">
        <v>2518</v>
      </c>
      <c r="E223" s="1561" t="s">
        <v>4903</v>
      </c>
      <c r="F223" s="1550" t="s">
        <v>4904</v>
      </c>
      <c r="G223" s="1550">
        <v>41</v>
      </c>
      <c r="H223" s="1550" t="s">
        <v>4915</v>
      </c>
      <c r="I223" s="1550" t="s">
        <v>958</v>
      </c>
      <c r="J223" s="1573">
        <v>52.6</v>
      </c>
      <c r="K223" s="1573">
        <f>'App1'!AT143</f>
        <v>0</v>
      </c>
      <c r="L223" s="1561" t="s">
        <v>4996</v>
      </c>
      <c r="M223" s="1563">
        <v>44341</v>
      </c>
    </row>
    <row r="224" spans="1:13" s="1353" customFormat="1" ht="14.4">
      <c r="A224" s="1550">
        <v>217</v>
      </c>
      <c r="B224" s="1560" t="s">
        <v>990</v>
      </c>
      <c r="C224" s="1561" t="s">
        <v>2516</v>
      </c>
      <c r="D224" s="1561" t="s">
        <v>2518</v>
      </c>
      <c r="E224" s="1561" t="s">
        <v>4903</v>
      </c>
      <c r="F224" s="1550" t="s">
        <v>4904</v>
      </c>
      <c r="G224" s="1550">
        <v>41</v>
      </c>
      <c r="H224" s="1550" t="s">
        <v>4915</v>
      </c>
      <c r="I224" s="1550" t="s">
        <v>970</v>
      </c>
      <c r="J224" s="1573">
        <v>50.6</v>
      </c>
      <c r="K224" s="1573">
        <f>'App1'!AU143</f>
        <v>0</v>
      </c>
      <c r="L224" s="1561" t="s">
        <v>4996</v>
      </c>
      <c r="M224" s="1563">
        <v>44341</v>
      </c>
    </row>
    <row r="225" spans="1:13" s="1353" customFormat="1" ht="14.4">
      <c r="A225" s="1550">
        <v>218</v>
      </c>
      <c r="B225" s="1560" t="s">
        <v>990</v>
      </c>
      <c r="C225" s="1561" t="s">
        <v>2511</v>
      </c>
      <c r="D225" s="1561" t="s">
        <v>2513</v>
      </c>
      <c r="E225" s="1561" t="s">
        <v>4903</v>
      </c>
      <c r="F225" s="1550" t="s">
        <v>4904</v>
      </c>
      <c r="G225" s="1550">
        <v>72</v>
      </c>
      <c r="H225" s="1550" t="s">
        <v>1858</v>
      </c>
      <c r="I225" s="1550" t="s">
        <v>968</v>
      </c>
      <c r="J225" s="1573">
        <v>162</v>
      </c>
      <c r="K225" s="1573">
        <v>186</v>
      </c>
      <c r="L225" s="1561" t="s">
        <v>4997</v>
      </c>
      <c r="M225" s="1563">
        <v>44341</v>
      </c>
    </row>
    <row r="226" spans="1:13" s="1353" customFormat="1" ht="14.4">
      <c r="A226" s="1550">
        <v>219</v>
      </c>
      <c r="B226" s="1560" t="s">
        <v>990</v>
      </c>
      <c r="C226" s="1561" t="s">
        <v>2511</v>
      </c>
      <c r="D226" s="1561" t="s">
        <v>2513</v>
      </c>
      <c r="E226" s="1561" t="s">
        <v>4903</v>
      </c>
      <c r="F226" s="1550" t="s">
        <v>4904</v>
      </c>
      <c r="G226" s="1550">
        <v>72</v>
      </c>
      <c r="H226" s="1550" t="s">
        <v>1858</v>
      </c>
      <c r="I226" s="1550" t="s">
        <v>980</v>
      </c>
      <c r="J226" s="1573">
        <v>162</v>
      </c>
      <c r="K226" s="1573">
        <v>186</v>
      </c>
      <c r="L226" s="1561" t="s">
        <v>4997</v>
      </c>
      <c r="M226" s="1563">
        <v>44341</v>
      </c>
    </row>
    <row r="227" spans="1:13" s="1353" customFormat="1" ht="14.4">
      <c r="A227" s="1550">
        <v>220</v>
      </c>
      <c r="B227" s="1560" t="s">
        <v>990</v>
      </c>
      <c r="C227" s="1561" t="s">
        <v>2511</v>
      </c>
      <c r="D227" s="1561" t="s">
        <v>2513</v>
      </c>
      <c r="E227" s="1561" t="s">
        <v>4903</v>
      </c>
      <c r="F227" s="1550" t="s">
        <v>4904</v>
      </c>
      <c r="G227" s="1550">
        <v>72</v>
      </c>
      <c r="H227" s="1550" t="s">
        <v>1858</v>
      </c>
      <c r="I227" s="1550" t="s">
        <v>985</v>
      </c>
      <c r="J227" s="1573">
        <v>162</v>
      </c>
      <c r="K227" s="1573">
        <v>186</v>
      </c>
      <c r="L227" s="1561" t="s">
        <v>4997</v>
      </c>
      <c r="M227" s="1563">
        <v>44341</v>
      </c>
    </row>
    <row r="228" spans="1:13" s="1353" customFormat="1" ht="14.4">
      <c r="A228" s="1550">
        <v>221</v>
      </c>
      <c r="B228" s="1560" t="s">
        <v>990</v>
      </c>
      <c r="C228" s="1561" t="s">
        <v>2511</v>
      </c>
      <c r="D228" s="1561" t="s">
        <v>2513</v>
      </c>
      <c r="E228" s="1561" t="s">
        <v>4903</v>
      </c>
      <c r="F228" s="1550" t="s">
        <v>4904</v>
      </c>
      <c r="G228" s="1550">
        <v>72</v>
      </c>
      <c r="H228" s="1550" t="s">
        <v>1858</v>
      </c>
      <c r="I228" s="1550" t="s">
        <v>958</v>
      </c>
      <c r="J228" s="1573">
        <v>162</v>
      </c>
      <c r="K228" s="1573">
        <v>186</v>
      </c>
      <c r="L228" s="1561" t="s">
        <v>4997</v>
      </c>
      <c r="M228" s="1563">
        <v>44341</v>
      </c>
    </row>
    <row r="229" spans="1:13" s="1353" customFormat="1" ht="14.4">
      <c r="A229" s="1550">
        <v>222</v>
      </c>
      <c r="B229" s="1560" t="s">
        <v>990</v>
      </c>
      <c r="C229" s="1561" t="s">
        <v>2511</v>
      </c>
      <c r="D229" s="1561" t="s">
        <v>2513</v>
      </c>
      <c r="E229" s="1561" t="s">
        <v>4903</v>
      </c>
      <c r="F229" s="1550" t="s">
        <v>4904</v>
      </c>
      <c r="G229" s="1550">
        <v>72</v>
      </c>
      <c r="H229" s="1550" t="s">
        <v>1858</v>
      </c>
      <c r="I229" s="1550" t="s">
        <v>970</v>
      </c>
      <c r="J229" s="1573">
        <v>162</v>
      </c>
      <c r="K229" s="1573">
        <v>186</v>
      </c>
      <c r="L229" s="1561" t="s">
        <v>4997</v>
      </c>
      <c r="M229" s="1563">
        <v>44341</v>
      </c>
    </row>
    <row r="230" spans="1:13" s="1353" customFormat="1" ht="14.4">
      <c r="A230" s="1550">
        <v>223</v>
      </c>
      <c r="B230" s="1560" t="s">
        <v>990</v>
      </c>
      <c r="C230" s="1561" t="s">
        <v>2516</v>
      </c>
      <c r="D230" s="1561" t="s">
        <v>2518</v>
      </c>
      <c r="E230" s="1561" t="s">
        <v>4903</v>
      </c>
      <c r="F230" s="1550" t="s">
        <v>4904</v>
      </c>
      <c r="G230" s="1550">
        <v>72</v>
      </c>
      <c r="H230" s="1550" t="s">
        <v>1858</v>
      </c>
      <c r="I230" s="1550" t="s">
        <v>968</v>
      </c>
      <c r="J230" s="1573">
        <v>97.1</v>
      </c>
      <c r="K230" s="1573">
        <v>115.6</v>
      </c>
      <c r="L230" s="1561" t="s">
        <v>4997</v>
      </c>
      <c r="M230" s="1563">
        <v>44341</v>
      </c>
    </row>
    <row r="231" spans="1:13" s="1353" customFormat="1" ht="14.4">
      <c r="A231" s="1550">
        <v>224</v>
      </c>
      <c r="B231" s="1560" t="s">
        <v>990</v>
      </c>
      <c r="C231" s="1561" t="s">
        <v>2516</v>
      </c>
      <c r="D231" s="1561" t="s">
        <v>2518</v>
      </c>
      <c r="E231" s="1561" t="s">
        <v>4903</v>
      </c>
      <c r="F231" s="1550" t="s">
        <v>4904</v>
      </c>
      <c r="G231" s="1550">
        <v>72</v>
      </c>
      <c r="H231" s="1550" t="s">
        <v>1858</v>
      </c>
      <c r="I231" s="1550" t="s">
        <v>980</v>
      </c>
      <c r="J231" s="1573">
        <v>97.1</v>
      </c>
      <c r="K231" s="1573">
        <v>115.6</v>
      </c>
      <c r="L231" s="1561" t="s">
        <v>4997</v>
      </c>
      <c r="M231" s="1563">
        <v>44341</v>
      </c>
    </row>
    <row r="232" spans="1:13" s="1353" customFormat="1" ht="14.4">
      <c r="A232" s="1550">
        <v>225</v>
      </c>
      <c r="B232" s="1560" t="s">
        <v>990</v>
      </c>
      <c r="C232" s="1561" t="s">
        <v>2516</v>
      </c>
      <c r="D232" s="1561" t="s">
        <v>2518</v>
      </c>
      <c r="E232" s="1561" t="s">
        <v>4903</v>
      </c>
      <c r="F232" s="1550" t="s">
        <v>4904</v>
      </c>
      <c r="G232" s="1550">
        <v>72</v>
      </c>
      <c r="H232" s="1550" t="s">
        <v>1858</v>
      </c>
      <c r="I232" s="1550" t="s">
        <v>985</v>
      </c>
      <c r="J232" s="1573">
        <v>97.1</v>
      </c>
      <c r="K232" s="1573">
        <v>115.6</v>
      </c>
      <c r="L232" s="1561" t="s">
        <v>4997</v>
      </c>
      <c r="M232" s="1563">
        <v>44341</v>
      </c>
    </row>
    <row r="233" spans="1:13" s="1353" customFormat="1" ht="14.4">
      <c r="A233" s="1550">
        <v>226</v>
      </c>
      <c r="B233" s="1560" t="s">
        <v>990</v>
      </c>
      <c r="C233" s="1561" t="s">
        <v>2516</v>
      </c>
      <c r="D233" s="1561" t="s">
        <v>2518</v>
      </c>
      <c r="E233" s="1561" t="s">
        <v>4903</v>
      </c>
      <c r="F233" s="1550" t="s">
        <v>4904</v>
      </c>
      <c r="G233" s="1550">
        <v>72</v>
      </c>
      <c r="H233" s="1550" t="s">
        <v>1858</v>
      </c>
      <c r="I233" s="1550" t="s">
        <v>958</v>
      </c>
      <c r="J233" s="1573">
        <v>97.1</v>
      </c>
      <c r="K233" s="1573">
        <v>115.6</v>
      </c>
      <c r="L233" s="1561" t="s">
        <v>4997</v>
      </c>
      <c r="M233" s="1563">
        <v>44341</v>
      </c>
    </row>
    <row r="234" spans="1:13" s="1353" customFormat="1" ht="14.4">
      <c r="A234" s="1550">
        <v>227</v>
      </c>
      <c r="B234" s="1560" t="s">
        <v>990</v>
      </c>
      <c r="C234" s="1561" t="s">
        <v>2516</v>
      </c>
      <c r="D234" s="1561" t="s">
        <v>2518</v>
      </c>
      <c r="E234" s="1561" t="s">
        <v>4903</v>
      </c>
      <c r="F234" s="1550" t="s">
        <v>4904</v>
      </c>
      <c r="G234" s="1550">
        <v>72</v>
      </c>
      <c r="H234" s="1550" t="s">
        <v>1858</v>
      </c>
      <c r="I234" s="1550" t="s">
        <v>970</v>
      </c>
      <c r="J234" s="1573">
        <v>97.1</v>
      </c>
      <c r="K234" s="1573">
        <v>115.6</v>
      </c>
      <c r="L234" s="1561" t="s">
        <v>4997</v>
      </c>
      <c r="M234" s="1563">
        <v>44341</v>
      </c>
    </row>
    <row r="235" spans="1:13" s="1353" customFormat="1" ht="43.2">
      <c r="A235" s="1565">
        <v>228</v>
      </c>
      <c r="B235" s="1566" t="s">
        <v>990</v>
      </c>
      <c r="C235" s="1567" t="s">
        <v>2511</v>
      </c>
      <c r="D235" s="1567" t="s">
        <v>2513</v>
      </c>
      <c r="E235" s="1567" t="s">
        <v>4954</v>
      </c>
      <c r="F235" s="1565" t="s">
        <v>4904</v>
      </c>
      <c r="G235" s="1565">
        <v>87</v>
      </c>
      <c r="H235" s="1567" t="s">
        <v>1861</v>
      </c>
      <c r="I235" s="1565" t="s">
        <v>968</v>
      </c>
      <c r="J235" s="1594">
        <v>84.3</v>
      </c>
      <c r="K235" s="1594">
        <v>84</v>
      </c>
      <c r="L235" s="1567" t="s">
        <v>4998</v>
      </c>
      <c r="M235" s="1569">
        <v>44341</v>
      </c>
    </row>
    <row r="236" spans="1:13" s="1353" customFormat="1" ht="43.2">
      <c r="A236" s="1565">
        <v>229</v>
      </c>
      <c r="B236" s="1566" t="s">
        <v>990</v>
      </c>
      <c r="C236" s="1567" t="s">
        <v>2511</v>
      </c>
      <c r="D236" s="1567" t="s">
        <v>2513</v>
      </c>
      <c r="E236" s="1567" t="s">
        <v>4954</v>
      </c>
      <c r="F236" s="1565" t="s">
        <v>4904</v>
      </c>
      <c r="G236" s="1565">
        <v>87</v>
      </c>
      <c r="H236" s="1567" t="s">
        <v>1861</v>
      </c>
      <c r="I236" s="1565" t="s">
        <v>980</v>
      </c>
      <c r="J236" s="1594">
        <v>83.4</v>
      </c>
      <c r="K236" s="1594">
        <v>83.2</v>
      </c>
      <c r="L236" s="1567" t="s">
        <v>4998</v>
      </c>
      <c r="M236" s="1569">
        <v>44341</v>
      </c>
    </row>
    <row r="237" spans="1:13" s="1353" customFormat="1" ht="43.2">
      <c r="A237" s="1565">
        <v>230</v>
      </c>
      <c r="B237" s="1566" t="s">
        <v>990</v>
      </c>
      <c r="C237" s="1567" t="s">
        <v>2511</v>
      </c>
      <c r="D237" s="1567" t="s">
        <v>2513</v>
      </c>
      <c r="E237" s="1567" t="s">
        <v>4954</v>
      </c>
      <c r="F237" s="1565" t="s">
        <v>4904</v>
      </c>
      <c r="G237" s="1565">
        <v>87</v>
      </c>
      <c r="H237" s="1567" t="s">
        <v>1861</v>
      </c>
      <c r="I237" s="1565" t="s">
        <v>985</v>
      </c>
      <c r="J237" s="1594">
        <v>82.2</v>
      </c>
      <c r="K237" s="1594">
        <v>82</v>
      </c>
      <c r="L237" s="1567" t="s">
        <v>4998</v>
      </c>
      <c r="M237" s="1569">
        <v>44341</v>
      </c>
    </row>
    <row r="238" spans="1:13" s="1353" customFormat="1" ht="43.2">
      <c r="A238" s="1565">
        <v>231</v>
      </c>
      <c r="B238" s="1566" t="s">
        <v>990</v>
      </c>
      <c r="C238" s="1567" t="s">
        <v>2511</v>
      </c>
      <c r="D238" s="1567" t="s">
        <v>2513</v>
      </c>
      <c r="E238" s="1567" t="s">
        <v>4954</v>
      </c>
      <c r="F238" s="1565" t="s">
        <v>4904</v>
      </c>
      <c r="G238" s="1565">
        <v>87</v>
      </c>
      <c r="H238" s="1567" t="s">
        <v>1861</v>
      </c>
      <c r="I238" s="1565" t="s">
        <v>958</v>
      </c>
      <c r="J238" s="1594">
        <v>80.7</v>
      </c>
      <c r="K238" s="1594">
        <v>80.5</v>
      </c>
      <c r="L238" s="1567" t="s">
        <v>4998</v>
      </c>
      <c r="M238" s="1569">
        <v>44341</v>
      </c>
    </row>
    <row r="239" spans="1:13" s="1353" customFormat="1" ht="43.2">
      <c r="A239" s="1565">
        <v>232</v>
      </c>
      <c r="B239" s="1566" t="s">
        <v>990</v>
      </c>
      <c r="C239" s="1567" t="s">
        <v>2511</v>
      </c>
      <c r="D239" s="1567" t="s">
        <v>2513</v>
      </c>
      <c r="E239" s="1567" t="s">
        <v>4954</v>
      </c>
      <c r="F239" s="1565" t="s">
        <v>4904</v>
      </c>
      <c r="G239" s="1565">
        <v>87</v>
      </c>
      <c r="H239" s="1567" t="s">
        <v>1861</v>
      </c>
      <c r="I239" s="1565" t="s">
        <v>970</v>
      </c>
      <c r="J239" s="1594">
        <v>78.099999999999994</v>
      </c>
      <c r="K239" s="1594">
        <v>77.900000000000006</v>
      </c>
      <c r="L239" s="1567" t="s">
        <v>4998</v>
      </c>
      <c r="M239" s="1569">
        <v>44341</v>
      </c>
    </row>
    <row r="240" spans="1:13" s="1353" customFormat="1" ht="43.2">
      <c r="A240" s="1565">
        <v>233</v>
      </c>
      <c r="B240" s="1566" t="s">
        <v>990</v>
      </c>
      <c r="C240" s="1567" t="s">
        <v>2516</v>
      </c>
      <c r="D240" s="1567" t="s">
        <v>2518</v>
      </c>
      <c r="E240" s="1567" t="s">
        <v>4954</v>
      </c>
      <c r="F240" s="1565" t="s">
        <v>4904</v>
      </c>
      <c r="G240" s="1565">
        <v>87</v>
      </c>
      <c r="H240" s="1567" t="s">
        <v>1861</v>
      </c>
      <c r="I240" s="1565" t="s">
        <v>968</v>
      </c>
      <c r="J240" s="1590">
        <v>50.7</v>
      </c>
      <c r="K240" s="1590">
        <v>53.3</v>
      </c>
      <c r="L240" s="1567" t="s">
        <v>4998</v>
      </c>
      <c r="M240" s="1569">
        <v>44341</v>
      </c>
    </row>
    <row r="241" spans="1:13" s="1353" customFormat="1" ht="43.2">
      <c r="A241" s="1565">
        <v>234</v>
      </c>
      <c r="B241" s="1566" t="s">
        <v>990</v>
      </c>
      <c r="C241" s="1567" t="s">
        <v>2516</v>
      </c>
      <c r="D241" s="1567" t="s">
        <v>2518</v>
      </c>
      <c r="E241" s="1567" t="s">
        <v>4954</v>
      </c>
      <c r="F241" s="1565" t="s">
        <v>4904</v>
      </c>
      <c r="G241" s="1565">
        <v>87</v>
      </c>
      <c r="H241" s="1567" t="s">
        <v>1861</v>
      </c>
      <c r="I241" s="1565" t="s">
        <v>980</v>
      </c>
      <c r="J241" s="1590">
        <v>50</v>
      </c>
      <c r="K241" s="1590">
        <v>52.6</v>
      </c>
      <c r="L241" s="1567" t="s">
        <v>4998</v>
      </c>
      <c r="M241" s="1569">
        <v>44341</v>
      </c>
    </row>
    <row r="242" spans="1:13" s="1353" customFormat="1" ht="43.2">
      <c r="A242" s="1565">
        <v>235</v>
      </c>
      <c r="B242" s="1566" t="s">
        <v>990</v>
      </c>
      <c r="C242" s="1567" t="s">
        <v>2516</v>
      </c>
      <c r="D242" s="1567" t="s">
        <v>2518</v>
      </c>
      <c r="E242" s="1567" t="s">
        <v>4954</v>
      </c>
      <c r="F242" s="1565" t="s">
        <v>4904</v>
      </c>
      <c r="G242" s="1565">
        <v>87</v>
      </c>
      <c r="H242" s="1567" t="s">
        <v>1861</v>
      </c>
      <c r="I242" s="1565" t="s">
        <v>985</v>
      </c>
      <c r="J242" s="1590">
        <v>49.1</v>
      </c>
      <c r="K242" s="1590">
        <v>51.6</v>
      </c>
      <c r="L242" s="1567" t="s">
        <v>4998</v>
      </c>
      <c r="M242" s="1569">
        <v>44341</v>
      </c>
    </row>
    <row r="243" spans="1:13" s="1353" customFormat="1" ht="43.2">
      <c r="A243" s="1565">
        <v>236</v>
      </c>
      <c r="B243" s="1566" t="s">
        <v>990</v>
      </c>
      <c r="C243" s="1567" t="s">
        <v>2516</v>
      </c>
      <c r="D243" s="1567" t="s">
        <v>2518</v>
      </c>
      <c r="E243" s="1567" t="s">
        <v>4954</v>
      </c>
      <c r="F243" s="1565" t="s">
        <v>4904</v>
      </c>
      <c r="G243" s="1565">
        <v>87</v>
      </c>
      <c r="H243" s="1567" t="s">
        <v>1861</v>
      </c>
      <c r="I243" s="1565" t="s">
        <v>958</v>
      </c>
      <c r="J243" s="1590">
        <v>47.9</v>
      </c>
      <c r="K243" s="1590">
        <v>50.4</v>
      </c>
      <c r="L243" s="1567" t="s">
        <v>4998</v>
      </c>
      <c r="M243" s="1569">
        <v>44341</v>
      </c>
    </row>
    <row r="244" spans="1:13" s="1353" customFormat="1" ht="43.2">
      <c r="A244" s="1565">
        <v>237</v>
      </c>
      <c r="B244" s="1566" t="s">
        <v>990</v>
      </c>
      <c r="C244" s="1567" t="s">
        <v>2516</v>
      </c>
      <c r="D244" s="1567" t="s">
        <v>2518</v>
      </c>
      <c r="E244" s="1567" t="s">
        <v>4954</v>
      </c>
      <c r="F244" s="1565" t="s">
        <v>4904</v>
      </c>
      <c r="G244" s="1565">
        <v>87</v>
      </c>
      <c r="H244" s="1567" t="s">
        <v>1861</v>
      </c>
      <c r="I244" s="1565" t="s">
        <v>970</v>
      </c>
      <c r="J244" s="1590">
        <v>46.6</v>
      </c>
      <c r="K244" s="1590">
        <v>49</v>
      </c>
      <c r="L244" s="1567" t="s">
        <v>4998</v>
      </c>
      <c r="M244" s="1569">
        <v>44341</v>
      </c>
    </row>
    <row r="245" spans="1:13" s="1353" customFormat="1" ht="43.2">
      <c r="A245" s="1565">
        <v>238</v>
      </c>
      <c r="B245" s="1566" t="s">
        <v>990</v>
      </c>
      <c r="C245" s="1567" t="s">
        <v>2527</v>
      </c>
      <c r="D245" s="1567" t="s">
        <v>689</v>
      </c>
      <c r="E245" s="1567" t="s">
        <v>4954</v>
      </c>
      <c r="F245" s="1565" t="s">
        <v>4904</v>
      </c>
      <c r="G245" s="1565">
        <v>100</v>
      </c>
      <c r="H245" s="1565" t="s">
        <v>1910</v>
      </c>
      <c r="I245" s="1565" t="s">
        <v>4999</v>
      </c>
      <c r="J245" s="1568">
        <v>-0.874</v>
      </c>
      <c r="K245" s="1568">
        <v>-0.877</v>
      </c>
      <c r="L245" s="1567" t="s">
        <v>5000</v>
      </c>
      <c r="M245" s="1569">
        <v>44341</v>
      </c>
    </row>
    <row r="246" spans="1:13" s="1353" customFormat="1" ht="43.2">
      <c r="A246" s="1565">
        <v>239</v>
      </c>
      <c r="B246" s="1566" t="s">
        <v>990</v>
      </c>
      <c r="C246" s="1567" t="s">
        <v>2576</v>
      </c>
      <c r="D246" s="1567" t="s">
        <v>2578</v>
      </c>
      <c r="E246" s="1567" t="s">
        <v>4954</v>
      </c>
      <c r="F246" s="1565" t="s">
        <v>4904</v>
      </c>
      <c r="G246" s="1565">
        <v>6</v>
      </c>
      <c r="H246" s="1565" t="s">
        <v>5001</v>
      </c>
      <c r="I246" s="1565" t="s">
        <v>4999</v>
      </c>
      <c r="J246" s="1568" t="s">
        <v>4999</v>
      </c>
      <c r="K246" s="1568" t="s">
        <v>4999</v>
      </c>
      <c r="L246" s="1567" t="s">
        <v>5002</v>
      </c>
      <c r="M246" s="1569">
        <v>44341</v>
      </c>
    </row>
    <row r="247" spans="1:13" s="1353" customFormat="1" ht="43.2">
      <c r="A247" s="1565">
        <v>240</v>
      </c>
      <c r="B247" s="1566" t="s">
        <v>990</v>
      </c>
      <c r="C247" s="1567" t="s">
        <v>1134</v>
      </c>
      <c r="D247" s="1567" t="s">
        <v>1124</v>
      </c>
      <c r="E247" s="1567" t="s">
        <v>4954</v>
      </c>
      <c r="F247" s="1565" t="s">
        <v>4904</v>
      </c>
      <c r="G247" s="1565">
        <v>41</v>
      </c>
      <c r="H247" s="1565" t="s">
        <v>4915</v>
      </c>
      <c r="I247" s="1565" t="s">
        <v>968</v>
      </c>
      <c r="J247" s="1594">
        <v>142.5</v>
      </c>
      <c r="K247" s="1594">
        <v>149.4</v>
      </c>
      <c r="L247" s="1567" t="s">
        <v>5003</v>
      </c>
      <c r="M247" s="1569">
        <v>44341</v>
      </c>
    </row>
    <row r="248" spans="1:13" s="1353" customFormat="1" ht="43.2">
      <c r="A248" s="1565">
        <v>241</v>
      </c>
      <c r="B248" s="1566" t="s">
        <v>990</v>
      </c>
      <c r="C248" s="1567" t="s">
        <v>1134</v>
      </c>
      <c r="D248" s="1567" t="s">
        <v>1124</v>
      </c>
      <c r="E248" s="1567" t="s">
        <v>4954</v>
      </c>
      <c r="F248" s="1565" t="s">
        <v>4904</v>
      </c>
      <c r="G248" s="1565">
        <v>41</v>
      </c>
      <c r="H248" s="1565" t="s">
        <v>4915</v>
      </c>
      <c r="I248" s="1565" t="s">
        <v>980</v>
      </c>
      <c r="J248" s="1594">
        <v>141</v>
      </c>
      <c r="K248" s="1594">
        <v>147.9</v>
      </c>
      <c r="L248" s="1567" t="s">
        <v>5003</v>
      </c>
      <c r="M248" s="1569">
        <v>44341</v>
      </c>
    </row>
    <row r="249" spans="1:13" s="1353" customFormat="1" ht="43.2">
      <c r="A249" s="1565">
        <v>242</v>
      </c>
      <c r="B249" s="1566" t="s">
        <v>990</v>
      </c>
      <c r="C249" s="1567" t="s">
        <v>1134</v>
      </c>
      <c r="D249" s="1567" t="s">
        <v>1124</v>
      </c>
      <c r="E249" s="1567" t="s">
        <v>4954</v>
      </c>
      <c r="F249" s="1565" t="s">
        <v>4904</v>
      </c>
      <c r="G249" s="1565">
        <v>41</v>
      </c>
      <c r="H249" s="1565" t="s">
        <v>4915</v>
      </c>
      <c r="I249" s="1565" t="s">
        <v>985</v>
      </c>
      <c r="J249" s="1594">
        <v>139.4</v>
      </c>
      <c r="K249" s="1594">
        <v>146.19999999999999</v>
      </c>
      <c r="L249" s="1567" t="s">
        <v>5003</v>
      </c>
      <c r="M249" s="1569">
        <v>44341</v>
      </c>
    </row>
    <row r="250" spans="1:13" s="1353" customFormat="1" ht="43.2">
      <c r="A250" s="1565">
        <v>243</v>
      </c>
      <c r="B250" s="1566" t="s">
        <v>990</v>
      </c>
      <c r="C250" s="1567" t="s">
        <v>1134</v>
      </c>
      <c r="D250" s="1567" t="s">
        <v>1124</v>
      </c>
      <c r="E250" s="1567" t="s">
        <v>4954</v>
      </c>
      <c r="F250" s="1565" t="s">
        <v>4904</v>
      </c>
      <c r="G250" s="1565">
        <v>41</v>
      </c>
      <c r="H250" s="1565" t="s">
        <v>4915</v>
      </c>
      <c r="I250" s="1565" t="s">
        <v>958</v>
      </c>
      <c r="J250" s="1594">
        <v>137.69999999999999</v>
      </c>
      <c r="K250" s="1594">
        <v>144.4</v>
      </c>
      <c r="L250" s="1567" t="s">
        <v>5003</v>
      </c>
      <c r="M250" s="1569">
        <v>44341</v>
      </c>
    </row>
    <row r="251" spans="1:13" s="1353" customFormat="1" ht="43.2">
      <c r="A251" s="1565">
        <v>244</v>
      </c>
      <c r="B251" s="1566" t="s">
        <v>990</v>
      </c>
      <c r="C251" s="1567" t="s">
        <v>1134</v>
      </c>
      <c r="D251" s="1567" t="s">
        <v>1124</v>
      </c>
      <c r="E251" s="1567" t="s">
        <v>4954</v>
      </c>
      <c r="F251" s="1565" t="s">
        <v>4904</v>
      </c>
      <c r="G251" s="1565">
        <v>41</v>
      </c>
      <c r="H251" s="1565" t="s">
        <v>4915</v>
      </c>
      <c r="I251" s="1565" t="s">
        <v>970</v>
      </c>
      <c r="J251" s="1594">
        <v>136</v>
      </c>
      <c r="K251" s="1594">
        <v>142.6</v>
      </c>
      <c r="L251" s="1567" t="s">
        <v>5003</v>
      </c>
      <c r="M251" s="1569">
        <v>44341</v>
      </c>
    </row>
    <row r="252" spans="1:13" s="1353" customFormat="1" ht="28.8">
      <c r="A252" s="1550">
        <v>245</v>
      </c>
      <c r="B252" s="1560" t="s">
        <v>990</v>
      </c>
      <c r="C252" s="1561" t="s">
        <v>2702</v>
      </c>
      <c r="D252" s="1561" t="s">
        <v>5004</v>
      </c>
      <c r="E252" s="1561" t="s">
        <v>4903</v>
      </c>
      <c r="F252" s="1550" t="s">
        <v>4904</v>
      </c>
      <c r="G252" s="1550">
        <v>97</v>
      </c>
      <c r="H252" s="1564" t="s">
        <v>1908</v>
      </c>
      <c r="I252" s="1550" t="s">
        <v>4999</v>
      </c>
      <c r="J252" s="1562" t="s">
        <v>4906</v>
      </c>
      <c r="K252" s="1571">
        <v>-4.1700000000000001E-2</v>
      </c>
      <c r="L252" s="1561" t="s">
        <v>5005</v>
      </c>
      <c r="M252" s="1563">
        <v>44341</v>
      </c>
    </row>
    <row r="253" spans="1:13" s="1353" customFormat="1" ht="14.4">
      <c r="A253" s="1565">
        <v>246</v>
      </c>
      <c r="B253" s="1566" t="s">
        <v>972</v>
      </c>
      <c r="C253" s="1567" t="s">
        <v>2075</v>
      </c>
      <c r="D253" s="1567" t="s">
        <v>154</v>
      </c>
      <c r="E253" s="1567" t="s">
        <v>788</v>
      </c>
      <c r="F253" s="1565" t="s">
        <v>4904</v>
      </c>
      <c r="G253" s="1565">
        <v>41</v>
      </c>
      <c r="H253" s="1565" t="s">
        <v>5006</v>
      </c>
      <c r="I253" s="1565" t="s">
        <v>4962</v>
      </c>
      <c r="J253" s="1568" t="s">
        <v>5007</v>
      </c>
      <c r="K253" s="1568" t="s">
        <v>5008</v>
      </c>
      <c r="L253" s="1567" t="s">
        <v>5009</v>
      </c>
      <c r="M253" s="1569">
        <v>44342</v>
      </c>
    </row>
    <row r="254" spans="1:13" s="1353" customFormat="1" ht="14.4">
      <c r="A254" s="1565">
        <v>247</v>
      </c>
      <c r="B254" s="1566" t="s">
        <v>972</v>
      </c>
      <c r="C254" s="1567" t="s">
        <v>2075</v>
      </c>
      <c r="D254" s="1567" t="s">
        <v>154</v>
      </c>
      <c r="E254" s="1567" t="s">
        <v>788</v>
      </c>
      <c r="F254" s="1565" t="s">
        <v>4904</v>
      </c>
      <c r="G254" s="1565">
        <v>77</v>
      </c>
      <c r="H254" s="1565" t="s">
        <v>953</v>
      </c>
      <c r="I254" s="1565" t="s">
        <v>4962</v>
      </c>
      <c r="J254" s="1568" t="s">
        <v>5007</v>
      </c>
      <c r="K254" s="1568" t="s">
        <v>5008</v>
      </c>
      <c r="L254" s="1567" t="s">
        <v>5009</v>
      </c>
      <c r="M254" s="1569">
        <v>44342</v>
      </c>
    </row>
    <row r="255" spans="1:13" s="1353" customFormat="1" ht="14.4">
      <c r="A255" s="1565">
        <v>248</v>
      </c>
      <c r="B255" s="1566" t="s">
        <v>972</v>
      </c>
      <c r="C255" s="1567" t="s">
        <v>2075</v>
      </c>
      <c r="D255" s="1567" t="s">
        <v>154</v>
      </c>
      <c r="E255" s="1567" t="s">
        <v>788</v>
      </c>
      <c r="F255" s="1565" t="s">
        <v>4904</v>
      </c>
      <c r="G255" s="1565">
        <v>87</v>
      </c>
      <c r="H255" s="1565" t="s">
        <v>949</v>
      </c>
      <c r="I255" s="1565" t="s">
        <v>4962</v>
      </c>
      <c r="J255" s="1568" t="s">
        <v>5007</v>
      </c>
      <c r="K255" s="1568" t="s">
        <v>5008</v>
      </c>
      <c r="L255" s="1567" t="s">
        <v>5009</v>
      </c>
      <c r="M255" s="1569">
        <v>44342</v>
      </c>
    </row>
    <row r="256" spans="1:13" s="1353" customFormat="1" ht="14.4">
      <c r="A256" s="1550">
        <v>249</v>
      </c>
      <c r="B256" s="1560" t="s">
        <v>972</v>
      </c>
      <c r="C256" s="1561" t="s">
        <v>2075</v>
      </c>
      <c r="D256" s="1561" t="s">
        <v>154</v>
      </c>
      <c r="E256" s="1561" t="s">
        <v>788</v>
      </c>
      <c r="F256" s="1550" t="s">
        <v>4904</v>
      </c>
      <c r="G256" s="1550">
        <v>67</v>
      </c>
      <c r="H256" s="1550" t="s">
        <v>1857</v>
      </c>
      <c r="I256" s="1550" t="s">
        <v>4962</v>
      </c>
      <c r="J256" s="1573">
        <v>384.6</v>
      </c>
      <c r="K256" s="1573">
        <v>0</v>
      </c>
      <c r="L256" s="1561" t="s">
        <v>5010</v>
      </c>
      <c r="M256" s="1563">
        <v>44342</v>
      </c>
    </row>
    <row r="257" spans="1:13" s="1353" customFormat="1" ht="14.4">
      <c r="A257" s="1550">
        <v>250</v>
      </c>
      <c r="B257" s="1560" t="s">
        <v>972</v>
      </c>
      <c r="C257" s="1561" t="s">
        <v>2075</v>
      </c>
      <c r="D257" s="1561" t="s">
        <v>154</v>
      </c>
      <c r="E257" s="1561" t="s">
        <v>788</v>
      </c>
      <c r="F257" s="1550" t="s">
        <v>4904</v>
      </c>
      <c r="G257" s="1550">
        <v>72</v>
      </c>
      <c r="H257" s="1550" t="s">
        <v>1858</v>
      </c>
      <c r="I257" s="1550" t="s">
        <v>4962</v>
      </c>
      <c r="J257" s="1573">
        <v>332</v>
      </c>
      <c r="K257" s="1573">
        <v>384.6</v>
      </c>
      <c r="L257" s="1561" t="s">
        <v>4997</v>
      </c>
      <c r="M257" s="1563">
        <v>44342</v>
      </c>
    </row>
    <row r="258" spans="1:13" s="1353" customFormat="1" ht="14.4">
      <c r="A258" s="1565">
        <v>251</v>
      </c>
      <c r="B258" s="1566" t="s">
        <v>972</v>
      </c>
      <c r="C258" s="1567" t="s">
        <v>2085</v>
      </c>
      <c r="D258" s="1567" t="s">
        <v>687</v>
      </c>
      <c r="E258" s="1567" t="s">
        <v>788</v>
      </c>
      <c r="F258" s="1565" t="s">
        <v>4904</v>
      </c>
      <c r="G258" s="1565">
        <v>87</v>
      </c>
      <c r="H258" s="1565" t="s">
        <v>1861</v>
      </c>
      <c r="I258" s="1565" t="s">
        <v>968</v>
      </c>
      <c r="J258" s="1565">
        <v>1.62</v>
      </c>
      <c r="K258" s="1565">
        <v>1.35</v>
      </c>
      <c r="L258" s="1567" t="s">
        <v>5011</v>
      </c>
      <c r="M258" s="1569">
        <v>44342</v>
      </c>
    </row>
    <row r="259" spans="1:13" s="1353" customFormat="1" ht="14.4">
      <c r="A259" s="1565">
        <v>252</v>
      </c>
      <c r="B259" s="1566" t="s">
        <v>972</v>
      </c>
      <c r="C259" s="1567" t="s">
        <v>2085</v>
      </c>
      <c r="D259" s="1567" t="s">
        <v>687</v>
      </c>
      <c r="E259" s="1567" t="s">
        <v>788</v>
      </c>
      <c r="F259" s="1565" t="s">
        <v>4904</v>
      </c>
      <c r="G259" s="1565">
        <v>87</v>
      </c>
      <c r="H259" s="1565" t="s">
        <v>1861</v>
      </c>
      <c r="I259" s="1565" t="s">
        <v>980</v>
      </c>
      <c r="J259" s="1565">
        <v>1.52</v>
      </c>
      <c r="K259" s="1565">
        <v>1.3</v>
      </c>
      <c r="L259" s="1567" t="s">
        <v>5011</v>
      </c>
      <c r="M259" s="1569">
        <v>44342</v>
      </c>
    </row>
    <row r="260" spans="1:13" s="1353" customFormat="1" ht="14.4">
      <c r="A260" s="1565">
        <v>253</v>
      </c>
      <c r="B260" s="1566" t="s">
        <v>972</v>
      </c>
      <c r="C260" s="1567" t="s">
        <v>2085</v>
      </c>
      <c r="D260" s="1567" t="s">
        <v>687</v>
      </c>
      <c r="E260" s="1567" t="s">
        <v>788</v>
      </c>
      <c r="F260" s="1565" t="s">
        <v>4904</v>
      </c>
      <c r="G260" s="1565">
        <v>87</v>
      </c>
      <c r="H260" s="1565" t="s">
        <v>1861</v>
      </c>
      <c r="I260" s="1565" t="s">
        <v>985</v>
      </c>
      <c r="J260" s="1565">
        <v>1.43</v>
      </c>
      <c r="K260" s="1565">
        <v>1.25</v>
      </c>
      <c r="L260" s="1567" t="s">
        <v>5011</v>
      </c>
      <c r="M260" s="1569">
        <v>44342</v>
      </c>
    </row>
    <row r="261" spans="1:13" s="1353" customFormat="1" ht="14.4">
      <c r="A261" s="1565">
        <v>254</v>
      </c>
      <c r="B261" s="1566" t="s">
        <v>972</v>
      </c>
      <c r="C261" s="1567" t="s">
        <v>2085</v>
      </c>
      <c r="D261" s="1567" t="s">
        <v>687</v>
      </c>
      <c r="E261" s="1567" t="s">
        <v>788</v>
      </c>
      <c r="F261" s="1565" t="s">
        <v>4904</v>
      </c>
      <c r="G261" s="1565">
        <v>87</v>
      </c>
      <c r="H261" s="1565" t="s">
        <v>1861</v>
      </c>
      <c r="I261" s="1565" t="s">
        <v>958</v>
      </c>
      <c r="J261" s="1565">
        <v>1.23</v>
      </c>
      <c r="K261" s="1565">
        <v>1.1100000000000001</v>
      </c>
      <c r="L261" s="1567" t="s">
        <v>5011</v>
      </c>
      <c r="M261" s="1569">
        <v>44342</v>
      </c>
    </row>
    <row r="262" spans="1:13" s="1353" customFormat="1" ht="14.4">
      <c r="A262" s="1565">
        <v>255</v>
      </c>
      <c r="B262" s="1566" t="s">
        <v>972</v>
      </c>
      <c r="C262" s="1567" t="s">
        <v>2085</v>
      </c>
      <c r="D262" s="1567" t="s">
        <v>687</v>
      </c>
      <c r="E262" s="1567" t="s">
        <v>788</v>
      </c>
      <c r="F262" s="1565" t="s">
        <v>4904</v>
      </c>
      <c r="G262" s="1565">
        <v>87</v>
      </c>
      <c r="H262" s="1565" t="s">
        <v>1861</v>
      </c>
      <c r="I262" s="1565" t="s">
        <v>970</v>
      </c>
      <c r="J262" s="1565">
        <v>1.07</v>
      </c>
      <c r="K262" s="1565">
        <v>1.01</v>
      </c>
      <c r="L262" s="1567" t="s">
        <v>5011</v>
      </c>
      <c r="M262" s="1569">
        <v>44342</v>
      </c>
    </row>
    <row r="263" spans="1:13" s="1353" customFormat="1" ht="14.4">
      <c r="A263" s="1565">
        <v>256</v>
      </c>
      <c r="B263" s="1566" t="s">
        <v>972</v>
      </c>
      <c r="C263" s="1567" t="s">
        <v>2089</v>
      </c>
      <c r="D263" s="1567" t="s">
        <v>689</v>
      </c>
      <c r="E263" s="1567" t="s">
        <v>788</v>
      </c>
      <c r="F263" s="1565" t="s">
        <v>4904</v>
      </c>
      <c r="G263" s="1565">
        <v>87</v>
      </c>
      <c r="H263" s="1565" t="s">
        <v>1861</v>
      </c>
      <c r="I263" s="1565" t="s">
        <v>968</v>
      </c>
      <c r="J263" s="1590">
        <v>17</v>
      </c>
      <c r="K263" s="1590">
        <v>9.51</v>
      </c>
      <c r="L263" s="1567" t="s">
        <v>5011</v>
      </c>
      <c r="M263" s="1569">
        <v>44342</v>
      </c>
    </row>
    <row r="264" spans="1:13" s="1353" customFormat="1" ht="14.4">
      <c r="A264" s="1565">
        <v>257</v>
      </c>
      <c r="B264" s="1566" t="s">
        <v>972</v>
      </c>
      <c r="C264" s="1567" t="s">
        <v>2089</v>
      </c>
      <c r="D264" s="1567" t="s">
        <v>689</v>
      </c>
      <c r="E264" s="1567" t="s">
        <v>788</v>
      </c>
      <c r="F264" s="1565" t="s">
        <v>4904</v>
      </c>
      <c r="G264" s="1565">
        <v>87</v>
      </c>
      <c r="H264" s="1565" t="s">
        <v>1861</v>
      </c>
      <c r="I264" s="1565" t="s">
        <v>980</v>
      </c>
      <c r="J264" s="1590">
        <v>16.5</v>
      </c>
      <c r="K264" s="1590">
        <v>8.74</v>
      </c>
      <c r="L264" s="1567" t="s">
        <v>5011</v>
      </c>
      <c r="M264" s="1569">
        <v>44342</v>
      </c>
    </row>
    <row r="265" spans="1:13" s="1353" customFormat="1" ht="14.4">
      <c r="A265" s="1565">
        <v>258</v>
      </c>
      <c r="B265" s="1566" t="s">
        <v>972</v>
      </c>
      <c r="C265" s="1567" t="s">
        <v>2089</v>
      </c>
      <c r="D265" s="1567" t="s">
        <v>689</v>
      </c>
      <c r="E265" s="1567" t="s">
        <v>788</v>
      </c>
      <c r="F265" s="1565" t="s">
        <v>4904</v>
      </c>
      <c r="G265" s="1565">
        <v>87</v>
      </c>
      <c r="H265" s="1565" t="s">
        <v>1861</v>
      </c>
      <c r="I265" s="1565" t="s">
        <v>985</v>
      </c>
      <c r="J265" s="1590">
        <v>16</v>
      </c>
      <c r="K265" s="1590">
        <v>8</v>
      </c>
      <c r="L265" s="1567" t="s">
        <v>5011</v>
      </c>
      <c r="M265" s="1569">
        <v>44342</v>
      </c>
    </row>
    <row r="266" spans="1:13" s="1353" customFormat="1" ht="14.4">
      <c r="A266" s="1565">
        <v>259</v>
      </c>
      <c r="B266" s="1566" t="s">
        <v>972</v>
      </c>
      <c r="C266" s="1567" t="s">
        <v>2089</v>
      </c>
      <c r="D266" s="1567" t="s">
        <v>689</v>
      </c>
      <c r="E266" s="1567" t="s">
        <v>788</v>
      </c>
      <c r="F266" s="1565" t="s">
        <v>4904</v>
      </c>
      <c r="G266" s="1565">
        <v>87</v>
      </c>
      <c r="H266" s="1565" t="s">
        <v>1861</v>
      </c>
      <c r="I266" s="1565" t="s">
        <v>958</v>
      </c>
      <c r="J266" s="1590">
        <v>15.5</v>
      </c>
      <c r="K266" s="1590">
        <v>7.4</v>
      </c>
      <c r="L266" s="1567" t="s">
        <v>5011</v>
      </c>
      <c r="M266" s="1569">
        <v>44342</v>
      </c>
    </row>
    <row r="267" spans="1:13" s="1353" customFormat="1" ht="14.4">
      <c r="A267" s="1565">
        <v>260</v>
      </c>
      <c r="B267" s="1566" t="s">
        <v>972</v>
      </c>
      <c r="C267" s="1567" t="s">
        <v>2089</v>
      </c>
      <c r="D267" s="1567" t="s">
        <v>689</v>
      </c>
      <c r="E267" s="1567" t="s">
        <v>788</v>
      </c>
      <c r="F267" s="1565" t="s">
        <v>4904</v>
      </c>
      <c r="G267" s="1565">
        <v>87</v>
      </c>
      <c r="H267" s="1565" t="s">
        <v>1861</v>
      </c>
      <c r="I267" s="1565" t="s">
        <v>970</v>
      </c>
      <c r="J267" s="1590">
        <v>15</v>
      </c>
      <c r="K267" s="1590">
        <v>4.5</v>
      </c>
      <c r="L267" s="1567" t="s">
        <v>5011</v>
      </c>
      <c r="M267" s="1569">
        <v>44342</v>
      </c>
    </row>
    <row r="268" spans="1:13" s="1353" customFormat="1" ht="28.8">
      <c r="A268" s="1565">
        <v>261</v>
      </c>
      <c r="B268" s="1566" t="s">
        <v>1026</v>
      </c>
      <c r="C268" s="1852" t="s">
        <v>2800</v>
      </c>
      <c r="D268" s="1567" t="s">
        <v>499</v>
      </c>
      <c r="E268" s="1567" t="s">
        <v>788</v>
      </c>
      <c r="F268" s="1565" t="s">
        <v>4904</v>
      </c>
      <c r="G268" s="1565">
        <v>41</v>
      </c>
      <c r="H268" s="1565" t="s">
        <v>4915</v>
      </c>
      <c r="I268" s="1565" t="s">
        <v>968</v>
      </c>
      <c r="J268" s="1565">
        <v>0.8</v>
      </c>
      <c r="K268" s="1595">
        <v>0.84</v>
      </c>
      <c r="L268" s="1567" t="s">
        <v>5012</v>
      </c>
      <c r="M268" s="1569">
        <v>44342</v>
      </c>
    </row>
    <row r="269" spans="1:13" s="1353" customFormat="1" ht="28.8">
      <c r="A269" s="1565">
        <v>262</v>
      </c>
      <c r="B269" s="1566" t="s">
        <v>1026</v>
      </c>
      <c r="C269" s="1852" t="s">
        <v>2800</v>
      </c>
      <c r="D269" s="1567" t="s">
        <v>499</v>
      </c>
      <c r="E269" s="1567" t="s">
        <v>788</v>
      </c>
      <c r="F269" s="1565" t="s">
        <v>4904</v>
      </c>
      <c r="G269" s="1565">
        <v>41</v>
      </c>
      <c r="H269" s="1565" t="s">
        <v>4915</v>
      </c>
      <c r="I269" s="1565" t="s">
        <v>980</v>
      </c>
      <c r="J269" s="1565">
        <v>0.8</v>
      </c>
      <c r="K269" s="1595">
        <v>0.84</v>
      </c>
      <c r="L269" s="1567" t="s">
        <v>5012</v>
      </c>
      <c r="M269" s="1569">
        <v>44342</v>
      </c>
    </row>
    <row r="270" spans="1:13" s="1353" customFormat="1" ht="28.8">
      <c r="A270" s="1565">
        <v>263</v>
      </c>
      <c r="B270" s="1566" t="s">
        <v>1026</v>
      </c>
      <c r="C270" s="1852" t="s">
        <v>2800</v>
      </c>
      <c r="D270" s="1567" t="s">
        <v>499</v>
      </c>
      <c r="E270" s="1567" t="s">
        <v>788</v>
      </c>
      <c r="F270" s="1565" t="s">
        <v>4904</v>
      </c>
      <c r="G270" s="1565">
        <v>41</v>
      </c>
      <c r="H270" s="1565" t="s">
        <v>4915</v>
      </c>
      <c r="I270" s="1565" t="s">
        <v>985</v>
      </c>
      <c r="J270" s="1565">
        <v>0.8</v>
      </c>
      <c r="K270" s="1595">
        <v>0.76</v>
      </c>
      <c r="L270" s="1567" t="s">
        <v>5012</v>
      </c>
      <c r="M270" s="1569">
        <v>44342</v>
      </c>
    </row>
    <row r="271" spans="1:13" s="1353" customFormat="1" ht="28.8">
      <c r="A271" s="1565">
        <v>264</v>
      </c>
      <c r="B271" s="1566" t="s">
        <v>1026</v>
      </c>
      <c r="C271" s="1852" t="s">
        <v>2800</v>
      </c>
      <c r="D271" s="1567" t="s">
        <v>499</v>
      </c>
      <c r="E271" s="1567" t="s">
        <v>788</v>
      </c>
      <c r="F271" s="1565" t="s">
        <v>4904</v>
      </c>
      <c r="G271" s="1565">
        <v>41</v>
      </c>
      <c r="H271" s="1565" t="s">
        <v>4915</v>
      </c>
      <c r="I271" s="1565" t="s">
        <v>958</v>
      </c>
      <c r="J271" s="1565">
        <v>0.7</v>
      </c>
      <c r="K271" s="1595">
        <v>0.68</v>
      </c>
      <c r="L271" s="1567" t="s">
        <v>5012</v>
      </c>
      <c r="M271" s="1569">
        <v>44342</v>
      </c>
    </row>
    <row r="272" spans="1:13" s="1353" customFormat="1" ht="28.8">
      <c r="A272" s="1565">
        <v>265</v>
      </c>
      <c r="B272" s="1566" t="s">
        <v>1026</v>
      </c>
      <c r="C272" s="1852" t="s">
        <v>2800</v>
      </c>
      <c r="D272" s="1567" t="s">
        <v>499</v>
      </c>
      <c r="E272" s="1567" t="s">
        <v>788</v>
      </c>
      <c r="F272" s="1565" t="s">
        <v>4904</v>
      </c>
      <c r="G272" s="1565">
        <v>41</v>
      </c>
      <c r="H272" s="1565" t="s">
        <v>4915</v>
      </c>
      <c r="I272" s="1565" t="s">
        <v>970</v>
      </c>
      <c r="J272" s="1565">
        <v>0.3</v>
      </c>
      <c r="K272" s="1595">
        <v>0.32</v>
      </c>
      <c r="L272" s="1567" t="s">
        <v>5012</v>
      </c>
      <c r="M272" s="1569">
        <v>44342</v>
      </c>
    </row>
    <row r="273" spans="1:13" s="1353" customFormat="1" ht="14.4">
      <c r="A273" s="1550">
        <v>266</v>
      </c>
      <c r="B273" s="1560" t="s">
        <v>972</v>
      </c>
      <c r="C273" s="1576" t="s">
        <v>1127</v>
      </c>
      <c r="D273" s="1561" t="s">
        <v>1126</v>
      </c>
      <c r="E273" s="1561" t="s">
        <v>788</v>
      </c>
      <c r="F273" s="1550" t="s">
        <v>4904</v>
      </c>
      <c r="G273" s="1550">
        <v>41</v>
      </c>
      <c r="H273" s="1550" t="s">
        <v>4915</v>
      </c>
      <c r="I273" s="1550" t="s">
        <v>980</v>
      </c>
      <c r="J273" s="1550">
        <v>3.3</v>
      </c>
      <c r="K273" s="1550">
        <v>0</v>
      </c>
      <c r="L273" s="1561" t="s">
        <v>5013</v>
      </c>
      <c r="M273" s="1563">
        <v>44343</v>
      </c>
    </row>
    <row r="274" spans="1:13" s="1353" customFormat="1" ht="14.4">
      <c r="A274" s="1550">
        <v>267</v>
      </c>
      <c r="B274" s="1560" t="s">
        <v>972</v>
      </c>
      <c r="C274" s="1576" t="s">
        <v>1127</v>
      </c>
      <c r="D274" s="1561" t="s">
        <v>1126</v>
      </c>
      <c r="E274" s="1561" t="s">
        <v>788</v>
      </c>
      <c r="F274" s="1550" t="s">
        <v>4904</v>
      </c>
      <c r="G274" s="1550">
        <v>41</v>
      </c>
      <c r="H274" s="1550" t="s">
        <v>4915</v>
      </c>
      <c r="I274" s="1550" t="s">
        <v>985</v>
      </c>
      <c r="J274" s="1550">
        <v>45.8</v>
      </c>
      <c r="K274" s="1550">
        <v>0</v>
      </c>
      <c r="L274" s="1561" t="s">
        <v>5013</v>
      </c>
      <c r="M274" s="1563">
        <v>44343</v>
      </c>
    </row>
    <row r="275" spans="1:13" s="1353" customFormat="1" ht="14.4">
      <c r="A275" s="1550">
        <v>268</v>
      </c>
      <c r="B275" s="1560" t="s">
        <v>972</v>
      </c>
      <c r="C275" s="1576" t="s">
        <v>1127</v>
      </c>
      <c r="D275" s="1561" t="s">
        <v>1126</v>
      </c>
      <c r="E275" s="1561" t="s">
        <v>788</v>
      </c>
      <c r="F275" s="1550" t="s">
        <v>4904</v>
      </c>
      <c r="G275" s="1550">
        <v>41</v>
      </c>
      <c r="H275" s="1550" t="s">
        <v>4915</v>
      </c>
      <c r="I275" s="1550" t="s">
        <v>958</v>
      </c>
      <c r="J275" s="1550">
        <v>45.8</v>
      </c>
      <c r="K275" s="1550">
        <v>0</v>
      </c>
      <c r="L275" s="1561" t="s">
        <v>5013</v>
      </c>
      <c r="M275" s="1563">
        <v>44343</v>
      </c>
    </row>
    <row r="276" spans="1:13" s="1353" customFormat="1" ht="43.2">
      <c r="A276" s="1565">
        <v>269</v>
      </c>
      <c r="B276" s="1566" t="s">
        <v>1008</v>
      </c>
      <c r="C276" s="1853" t="s">
        <v>4057</v>
      </c>
      <c r="D276" s="1567" t="s">
        <v>1880</v>
      </c>
      <c r="E276" s="1567" t="s">
        <v>4954</v>
      </c>
      <c r="F276" s="1565" t="s">
        <v>4904</v>
      </c>
      <c r="G276" s="1565">
        <v>20</v>
      </c>
      <c r="H276" s="1565" t="s">
        <v>1873</v>
      </c>
      <c r="I276" s="1565" t="s">
        <v>4986</v>
      </c>
      <c r="J276" s="1565" t="s">
        <v>991</v>
      </c>
      <c r="K276" s="1565" t="s">
        <v>2009</v>
      </c>
      <c r="L276" s="1567" t="s">
        <v>5014</v>
      </c>
      <c r="M276" s="1569">
        <v>44344</v>
      </c>
    </row>
    <row r="277" spans="1:13" s="1353" customFormat="1" ht="43.2">
      <c r="A277" s="1565">
        <v>270</v>
      </c>
      <c r="B277" s="1566" t="s">
        <v>1008</v>
      </c>
      <c r="C277" s="1853" t="s">
        <v>4029</v>
      </c>
      <c r="D277" s="1494" t="s">
        <v>4031</v>
      </c>
      <c r="E277" s="1567" t="s">
        <v>4954</v>
      </c>
      <c r="F277" s="1565" t="s">
        <v>4904</v>
      </c>
      <c r="G277" s="1565">
        <v>72</v>
      </c>
      <c r="H277" s="1565" t="s">
        <v>1858</v>
      </c>
      <c r="I277" s="1565" t="s">
        <v>968</v>
      </c>
      <c r="J277" s="1565"/>
      <c r="K277" s="1565">
        <v>0</v>
      </c>
      <c r="L277" s="1567" t="s">
        <v>5014</v>
      </c>
      <c r="M277" s="1569">
        <v>44344</v>
      </c>
    </row>
    <row r="278" spans="1:13" s="1353" customFormat="1" ht="43.2">
      <c r="A278" s="1565">
        <v>271</v>
      </c>
      <c r="B278" s="1566" t="s">
        <v>1008</v>
      </c>
      <c r="C278" s="1853" t="s">
        <v>4029</v>
      </c>
      <c r="D278" s="1494" t="s">
        <v>4031</v>
      </c>
      <c r="E278" s="1567" t="s">
        <v>4954</v>
      </c>
      <c r="F278" s="1565" t="s">
        <v>4904</v>
      </c>
      <c r="G278" s="1565">
        <v>72</v>
      </c>
      <c r="H278" s="1565" t="s">
        <v>1858</v>
      </c>
      <c r="I278" s="1565" t="s">
        <v>980</v>
      </c>
      <c r="J278" s="1565"/>
      <c r="K278" s="1565">
        <v>0</v>
      </c>
      <c r="L278" s="1567" t="s">
        <v>5014</v>
      </c>
      <c r="M278" s="1569">
        <v>44344</v>
      </c>
    </row>
    <row r="279" spans="1:13" s="1353" customFormat="1" ht="43.2">
      <c r="A279" s="1565">
        <v>272</v>
      </c>
      <c r="B279" s="1566" t="s">
        <v>1008</v>
      </c>
      <c r="C279" s="1853" t="s">
        <v>4029</v>
      </c>
      <c r="D279" s="1494" t="s">
        <v>4031</v>
      </c>
      <c r="E279" s="1567" t="s">
        <v>4954</v>
      </c>
      <c r="F279" s="1565" t="s">
        <v>4904</v>
      </c>
      <c r="G279" s="1565">
        <v>72</v>
      </c>
      <c r="H279" s="1565" t="s">
        <v>1858</v>
      </c>
      <c r="I279" s="1565" t="s">
        <v>985</v>
      </c>
      <c r="J279" s="1565"/>
      <c r="K279" s="1565">
        <v>0</v>
      </c>
      <c r="L279" s="1567" t="s">
        <v>5014</v>
      </c>
      <c r="M279" s="1569">
        <v>44344</v>
      </c>
    </row>
    <row r="280" spans="1:13" s="1353" customFormat="1" ht="43.2">
      <c r="A280" s="1565">
        <v>273</v>
      </c>
      <c r="B280" s="1566" t="s">
        <v>1008</v>
      </c>
      <c r="C280" s="1853" t="s">
        <v>4029</v>
      </c>
      <c r="D280" s="1494" t="s">
        <v>4031</v>
      </c>
      <c r="E280" s="1567" t="s">
        <v>4954</v>
      </c>
      <c r="F280" s="1565" t="s">
        <v>4904</v>
      </c>
      <c r="G280" s="1565">
        <v>72</v>
      </c>
      <c r="H280" s="1565" t="s">
        <v>1858</v>
      </c>
      <c r="I280" s="1565" t="s">
        <v>958</v>
      </c>
      <c r="J280" s="1565"/>
      <c r="K280" s="1565">
        <v>0</v>
      </c>
      <c r="L280" s="1567" t="s">
        <v>5014</v>
      </c>
      <c r="M280" s="1569">
        <v>44344</v>
      </c>
    </row>
    <row r="281" spans="1:13" s="1353" customFormat="1" ht="43.2">
      <c r="A281" s="1565">
        <v>274</v>
      </c>
      <c r="B281" s="1566" t="s">
        <v>1008</v>
      </c>
      <c r="C281" s="1853" t="s">
        <v>4029</v>
      </c>
      <c r="D281" s="1494" t="s">
        <v>4031</v>
      </c>
      <c r="E281" s="1567" t="s">
        <v>4954</v>
      </c>
      <c r="F281" s="1565" t="s">
        <v>4904</v>
      </c>
      <c r="G281" s="1565">
        <v>72</v>
      </c>
      <c r="H281" s="1565" t="s">
        <v>1858</v>
      </c>
      <c r="I281" s="1565" t="s">
        <v>970</v>
      </c>
      <c r="J281" s="1565"/>
      <c r="K281" s="1565">
        <v>0</v>
      </c>
      <c r="L281" s="1567" t="s">
        <v>5014</v>
      </c>
      <c r="M281" s="1569">
        <v>44344</v>
      </c>
    </row>
    <row r="282" spans="1:13" s="1353" customFormat="1" ht="43.2">
      <c r="A282" s="1565">
        <v>275</v>
      </c>
      <c r="B282" s="1566" t="s">
        <v>1008</v>
      </c>
      <c r="C282" s="1853" t="s">
        <v>4029</v>
      </c>
      <c r="D282" s="1494" t="s">
        <v>4031</v>
      </c>
      <c r="E282" s="1567" t="s">
        <v>4954</v>
      </c>
      <c r="F282" s="1565" t="s">
        <v>4904</v>
      </c>
      <c r="G282" s="1565">
        <v>87</v>
      </c>
      <c r="H282" s="1565" t="s">
        <v>5015</v>
      </c>
      <c r="I282" s="1565" t="s">
        <v>968</v>
      </c>
      <c r="J282" s="1565"/>
      <c r="K282" s="1565">
        <v>0</v>
      </c>
      <c r="L282" s="1567" t="s">
        <v>5014</v>
      </c>
      <c r="M282" s="1569">
        <v>44344</v>
      </c>
    </row>
    <row r="283" spans="1:13" s="1353" customFormat="1" ht="43.2">
      <c r="A283" s="1565">
        <v>276</v>
      </c>
      <c r="B283" s="1566" t="s">
        <v>1008</v>
      </c>
      <c r="C283" s="1853" t="s">
        <v>4029</v>
      </c>
      <c r="D283" s="1494" t="s">
        <v>4031</v>
      </c>
      <c r="E283" s="1567" t="s">
        <v>4954</v>
      </c>
      <c r="F283" s="1565" t="s">
        <v>4904</v>
      </c>
      <c r="G283" s="1565">
        <v>87</v>
      </c>
      <c r="H283" s="1565" t="s">
        <v>5015</v>
      </c>
      <c r="I283" s="1565" t="s">
        <v>980</v>
      </c>
      <c r="J283" s="1565"/>
      <c r="K283" s="1565">
        <v>1023</v>
      </c>
      <c r="L283" s="1567" t="s">
        <v>5014</v>
      </c>
      <c r="M283" s="1569">
        <v>44344</v>
      </c>
    </row>
    <row r="284" spans="1:13" s="1353" customFormat="1" ht="43.2">
      <c r="A284" s="1565">
        <v>277</v>
      </c>
      <c r="B284" s="1566" t="s">
        <v>1008</v>
      </c>
      <c r="C284" s="1853" t="s">
        <v>4029</v>
      </c>
      <c r="D284" s="1494" t="s">
        <v>4031</v>
      </c>
      <c r="E284" s="1567" t="s">
        <v>4954</v>
      </c>
      <c r="F284" s="1565" t="s">
        <v>4904</v>
      </c>
      <c r="G284" s="1565">
        <v>87</v>
      </c>
      <c r="H284" s="1565" t="s">
        <v>5015</v>
      </c>
      <c r="I284" s="1565" t="s">
        <v>985</v>
      </c>
      <c r="J284" s="1565"/>
      <c r="K284" s="1565">
        <v>2046</v>
      </c>
      <c r="L284" s="1567" t="s">
        <v>5014</v>
      </c>
      <c r="M284" s="1569">
        <v>44344</v>
      </c>
    </row>
    <row r="285" spans="1:13" s="1353" customFormat="1" ht="43.2">
      <c r="A285" s="1565">
        <v>278</v>
      </c>
      <c r="B285" s="1566" t="s">
        <v>1008</v>
      </c>
      <c r="C285" s="1853" t="s">
        <v>4029</v>
      </c>
      <c r="D285" s="1494" t="s">
        <v>4031</v>
      </c>
      <c r="E285" s="1567" t="s">
        <v>4954</v>
      </c>
      <c r="F285" s="1565" t="s">
        <v>4904</v>
      </c>
      <c r="G285" s="1565">
        <v>87</v>
      </c>
      <c r="H285" s="1565" t="s">
        <v>5015</v>
      </c>
      <c r="I285" s="1565" t="s">
        <v>958</v>
      </c>
      <c r="J285" s="1565"/>
      <c r="K285" s="1565">
        <v>3068</v>
      </c>
      <c r="L285" s="1567" t="s">
        <v>5014</v>
      </c>
      <c r="M285" s="1569">
        <v>44344</v>
      </c>
    </row>
    <row r="286" spans="1:13" s="1353" customFormat="1" ht="43.2">
      <c r="A286" s="1565">
        <v>279</v>
      </c>
      <c r="B286" s="1566" t="s">
        <v>1008</v>
      </c>
      <c r="C286" s="1853" t="s">
        <v>4029</v>
      </c>
      <c r="D286" s="1494" t="s">
        <v>4031</v>
      </c>
      <c r="E286" s="1567" t="s">
        <v>4954</v>
      </c>
      <c r="F286" s="1565" t="s">
        <v>4904</v>
      </c>
      <c r="G286" s="1565">
        <v>87</v>
      </c>
      <c r="H286" s="1565" t="s">
        <v>5015</v>
      </c>
      <c r="I286" s="1565" t="s">
        <v>970</v>
      </c>
      <c r="J286" s="1565"/>
      <c r="K286" s="1565">
        <v>4089</v>
      </c>
      <c r="L286" s="1567" t="s">
        <v>5014</v>
      </c>
      <c r="M286" s="1569">
        <v>44344</v>
      </c>
    </row>
    <row r="287" spans="1:13" s="1353" customFormat="1" ht="43.2">
      <c r="A287" s="1565">
        <v>280</v>
      </c>
      <c r="B287" s="1566" t="s">
        <v>982</v>
      </c>
      <c r="C287" s="1853" t="s">
        <v>4365</v>
      </c>
      <c r="D287" s="1494" t="s">
        <v>4367</v>
      </c>
      <c r="E287" s="1567" t="s">
        <v>4954</v>
      </c>
      <c r="F287" s="1565" t="s">
        <v>4904</v>
      </c>
      <c r="G287" s="1565">
        <v>20</v>
      </c>
      <c r="H287" s="1565" t="s">
        <v>1873</v>
      </c>
      <c r="I287" s="1565" t="s">
        <v>4986</v>
      </c>
      <c r="J287" s="1565" t="s">
        <v>141</v>
      </c>
      <c r="K287" s="1565" t="s">
        <v>991</v>
      </c>
      <c r="L287" s="1567" t="s">
        <v>5014</v>
      </c>
      <c r="M287" s="1569">
        <v>44344</v>
      </c>
    </row>
    <row r="288" spans="1:13" s="1353" customFormat="1" ht="43.2">
      <c r="A288" s="1565">
        <v>281</v>
      </c>
      <c r="B288" s="1566" t="s">
        <v>982</v>
      </c>
      <c r="C288" s="1853" t="s">
        <v>4369</v>
      </c>
      <c r="D288" s="1495" t="s">
        <v>5016</v>
      </c>
      <c r="E288" s="1567" t="s">
        <v>4954</v>
      </c>
      <c r="F288" s="1565" t="s">
        <v>4904</v>
      </c>
      <c r="G288" s="1565">
        <v>20</v>
      </c>
      <c r="H288" s="1565" t="s">
        <v>1873</v>
      </c>
      <c r="I288" s="1565" t="s">
        <v>4986</v>
      </c>
      <c r="J288" s="1565" t="s">
        <v>141</v>
      </c>
      <c r="K288" s="1565" t="s">
        <v>991</v>
      </c>
      <c r="L288" s="1567" t="s">
        <v>5014</v>
      </c>
      <c r="M288" s="1569">
        <v>44344</v>
      </c>
    </row>
    <row r="289" spans="1:13" s="1353" customFormat="1" ht="43.2">
      <c r="A289" s="1565">
        <v>282</v>
      </c>
      <c r="B289" s="1566" t="s">
        <v>1012</v>
      </c>
      <c r="C289" s="1853" t="s">
        <v>4524</v>
      </c>
      <c r="D289" s="1494" t="s">
        <v>4525</v>
      </c>
      <c r="E289" s="1567" t="s">
        <v>4954</v>
      </c>
      <c r="F289" s="1565" t="s">
        <v>4904</v>
      </c>
      <c r="G289" s="1565">
        <v>20</v>
      </c>
      <c r="H289" s="1565" t="s">
        <v>1873</v>
      </c>
      <c r="I289" s="1565" t="s">
        <v>4986</v>
      </c>
      <c r="J289" s="1565" t="s">
        <v>991</v>
      </c>
      <c r="K289" s="1565" t="s">
        <v>4566</v>
      </c>
      <c r="L289" s="1567" t="s">
        <v>5014</v>
      </c>
      <c r="M289" s="1569">
        <v>44344</v>
      </c>
    </row>
    <row r="290" spans="1:13" s="1353" customFormat="1" ht="43.2">
      <c r="A290" s="1565">
        <v>283</v>
      </c>
      <c r="B290" s="1566" t="s">
        <v>1012</v>
      </c>
      <c r="C290" s="1853" t="s">
        <v>4562</v>
      </c>
      <c r="D290" s="1494" t="s">
        <v>4564</v>
      </c>
      <c r="E290" s="1567" t="s">
        <v>4954</v>
      </c>
      <c r="F290" s="1565" t="s">
        <v>4904</v>
      </c>
      <c r="G290" s="1565">
        <v>20</v>
      </c>
      <c r="H290" s="1565" t="s">
        <v>1873</v>
      </c>
      <c r="I290" s="1565" t="s">
        <v>4986</v>
      </c>
      <c r="J290" s="1565" t="s">
        <v>991</v>
      </c>
      <c r="K290" s="1565" t="s">
        <v>4566</v>
      </c>
      <c r="L290" s="1567" t="s">
        <v>5014</v>
      </c>
      <c r="M290" s="1569">
        <v>44344</v>
      </c>
    </row>
    <row r="291" spans="1:13" s="1353" customFormat="1" ht="43.2">
      <c r="A291" s="1565">
        <v>284</v>
      </c>
      <c r="B291" s="1566" t="s">
        <v>1012</v>
      </c>
      <c r="C291" s="1853" t="s">
        <v>4568</v>
      </c>
      <c r="D291" s="1494" t="s">
        <v>4570</v>
      </c>
      <c r="E291" s="1567" t="s">
        <v>4954</v>
      </c>
      <c r="F291" s="1565" t="s">
        <v>4904</v>
      </c>
      <c r="G291" s="1565">
        <v>23</v>
      </c>
      <c r="H291" s="1565" t="s">
        <v>1090</v>
      </c>
      <c r="I291" s="1565" t="s">
        <v>4986</v>
      </c>
      <c r="J291" s="1565" t="s">
        <v>966</v>
      </c>
      <c r="K291" s="1565" t="s">
        <v>978</v>
      </c>
      <c r="L291" s="1567" t="s">
        <v>5014</v>
      </c>
      <c r="M291" s="1569">
        <v>44344</v>
      </c>
    </row>
    <row r="292" spans="1:13" s="1353" customFormat="1" ht="43.2">
      <c r="A292" s="1565">
        <v>285</v>
      </c>
      <c r="B292" s="1566" t="s">
        <v>1012</v>
      </c>
      <c r="C292" s="1853" t="s">
        <v>4553</v>
      </c>
      <c r="D292" s="1494" t="s">
        <v>4555</v>
      </c>
      <c r="E292" s="1567" t="s">
        <v>4954</v>
      </c>
      <c r="F292" s="1565" t="s">
        <v>4904</v>
      </c>
      <c r="G292" s="1565">
        <v>20</v>
      </c>
      <c r="H292" s="1565" t="s">
        <v>1873</v>
      </c>
      <c r="I292" s="1565" t="s">
        <v>4986</v>
      </c>
      <c r="J292" s="1565" t="s">
        <v>991</v>
      </c>
      <c r="K292" s="1565" t="s">
        <v>994</v>
      </c>
      <c r="L292" s="1567" t="s">
        <v>5014</v>
      </c>
      <c r="M292" s="1569">
        <v>44344</v>
      </c>
    </row>
    <row r="293" spans="1:13" s="1353" customFormat="1" ht="43.2">
      <c r="A293" s="1565">
        <v>286</v>
      </c>
      <c r="B293" s="1566" t="s">
        <v>1012</v>
      </c>
      <c r="C293" s="1853" t="s">
        <v>4557</v>
      </c>
      <c r="D293" s="1494" t="s">
        <v>4559</v>
      </c>
      <c r="E293" s="1567" t="s">
        <v>4954</v>
      </c>
      <c r="F293" s="1565" t="s">
        <v>4904</v>
      </c>
      <c r="G293" s="1565">
        <v>20</v>
      </c>
      <c r="H293" s="1565" t="s">
        <v>1873</v>
      </c>
      <c r="I293" s="1565" t="s">
        <v>4986</v>
      </c>
      <c r="J293" s="1565" t="s">
        <v>991</v>
      </c>
      <c r="K293" s="1565" t="s">
        <v>994</v>
      </c>
      <c r="L293" s="1567" t="s">
        <v>5014</v>
      </c>
      <c r="M293" s="1569">
        <v>44344</v>
      </c>
    </row>
    <row r="294" spans="1:13" s="1353" customFormat="1" ht="14.4">
      <c r="A294" s="1596">
        <v>287</v>
      </c>
      <c r="B294" s="1597" t="s">
        <v>1008</v>
      </c>
      <c r="C294" s="1854" t="s">
        <v>5017</v>
      </c>
      <c r="D294" s="1598" t="s">
        <v>5018</v>
      </c>
      <c r="E294" s="1598" t="s">
        <v>788</v>
      </c>
      <c r="F294" s="1596" t="s">
        <v>4904</v>
      </c>
      <c r="G294" s="1596">
        <v>41</v>
      </c>
      <c r="H294" s="1596" t="s">
        <v>5019</v>
      </c>
      <c r="I294" s="1596" t="s">
        <v>968</v>
      </c>
      <c r="J294" s="1596">
        <v>0.76400000000000001</v>
      </c>
      <c r="K294" s="1596">
        <v>0.76</v>
      </c>
      <c r="L294" s="1598" t="s">
        <v>5020</v>
      </c>
      <c r="M294" s="1599">
        <v>44356</v>
      </c>
    </row>
    <row r="295" spans="1:13" s="1353" customFormat="1" ht="14.4">
      <c r="A295" s="1596">
        <v>288</v>
      </c>
      <c r="B295" s="1597" t="s">
        <v>1008</v>
      </c>
      <c r="C295" s="1854" t="s">
        <v>5017</v>
      </c>
      <c r="D295" s="1598" t="s">
        <v>5018</v>
      </c>
      <c r="E295" s="1598" t="s">
        <v>788</v>
      </c>
      <c r="F295" s="1596" t="s">
        <v>4904</v>
      </c>
      <c r="G295" s="1596">
        <v>41</v>
      </c>
      <c r="H295" s="1596" t="s">
        <v>5019</v>
      </c>
      <c r="I295" s="1596" t="s">
        <v>980</v>
      </c>
      <c r="J295" s="1596">
        <v>0.71699999999999997</v>
      </c>
      <c r="K295" s="1596">
        <v>0.72</v>
      </c>
      <c r="L295" s="1598" t="s">
        <v>5020</v>
      </c>
      <c r="M295" s="1599">
        <v>44356</v>
      </c>
    </row>
    <row r="296" spans="1:13" s="1353" customFormat="1" ht="14.4">
      <c r="A296" s="1596">
        <v>289</v>
      </c>
      <c r="B296" s="1597" t="s">
        <v>1008</v>
      </c>
      <c r="C296" s="1854" t="s">
        <v>5017</v>
      </c>
      <c r="D296" s="1598" t="s">
        <v>5018</v>
      </c>
      <c r="E296" s="1598" t="s">
        <v>788</v>
      </c>
      <c r="F296" s="1596" t="s">
        <v>4904</v>
      </c>
      <c r="G296" s="1596">
        <v>41</v>
      </c>
      <c r="H296" s="1596" t="s">
        <v>5019</v>
      </c>
      <c r="I296" s="1596" t="s">
        <v>985</v>
      </c>
      <c r="J296" s="1596">
        <v>0.67</v>
      </c>
      <c r="K296" s="1596">
        <v>0.67</v>
      </c>
      <c r="L296" s="1598" t="s">
        <v>5020</v>
      </c>
      <c r="M296" s="1599">
        <v>44356</v>
      </c>
    </row>
    <row r="297" spans="1:13" s="1353" customFormat="1" ht="14.4">
      <c r="A297" s="1596">
        <v>290</v>
      </c>
      <c r="B297" s="1597" t="s">
        <v>1008</v>
      </c>
      <c r="C297" s="1854" t="s">
        <v>5017</v>
      </c>
      <c r="D297" s="1598" t="s">
        <v>5018</v>
      </c>
      <c r="E297" s="1598" t="s">
        <v>788</v>
      </c>
      <c r="F297" s="1596" t="s">
        <v>4904</v>
      </c>
      <c r="G297" s="1596">
        <v>41</v>
      </c>
      <c r="H297" s="1596" t="s">
        <v>5019</v>
      </c>
      <c r="I297" s="1596" t="s">
        <v>958</v>
      </c>
      <c r="J297" s="1596">
        <v>0.623</v>
      </c>
      <c r="K297" s="1596">
        <v>0.62</v>
      </c>
      <c r="L297" s="1598" t="s">
        <v>5020</v>
      </c>
      <c r="M297" s="1599">
        <v>44356</v>
      </c>
    </row>
    <row r="298" spans="1:13" s="1353" customFormat="1" ht="14.4">
      <c r="A298" s="1596">
        <v>291</v>
      </c>
      <c r="B298" s="1597" t="s">
        <v>1008</v>
      </c>
      <c r="C298" s="1854" t="s">
        <v>5017</v>
      </c>
      <c r="D298" s="1598" t="s">
        <v>5018</v>
      </c>
      <c r="E298" s="1598" t="s">
        <v>788</v>
      </c>
      <c r="F298" s="1596" t="s">
        <v>4904</v>
      </c>
      <c r="G298" s="1596">
        <v>41</v>
      </c>
      <c r="H298" s="1596" t="s">
        <v>5019</v>
      </c>
      <c r="I298" s="1596" t="s">
        <v>970</v>
      </c>
      <c r="J298" s="1596">
        <v>0.57599999999999996</v>
      </c>
      <c r="K298" s="1596">
        <v>0.57999999999999996</v>
      </c>
      <c r="L298" s="1598" t="s">
        <v>5020</v>
      </c>
      <c r="M298" s="1599">
        <v>44356</v>
      </c>
    </row>
    <row r="299" spans="1:13" s="1353" customFormat="1" ht="14.4">
      <c r="A299" s="1596">
        <v>292</v>
      </c>
      <c r="B299" s="1597" t="s">
        <v>1008</v>
      </c>
      <c r="C299" s="1854" t="s">
        <v>4011</v>
      </c>
      <c r="D299" s="1598" t="s">
        <v>178</v>
      </c>
      <c r="E299" s="1598" t="s">
        <v>788</v>
      </c>
      <c r="F299" s="1596" t="s">
        <v>4904</v>
      </c>
      <c r="G299" s="1596">
        <v>87</v>
      </c>
      <c r="H299" s="1596" t="s">
        <v>1861</v>
      </c>
      <c r="I299" s="1596" t="s">
        <v>980</v>
      </c>
      <c r="J299" s="1596">
        <v>88.2</v>
      </c>
      <c r="K299" s="1596">
        <v>88.3</v>
      </c>
      <c r="L299" s="1598" t="s">
        <v>5020</v>
      </c>
      <c r="M299" s="1599">
        <v>44356</v>
      </c>
    </row>
    <row r="300" spans="1:13" s="1353" customFormat="1" ht="14.4">
      <c r="A300" s="1596">
        <v>293</v>
      </c>
      <c r="B300" s="1597" t="s">
        <v>1008</v>
      </c>
      <c r="C300" s="1854" t="s">
        <v>5021</v>
      </c>
      <c r="D300" s="1598" t="s">
        <v>5022</v>
      </c>
      <c r="E300" s="1598" t="s">
        <v>788</v>
      </c>
      <c r="F300" s="1596" t="s">
        <v>4904</v>
      </c>
      <c r="G300" s="1596">
        <v>97</v>
      </c>
      <c r="H300" s="1596" t="s">
        <v>1907</v>
      </c>
      <c r="I300" s="1596"/>
      <c r="J300" s="1596">
        <v>-0.05</v>
      </c>
      <c r="K300" s="1596">
        <v>-2.34</v>
      </c>
      <c r="L300" s="1598" t="s">
        <v>5020</v>
      </c>
      <c r="M300" s="1599">
        <v>44356</v>
      </c>
    </row>
    <row r="301" spans="1:13" s="1353" customFormat="1" ht="14.4">
      <c r="A301" s="1596">
        <v>294</v>
      </c>
      <c r="B301" s="1597" t="s">
        <v>1008</v>
      </c>
      <c r="C301" s="1854" t="s">
        <v>5021</v>
      </c>
      <c r="D301" s="1600" t="s">
        <v>5023</v>
      </c>
      <c r="E301" s="1598" t="s">
        <v>788</v>
      </c>
      <c r="F301" s="1596" t="s">
        <v>4904</v>
      </c>
      <c r="G301" s="1596">
        <v>101</v>
      </c>
      <c r="H301" s="1596" t="s">
        <v>1911</v>
      </c>
      <c r="I301" s="1596"/>
      <c r="J301" s="1596">
        <v>0.05</v>
      </c>
      <c r="K301" s="1596">
        <v>1.17</v>
      </c>
      <c r="L301" s="1598" t="s">
        <v>5020</v>
      </c>
      <c r="M301" s="1599">
        <v>44356</v>
      </c>
    </row>
    <row r="302" spans="1:13" s="1353" customFormat="1" ht="14.4">
      <c r="A302" s="1601">
        <v>295</v>
      </c>
      <c r="B302" s="1602" t="s">
        <v>972</v>
      </c>
      <c r="C302" s="1670" t="s">
        <v>2078</v>
      </c>
      <c r="D302" s="1603" t="s">
        <v>629</v>
      </c>
      <c r="E302" s="1603" t="s">
        <v>788</v>
      </c>
      <c r="F302" s="1601" t="s">
        <v>4904</v>
      </c>
      <c r="G302" s="1601">
        <v>87</v>
      </c>
      <c r="H302" s="1601" t="s">
        <v>1861</v>
      </c>
      <c r="I302" s="1601" t="s">
        <v>968</v>
      </c>
      <c r="J302" s="1601">
        <v>171.4</v>
      </c>
      <c r="K302" s="1601" t="s">
        <v>4797</v>
      </c>
      <c r="L302" s="1603" t="s">
        <v>5024</v>
      </c>
      <c r="M302" s="1604">
        <v>44356</v>
      </c>
    </row>
    <row r="303" spans="1:13" s="1353" customFormat="1" ht="14.4">
      <c r="A303" s="1601">
        <v>296</v>
      </c>
      <c r="B303" s="1602" t="s">
        <v>972</v>
      </c>
      <c r="C303" s="1670" t="s">
        <v>2078</v>
      </c>
      <c r="D303" s="1603" t="s">
        <v>629</v>
      </c>
      <c r="E303" s="1603" t="s">
        <v>788</v>
      </c>
      <c r="F303" s="1601" t="s">
        <v>4904</v>
      </c>
      <c r="G303" s="1601">
        <v>87</v>
      </c>
      <c r="H303" s="1601" t="s">
        <v>1861</v>
      </c>
      <c r="I303" s="1601" t="s">
        <v>980</v>
      </c>
      <c r="J303" s="1601">
        <v>168.5</v>
      </c>
      <c r="K303" s="1601" t="s">
        <v>4797</v>
      </c>
      <c r="L303" s="1603" t="s">
        <v>5024</v>
      </c>
      <c r="M303" s="1604">
        <v>44356</v>
      </c>
    </row>
    <row r="304" spans="1:13" s="1353" customFormat="1" ht="14.4">
      <c r="A304" s="1601">
        <v>297</v>
      </c>
      <c r="B304" s="1602" t="s">
        <v>972</v>
      </c>
      <c r="C304" s="1670" t="s">
        <v>2078</v>
      </c>
      <c r="D304" s="1603" t="s">
        <v>629</v>
      </c>
      <c r="E304" s="1603" t="s">
        <v>788</v>
      </c>
      <c r="F304" s="1601" t="s">
        <v>4904</v>
      </c>
      <c r="G304" s="1601">
        <v>87</v>
      </c>
      <c r="H304" s="1601" t="s">
        <v>1861</v>
      </c>
      <c r="I304" s="1601" t="s">
        <v>985</v>
      </c>
      <c r="J304" s="1601">
        <v>163.30000000000001</v>
      </c>
      <c r="K304" s="1601" t="s">
        <v>4797</v>
      </c>
      <c r="L304" s="1603" t="s">
        <v>5024</v>
      </c>
      <c r="M304" s="1604">
        <v>44356</v>
      </c>
    </row>
    <row r="305" spans="1:14" s="1353" customFormat="1" ht="14.4">
      <c r="A305" s="1601">
        <v>298</v>
      </c>
      <c r="B305" s="1602" t="s">
        <v>972</v>
      </c>
      <c r="C305" s="1670" t="s">
        <v>2078</v>
      </c>
      <c r="D305" s="1603" t="s">
        <v>629</v>
      </c>
      <c r="E305" s="1603" t="s">
        <v>788</v>
      </c>
      <c r="F305" s="1601" t="s">
        <v>4904</v>
      </c>
      <c r="G305" s="1601">
        <v>87</v>
      </c>
      <c r="H305" s="1601" t="s">
        <v>1861</v>
      </c>
      <c r="I305" s="1601" t="s">
        <v>958</v>
      </c>
      <c r="J305" s="1601">
        <v>156.30000000000001</v>
      </c>
      <c r="K305" s="1601" t="s">
        <v>4797</v>
      </c>
      <c r="L305" s="1603" t="s">
        <v>5024</v>
      </c>
      <c r="M305" s="1604">
        <v>44356</v>
      </c>
    </row>
    <row r="306" spans="1:14" s="1353" customFormat="1" ht="14.4">
      <c r="A306" s="1601">
        <v>299</v>
      </c>
      <c r="B306" s="1602" t="s">
        <v>972</v>
      </c>
      <c r="C306" s="1670" t="s">
        <v>2078</v>
      </c>
      <c r="D306" s="1603" t="s">
        <v>629</v>
      </c>
      <c r="E306" s="1603" t="s">
        <v>788</v>
      </c>
      <c r="F306" s="1601" t="s">
        <v>4904</v>
      </c>
      <c r="G306" s="1601">
        <v>87</v>
      </c>
      <c r="H306" s="1601" t="s">
        <v>1861</v>
      </c>
      <c r="I306" s="1601" t="s">
        <v>970</v>
      </c>
      <c r="J306" s="1601">
        <v>149.19999999999999</v>
      </c>
      <c r="K306" s="1601" t="s">
        <v>4797</v>
      </c>
      <c r="L306" s="1603" t="s">
        <v>5024</v>
      </c>
      <c r="M306" s="1604">
        <v>44356</v>
      </c>
    </row>
    <row r="307" spans="1:14" s="1353" customFormat="1" ht="14.4">
      <c r="A307" s="1601">
        <v>300</v>
      </c>
      <c r="B307" s="1602" t="s">
        <v>972</v>
      </c>
      <c r="C307" s="1670" t="s">
        <v>2132</v>
      </c>
      <c r="D307" s="1603" t="s">
        <v>2133</v>
      </c>
      <c r="E307" s="1603" t="s">
        <v>788</v>
      </c>
      <c r="F307" s="1601" t="s">
        <v>4904</v>
      </c>
      <c r="G307" s="1601">
        <v>62</v>
      </c>
      <c r="H307" s="1601" t="s">
        <v>956</v>
      </c>
      <c r="I307" s="1601" t="s">
        <v>968</v>
      </c>
      <c r="J307" s="1601" t="s">
        <v>5025</v>
      </c>
      <c r="K307" s="1601"/>
      <c r="L307" s="1603" t="s">
        <v>5026</v>
      </c>
      <c r="M307" s="1604">
        <v>44372</v>
      </c>
    </row>
    <row r="308" spans="1:14" s="1353" customFormat="1" ht="14.4">
      <c r="A308" s="1601">
        <v>301</v>
      </c>
      <c r="B308" s="1602" t="s">
        <v>972</v>
      </c>
      <c r="C308" s="1855" t="s">
        <v>2132</v>
      </c>
      <c r="D308" s="1603" t="s">
        <v>2133</v>
      </c>
      <c r="E308" s="1603" t="s">
        <v>788</v>
      </c>
      <c r="F308" s="1601" t="s">
        <v>4904</v>
      </c>
      <c r="G308" s="1601">
        <v>62</v>
      </c>
      <c r="H308" s="1601" t="s">
        <v>956</v>
      </c>
      <c r="I308" s="1601" t="s">
        <v>980</v>
      </c>
      <c r="J308" s="1601" t="s">
        <v>5025</v>
      </c>
      <c r="K308" s="1601"/>
      <c r="L308" s="1603" t="s">
        <v>5026</v>
      </c>
      <c r="M308" s="1604">
        <v>44372</v>
      </c>
    </row>
    <row r="309" spans="1:14" s="1353" customFormat="1" ht="14.4">
      <c r="A309" s="1601">
        <v>302</v>
      </c>
      <c r="B309" s="1602" t="s">
        <v>972</v>
      </c>
      <c r="C309" s="1670" t="s">
        <v>2132</v>
      </c>
      <c r="D309" s="1603" t="s">
        <v>2133</v>
      </c>
      <c r="E309" s="1603" t="s">
        <v>788</v>
      </c>
      <c r="F309" s="1601" t="s">
        <v>4904</v>
      </c>
      <c r="G309" s="1601">
        <v>62</v>
      </c>
      <c r="H309" s="1601" t="s">
        <v>956</v>
      </c>
      <c r="I309" s="1601" t="s">
        <v>985</v>
      </c>
      <c r="J309" s="1601" t="s">
        <v>5025</v>
      </c>
      <c r="K309" s="1601"/>
      <c r="L309" s="1603" t="s">
        <v>5026</v>
      </c>
      <c r="M309" s="1604">
        <v>44372</v>
      </c>
    </row>
    <row r="310" spans="1:14" s="1353" customFormat="1" ht="14.4">
      <c r="A310" s="1601">
        <v>303</v>
      </c>
      <c r="B310" s="1602" t="s">
        <v>972</v>
      </c>
      <c r="C310" s="1855" t="s">
        <v>2132</v>
      </c>
      <c r="D310" s="1603" t="s">
        <v>2133</v>
      </c>
      <c r="E310" s="1603" t="s">
        <v>788</v>
      </c>
      <c r="F310" s="1601" t="s">
        <v>4904</v>
      </c>
      <c r="G310" s="1601">
        <v>62</v>
      </c>
      <c r="H310" s="1601" t="s">
        <v>956</v>
      </c>
      <c r="I310" s="1601" t="s">
        <v>958</v>
      </c>
      <c r="J310" s="1601" t="s">
        <v>5025</v>
      </c>
      <c r="K310" s="1601"/>
      <c r="L310" s="1603" t="s">
        <v>5026</v>
      </c>
      <c r="M310" s="1604">
        <v>44372</v>
      </c>
    </row>
    <row r="311" spans="1:14" s="1353" customFormat="1" ht="28.8">
      <c r="A311" s="1601">
        <v>304</v>
      </c>
      <c r="B311" s="1602" t="s">
        <v>1018</v>
      </c>
      <c r="C311" s="1856" t="s">
        <v>1159</v>
      </c>
      <c r="D311" s="1603" t="s">
        <v>604</v>
      </c>
      <c r="E311" s="1603" t="s">
        <v>788</v>
      </c>
      <c r="F311" s="1601" t="s">
        <v>4904</v>
      </c>
      <c r="G311" s="1601">
        <v>18</v>
      </c>
      <c r="H311" s="1601" t="s">
        <v>944</v>
      </c>
      <c r="I311" s="1596"/>
      <c r="J311" s="1596" t="s">
        <v>965</v>
      </c>
      <c r="K311" s="1596" t="s">
        <v>977</v>
      </c>
      <c r="L311" s="1603" t="s">
        <v>5027</v>
      </c>
      <c r="M311" s="1604">
        <v>44539</v>
      </c>
    </row>
    <row r="312" spans="1:14" s="1356" customFormat="1" ht="28.8">
      <c r="A312" s="1601">
        <v>305</v>
      </c>
      <c r="B312" s="1602" t="s">
        <v>972</v>
      </c>
      <c r="C312" s="1856" t="s">
        <v>1125</v>
      </c>
      <c r="D312" s="1603" t="s">
        <v>604</v>
      </c>
      <c r="E312" s="1603" t="s">
        <v>788</v>
      </c>
      <c r="F312" s="1601" t="s">
        <v>4904</v>
      </c>
      <c r="G312" s="1601">
        <v>18</v>
      </c>
      <c r="H312" s="1601" t="s">
        <v>944</v>
      </c>
      <c r="I312" s="1596"/>
      <c r="J312" s="1596" t="s">
        <v>965</v>
      </c>
      <c r="K312" s="1596" t="s">
        <v>977</v>
      </c>
      <c r="L312" s="1603" t="s">
        <v>5027</v>
      </c>
      <c r="M312" s="1604">
        <v>44539</v>
      </c>
      <c r="N312" s="1353"/>
    </row>
    <row r="313" spans="1:14" s="1356" customFormat="1" ht="28.8">
      <c r="A313" s="1601">
        <v>306</v>
      </c>
      <c r="B313" s="1602" t="s">
        <v>1022</v>
      </c>
      <c r="C313" s="1856" t="s">
        <v>1162</v>
      </c>
      <c r="D313" s="1603" t="s">
        <v>604</v>
      </c>
      <c r="E313" s="1603" t="s">
        <v>788</v>
      </c>
      <c r="F313" s="1601" t="s">
        <v>4904</v>
      </c>
      <c r="G313" s="1601">
        <v>18</v>
      </c>
      <c r="H313" s="1601" t="s">
        <v>944</v>
      </c>
      <c r="I313" s="1596"/>
      <c r="J313" s="1596" t="s">
        <v>965</v>
      </c>
      <c r="K313" s="1596" t="s">
        <v>977</v>
      </c>
      <c r="L313" s="1603" t="s">
        <v>5027</v>
      </c>
      <c r="M313" s="1604">
        <v>44539</v>
      </c>
      <c r="N313" s="1353"/>
    </row>
    <row r="314" spans="1:14" s="1353" customFormat="1" ht="28.8">
      <c r="A314" s="1601">
        <v>307</v>
      </c>
      <c r="B314" s="1602" t="s">
        <v>5028</v>
      </c>
      <c r="C314" s="1857" t="s">
        <v>1131</v>
      </c>
      <c r="D314" s="1603" t="s">
        <v>604</v>
      </c>
      <c r="E314" s="1603" t="s">
        <v>788</v>
      </c>
      <c r="F314" s="1601" t="s">
        <v>4904</v>
      </c>
      <c r="G314" s="1601">
        <v>18</v>
      </c>
      <c r="H314" s="1601" t="s">
        <v>944</v>
      </c>
      <c r="I314" s="1596"/>
      <c r="J314" s="1596" t="s">
        <v>965</v>
      </c>
      <c r="K314" s="1596" t="s">
        <v>977</v>
      </c>
      <c r="L314" s="1603" t="s">
        <v>5027</v>
      </c>
      <c r="M314" s="1604">
        <v>44539</v>
      </c>
    </row>
    <row r="315" spans="1:14" s="1353" customFormat="1" ht="28.8">
      <c r="A315" s="1601">
        <v>308</v>
      </c>
      <c r="B315" s="1602" t="s">
        <v>990</v>
      </c>
      <c r="C315" s="1856" t="s">
        <v>1134</v>
      </c>
      <c r="D315" s="1603" t="s">
        <v>604</v>
      </c>
      <c r="E315" s="1603" t="s">
        <v>788</v>
      </c>
      <c r="F315" s="1601" t="s">
        <v>4904</v>
      </c>
      <c r="G315" s="1601">
        <v>18</v>
      </c>
      <c r="H315" s="1601" t="s">
        <v>944</v>
      </c>
      <c r="I315" s="1596"/>
      <c r="J315" s="1596" t="s">
        <v>965</v>
      </c>
      <c r="K315" s="1596" t="s">
        <v>977</v>
      </c>
      <c r="L315" s="1603" t="s">
        <v>5027</v>
      </c>
      <c r="M315" s="1604">
        <v>44539</v>
      </c>
    </row>
    <row r="316" spans="1:14" s="1353" customFormat="1" ht="28.8">
      <c r="A316" s="1601">
        <v>309</v>
      </c>
      <c r="B316" s="1602" t="s">
        <v>1026</v>
      </c>
      <c r="C316" s="1856" t="s">
        <v>1165</v>
      </c>
      <c r="D316" s="1603" t="s">
        <v>604</v>
      </c>
      <c r="E316" s="1603" t="s">
        <v>788</v>
      </c>
      <c r="F316" s="1601" t="s">
        <v>4904</v>
      </c>
      <c r="G316" s="1601">
        <v>18</v>
      </c>
      <c r="H316" s="1601" t="s">
        <v>944</v>
      </c>
      <c r="I316" s="1596"/>
      <c r="J316" s="1596" t="s">
        <v>965</v>
      </c>
      <c r="K316" s="1596" t="s">
        <v>977</v>
      </c>
      <c r="L316" s="1603" t="s">
        <v>5027</v>
      </c>
      <c r="M316" s="1604">
        <v>44539</v>
      </c>
    </row>
    <row r="317" spans="1:14" s="1353" customFormat="1" ht="28.8">
      <c r="A317" s="1601">
        <v>310</v>
      </c>
      <c r="B317" s="1602" t="s">
        <v>5029</v>
      </c>
      <c r="C317" s="1856" t="s">
        <v>1171</v>
      </c>
      <c r="D317" s="1603" t="s">
        <v>604</v>
      </c>
      <c r="E317" s="1603" t="s">
        <v>788</v>
      </c>
      <c r="F317" s="1601" t="s">
        <v>4904</v>
      </c>
      <c r="G317" s="1601">
        <v>18</v>
      </c>
      <c r="H317" s="1601" t="s">
        <v>944</v>
      </c>
      <c r="I317" s="1596"/>
      <c r="J317" s="1596" t="s">
        <v>965</v>
      </c>
      <c r="K317" s="1596" t="s">
        <v>977</v>
      </c>
      <c r="L317" s="1603" t="s">
        <v>5027</v>
      </c>
      <c r="M317" s="1604">
        <v>44539</v>
      </c>
    </row>
    <row r="318" spans="1:14" s="1353" customFormat="1" ht="28.8">
      <c r="A318" s="1601">
        <v>311</v>
      </c>
      <c r="B318" s="1602" t="s">
        <v>1033</v>
      </c>
      <c r="C318" s="1856" t="s">
        <v>1166</v>
      </c>
      <c r="D318" s="1603" t="s">
        <v>604</v>
      </c>
      <c r="E318" s="1603" t="s">
        <v>788</v>
      </c>
      <c r="F318" s="1601" t="s">
        <v>4904</v>
      </c>
      <c r="G318" s="1601">
        <v>18</v>
      </c>
      <c r="H318" s="1601" t="s">
        <v>944</v>
      </c>
      <c r="I318" s="1596"/>
      <c r="J318" s="1596" t="s">
        <v>965</v>
      </c>
      <c r="K318" s="1596" t="s">
        <v>977</v>
      </c>
      <c r="L318" s="1603" t="s">
        <v>5027</v>
      </c>
      <c r="M318" s="1604">
        <v>44539</v>
      </c>
    </row>
    <row r="319" spans="1:14" s="1353" customFormat="1" ht="28.8">
      <c r="A319" s="1601">
        <v>312</v>
      </c>
      <c r="B319" s="1602" t="s">
        <v>996</v>
      </c>
      <c r="C319" s="1857" t="s">
        <v>1143</v>
      </c>
      <c r="D319" s="1603" t="s">
        <v>604</v>
      </c>
      <c r="E319" s="1603" t="s">
        <v>788</v>
      </c>
      <c r="F319" s="1601" t="s">
        <v>4904</v>
      </c>
      <c r="G319" s="1601">
        <v>18</v>
      </c>
      <c r="H319" s="1601" t="s">
        <v>944</v>
      </c>
      <c r="I319" s="1596"/>
      <c r="J319" s="1596" t="s">
        <v>965</v>
      </c>
      <c r="K319" s="1596" t="s">
        <v>977</v>
      </c>
      <c r="L319" s="1603" t="s">
        <v>5027</v>
      </c>
      <c r="M319" s="1604">
        <v>44539</v>
      </c>
    </row>
    <row r="320" spans="1:14" s="1353" customFormat="1" ht="28.8">
      <c r="A320" s="1601">
        <v>313</v>
      </c>
      <c r="B320" s="1602" t="s">
        <v>1036</v>
      </c>
      <c r="C320" s="1856" t="s">
        <v>1168</v>
      </c>
      <c r="D320" s="1603" t="s">
        <v>604</v>
      </c>
      <c r="E320" s="1603" t="s">
        <v>788</v>
      </c>
      <c r="F320" s="1601" t="s">
        <v>4904</v>
      </c>
      <c r="G320" s="1601">
        <v>18</v>
      </c>
      <c r="H320" s="1601" t="s">
        <v>944</v>
      </c>
      <c r="I320" s="1596"/>
      <c r="J320" s="1596" t="s">
        <v>965</v>
      </c>
      <c r="K320" s="1596" t="s">
        <v>977</v>
      </c>
      <c r="L320" s="1603" t="s">
        <v>5027</v>
      </c>
      <c r="M320" s="1604">
        <v>44539</v>
      </c>
    </row>
    <row r="321" spans="1:14" s="1353" customFormat="1" ht="28.8">
      <c r="A321" s="1601">
        <v>314</v>
      </c>
      <c r="B321" s="1602" t="s">
        <v>1036</v>
      </c>
      <c r="C321" s="1856" t="s">
        <v>1170</v>
      </c>
      <c r="D321" s="1603" t="s">
        <v>604</v>
      </c>
      <c r="E321" s="1603" t="s">
        <v>788</v>
      </c>
      <c r="F321" s="1601" t="s">
        <v>4904</v>
      </c>
      <c r="G321" s="1601">
        <v>18</v>
      </c>
      <c r="H321" s="1601" t="s">
        <v>944</v>
      </c>
      <c r="I321" s="1596"/>
      <c r="J321" s="1596" t="s">
        <v>965</v>
      </c>
      <c r="K321" s="1596" t="s">
        <v>977</v>
      </c>
      <c r="L321" s="1603" t="s">
        <v>5027</v>
      </c>
      <c r="M321" s="1604">
        <v>44539</v>
      </c>
    </row>
    <row r="322" spans="1:14" s="1353" customFormat="1" ht="28.8">
      <c r="A322" s="1601">
        <v>315</v>
      </c>
      <c r="B322" s="1602" t="s">
        <v>993</v>
      </c>
      <c r="C322" s="1856" t="s">
        <v>1137</v>
      </c>
      <c r="D322" s="1603" t="s">
        <v>604</v>
      </c>
      <c r="E322" s="1603" t="s">
        <v>788</v>
      </c>
      <c r="F322" s="1601" t="s">
        <v>4904</v>
      </c>
      <c r="G322" s="1601">
        <v>18</v>
      </c>
      <c r="H322" s="1601" t="s">
        <v>944</v>
      </c>
      <c r="I322" s="1596"/>
      <c r="J322" s="1596" t="s">
        <v>965</v>
      </c>
      <c r="K322" s="1596" t="s">
        <v>977</v>
      </c>
      <c r="L322" s="1603" t="s">
        <v>5027</v>
      </c>
      <c r="M322" s="1604">
        <v>44539</v>
      </c>
    </row>
    <row r="323" spans="1:14" s="1353" customFormat="1" ht="28.8">
      <c r="A323" s="1601">
        <v>316</v>
      </c>
      <c r="B323" s="1602" t="s">
        <v>1003</v>
      </c>
      <c r="C323" s="1856" t="s">
        <v>1147</v>
      </c>
      <c r="D323" s="1603" t="s">
        <v>604</v>
      </c>
      <c r="E323" s="1603" t="s">
        <v>788</v>
      </c>
      <c r="F323" s="1601" t="s">
        <v>4904</v>
      </c>
      <c r="G323" s="1601">
        <v>18</v>
      </c>
      <c r="H323" s="1601" t="s">
        <v>944</v>
      </c>
      <c r="I323" s="1596"/>
      <c r="J323" s="1596" t="s">
        <v>965</v>
      </c>
      <c r="K323" s="1596" t="s">
        <v>977</v>
      </c>
      <c r="L323" s="1603" t="s">
        <v>5027</v>
      </c>
      <c r="M323" s="1604">
        <v>44539</v>
      </c>
    </row>
    <row r="324" spans="1:14" s="1353" customFormat="1" ht="28.8">
      <c r="A324" s="1601">
        <v>317</v>
      </c>
      <c r="B324" s="1602" t="s">
        <v>1008</v>
      </c>
      <c r="C324" s="1857" t="s">
        <v>1150</v>
      </c>
      <c r="D324" s="1603" t="s">
        <v>604</v>
      </c>
      <c r="E324" s="1603" t="s">
        <v>788</v>
      </c>
      <c r="F324" s="1601" t="s">
        <v>4904</v>
      </c>
      <c r="G324" s="1601">
        <v>18</v>
      </c>
      <c r="H324" s="1601" t="s">
        <v>944</v>
      </c>
      <c r="I324" s="1596"/>
      <c r="J324" s="1596" t="s">
        <v>965</v>
      </c>
      <c r="K324" s="1596" t="s">
        <v>977</v>
      </c>
      <c r="L324" s="1603" t="s">
        <v>5027</v>
      </c>
      <c r="M324" s="1604">
        <v>44539</v>
      </c>
    </row>
    <row r="325" spans="1:14" s="1353" customFormat="1" ht="28.8">
      <c r="A325" s="1601">
        <v>318</v>
      </c>
      <c r="B325" s="1602" t="s">
        <v>982</v>
      </c>
      <c r="C325" s="1856" t="s">
        <v>1128</v>
      </c>
      <c r="D325" s="1603" t="s">
        <v>604</v>
      </c>
      <c r="E325" s="1603" t="s">
        <v>788</v>
      </c>
      <c r="F325" s="1601" t="s">
        <v>4904</v>
      </c>
      <c r="G325" s="1601">
        <v>18</v>
      </c>
      <c r="H325" s="1601" t="s">
        <v>944</v>
      </c>
      <c r="I325" s="1596"/>
      <c r="J325" s="1596" t="s">
        <v>965</v>
      </c>
      <c r="K325" s="1596" t="s">
        <v>977</v>
      </c>
      <c r="L325" s="1603" t="s">
        <v>5027</v>
      </c>
      <c r="M325" s="1604">
        <v>44539</v>
      </c>
    </row>
    <row r="326" spans="1:14" s="1353" customFormat="1" ht="28.8">
      <c r="A326" s="1601">
        <v>319</v>
      </c>
      <c r="B326" s="1602" t="s">
        <v>1012</v>
      </c>
      <c r="C326" s="1856" t="s">
        <v>1153</v>
      </c>
      <c r="D326" s="1603" t="s">
        <v>604</v>
      </c>
      <c r="E326" s="1603" t="s">
        <v>788</v>
      </c>
      <c r="F326" s="1601" t="s">
        <v>4904</v>
      </c>
      <c r="G326" s="1601">
        <v>18</v>
      </c>
      <c r="H326" s="1601" t="s">
        <v>944</v>
      </c>
      <c r="I326" s="1596"/>
      <c r="J326" s="1596" t="s">
        <v>965</v>
      </c>
      <c r="K326" s="1596" t="s">
        <v>977</v>
      </c>
      <c r="L326" s="1603" t="s">
        <v>5027</v>
      </c>
      <c r="M326" s="1604">
        <v>44539</v>
      </c>
    </row>
    <row r="327" spans="1:14" s="1356" customFormat="1" ht="28.8">
      <c r="A327" s="1601">
        <v>320</v>
      </c>
      <c r="B327" s="1602" t="s">
        <v>1015</v>
      </c>
      <c r="C327" s="1856" t="s">
        <v>1156</v>
      </c>
      <c r="D327" s="1603" t="s">
        <v>604</v>
      </c>
      <c r="E327" s="1603" t="s">
        <v>788</v>
      </c>
      <c r="F327" s="1601" t="s">
        <v>4904</v>
      </c>
      <c r="G327" s="1601">
        <v>18</v>
      </c>
      <c r="H327" s="1601" t="s">
        <v>944</v>
      </c>
      <c r="I327" s="1596"/>
      <c r="J327" s="1596" t="s">
        <v>965</v>
      </c>
      <c r="K327" s="1596" t="s">
        <v>977</v>
      </c>
      <c r="L327" s="1603" t="s">
        <v>5027</v>
      </c>
      <c r="M327" s="1604">
        <v>44539</v>
      </c>
      <c r="N327" s="1353"/>
    </row>
    <row r="328" spans="1:14" s="1353" customFormat="1" ht="43.2">
      <c r="A328" s="1601">
        <v>321</v>
      </c>
      <c r="B328" s="1602" t="s">
        <v>1033</v>
      </c>
      <c r="C328" s="1856" t="s">
        <v>1164</v>
      </c>
      <c r="D328" s="1603" t="s">
        <v>1163</v>
      </c>
      <c r="E328" s="1603" t="s">
        <v>788</v>
      </c>
      <c r="F328" s="1601" t="s">
        <v>4904</v>
      </c>
      <c r="G328" s="1601">
        <v>18</v>
      </c>
      <c r="H328" s="1601" t="s">
        <v>944</v>
      </c>
      <c r="I328" s="1596"/>
      <c r="J328" s="1596" t="s">
        <v>965</v>
      </c>
      <c r="K328" s="1596" t="s">
        <v>977</v>
      </c>
      <c r="L328" s="1603" t="s">
        <v>5030</v>
      </c>
      <c r="M328" s="1604">
        <v>44539</v>
      </c>
    </row>
    <row r="329" spans="1:14" s="1353" customFormat="1" ht="14.4">
      <c r="A329" s="1601">
        <v>322</v>
      </c>
      <c r="B329" s="1605" t="s">
        <v>990</v>
      </c>
      <c r="C329" s="1857" t="s">
        <v>2511</v>
      </c>
      <c r="D329" s="1605" t="s">
        <v>5031</v>
      </c>
      <c r="E329" s="1606" t="s">
        <v>4903</v>
      </c>
      <c r="F329" s="1607" t="s">
        <v>4904</v>
      </c>
      <c r="G329" s="1608">
        <v>87</v>
      </c>
      <c r="H329" s="1607" t="s">
        <v>949</v>
      </c>
      <c r="I329" s="1608" t="s">
        <v>968</v>
      </c>
      <c r="J329" s="1609">
        <v>84</v>
      </c>
      <c r="K329" s="1610" t="s">
        <v>4797</v>
      </c>
      <c r="L329" s="1606" t="s">
        <v>5024</v>
      </c>
      <c r="M329" s="1611">
        <v>44545</v>
      </c>
    </row>
    <row r="330" spans="1:14" s="1353" customFormat="1" ht="14.4">
      <c r="A330" s="1601">
        <v>323</v>
      </c>
      <c r="B330" s="1602" t="s">
        <v>990</v>
      </c>
      <c r="C330" s="1856" t="s">
        <v>2511</v>
      </c>
      <c r="D330" s="1602" t="s">
        <v>5031</v>
      </c>
      <c r="E330" s="1603" t="s">
        <v>4903</v>
      </c>
      <c r="F330" s="1601" t="s">
        <v>4904</v>
      </c>
      <c r="G330" s="1601">
        <v>87</v>
      </c>
      <c r="H330" s="1601" t="s">
        <v>949</v>
      </c>
      <c r="I330" s="1601" t="s">
        <v>980</v>
      </c>
      <c r="J330" s="1612">
        <v>83.2</v>
      </c>
      <c r="K330" s="1596" t="s">
        <v>4797</v>
      </c>
      <c r="L330" s="1603" t="s">
        <v>5024</v>
      </c>
      <c r="M330" s="1604">
        <v>44545</v>
      </c>
    </row>
    <row r="331" spans="1:14" s="1353" customFormat="1" ht="14.4">
      <c r="A331" s="1601">
        <v>324</v>
      </c>
      <c r="B331" s="1602" t="s">
        <v>990</v>
      </c>
      <c r="C331" s="1856" t="s">
        <v>2511</v>
      </c>
      <c r="D331" s="1602" t="s">
        <v>5031</v>
      </c>
      <c r="E331" s="1603" t="s">
        <v>4903</v>
      </c>
      <c r="F331" s="1601" t="s">
        <v>4904</v>
      </c>
      <c r="G331" s="1601">
        <v>87</v>
      </c>
      <c r="H331" s="1601" t="s">
        <v>949</v>
      </c>
      <c r="I331" s="1601" t="s">
        <v>985</v>
      </c>
      <c r="J331" s="1612">
        <v>82</v>
      </c>
      <c r="K331" s="1596" t="s">
        <v>4797</v>
      </c>
      <c r="L331" s="1603" t="s">
        <v>5024</v>
      </c>
      <c r="M331" s="1604">
        <v>44545</v>
      </c>
    </row>
    <row r="332" spans="1:14" s="1353" customFormat="1" ht="14.4">
      <c r="A332" s="1601">
        <v>325</v>
      </c>
      <c r="B332" s="1602" t="s">
        <v>990</v>
      </c>
      <c r="C332" s="1856" t="s">
        <v>2511</v>
      </c>
      <c r="D332" s="1602" t="s">
        <v>5031</v>
      </c>
      <c r="E332" s="1603" t="s">
        <v>4903</v>
      </c>
      <c r="F332" s="1601" t="s">
        <v>4904</v>
      </c>
      <c r="G332" s="1601">
        <v>87</v>
      </c>
      <c r="H332" s="1601" t="s">
        <v>949</v>
      </c>
      <c r="I332" s="1601" t="s">
        <v>958</v>
      </c>
      <c r="J332" s="1612">
        <v>80.5</v>
      </c>
      <c r="K332" s="1596" t="s">
        <v>4797</v>
      </c>
      <c r="L332" s="1603" t="s">
        <v>5024</v>
      </c>
      <c r="M332" s="1604">
        <v>44545</v>
      </c>
    </row>
    <row r="333" spans="1:14" s="1353" customFormat="1" ht="14.4">
      <c r="A333" s="1601">
        <v>326</v>
      </c>
      <c r="B333" s="1613" t="s">
        <v>990</v>
      </c>
      <c r="C333" s="1857" t="s">
        <v>2511</v>
      </c>
      <c r="D333" s="1613" t="s">
        <v>5031</v>
      </c>
      <c r="E333" s="1614" t="s">
        <v>4903</v>
      </c>
      <c r="F333" s="1615" t="s">
        <v>4904</v>
      </c>
      <c r="G333" s="1608">
        <v>87</v>
      </c>
      <c r="H333" s="1615" t="s">
        <v>949</v>
      </c>
      <c r="I333" s="1608" t="s">
        <v>970</v>
      </c>
      <c r="J333" s="1616">
        <v>77.900000000000006</v>
      </c>
      <c r="K333" s="1617" t="s">
        <v>4797</v>
      </c>
      <c r="L333" s="1614" t="s">
        <v>5024</v>
      </c>
      <c r="M333" s="1618">
        <v>44545</v>
      </c>
    </row>
    <row r="334" spans="1:14" s="1353" customFormat="1" ht="28.8">
      <c r="A334" s="1601">
        <v>327</v>
      </c>
      <c r="B334" s="1602" t="s">
        <v>993</v>
      </c>
      <c r="C334" s="1670" t="s">
        <v>3489</v>
      </c>
      <c r="D334" s="1603" t="s">
        <v>687</v>
      </c>
      <c r="E334" s="1603" t="s">
        <v>788</v>
      </c>
      <c r="F334" s="1601" t="s">
        <v>4904</v>
      </c>
      <c r="G334" s="1601">
        <v>67</v>
      </c>
      <c r="H334" s="1602" t="s">
        <v>1857</v>
      </c>
      <c r="I334" s="1601" t="s">
        <v>968</v>
      </c>
      <c r="J334" s="1601">
        <v>2.35</v>
      </c>
      <c r="K334" s="1601">
        <v>2.56</v>
      </c>
      <c r="L334" s="1603" t="s">
        <v>5032</v>
      </c>
      <c r="M334" s="1604">
        <v>44547</v>
      </c>
    </row>
    <row r="335" spans="1:14" s="1353" customFormat="1" ht="28.8">
      <c r="A335" s="1601">
        <v>328</v>
      </c>
      <c r="B335" s="1602" t="s">
        <v>993</v>
      </c>
      <c r="C335" s="1670" t="s">
        <v>3489</v>
      </c>
      <c r="D335" s="1603" t="s">
        <v>687</v>
      </c>
      <c r="E335" s="1603" t="s">
        <v>788</v>
      </c>
      <c r="F335" s="1601" t="s">
        <v>4904</v>
      </c>
      <c r="G335" s="1601">
        <v>67</v>
      </c>
      <c r="H335" s="1602" t="s">
        <v>1857</v>
      </c>
      <c r="I335" s="1601" t="s">
        <v>980</v>
      </c>
      <c r="J335" s="1601">
        <v>2.35</v>
      </c>
      <c r="K335" s="1601">
        <v>2.56</v>
      </c>
      <c r="L335" s="1603" t="s">
        <v>5032</v>
      </c>
      <c r="M335" s="1604">
        <v>44547</v>
      </c>
    </row>
    <row r="336" spans="1:14" s="1353" customFormat="1" ht="28.8">
      <c r="A336" s="1601">
        <v>329</v>
      </c>
      <c r="B336" s="1602" t="s">
        <v>993</v>
      </c>
      <c r="C336" s="1670" t="s">
        <v>3489</v>
      </c>
      <c r="D336" s="1603" t="s">
        <v>687</v>
      </c>
      <c r="E336" s="1603" t="s">
        <v>788</v>
      </c>
      <c r="F336" s="1601" t="s">
        <v>4904</v>
      </c>
      <c r="G336" s="1601">
        <v>67</v>
      </c>
      <c r="H336" s="1602" t="s">
        <v>1857</v>
      </c>
      <c r="I336" s="1601" t="s">
        <v>985</v>
      </c>
      <c r="J336" s="1601">
        <v>2.35</v>
      </c>
      <c r="K336" s="1601">
        <v>2.56</v>
      </c>
      <c r="L336" s="1603" t="s">
        <v>5032</v>
      </c>
      <c r="M336" s="1604">
        <v>44547</v>
      </c>
    </row>
    <row r="337" spans="1:14" s="1353" customFormat="1" ht="28.8">
      <c r="A337" s="1601">
        <v>330</v>
      </c>
      <c r="B337" s="1602" t="s">
        <v>993</v>
      </c>
      <c r="C337" s="1670" t="s">
        <v>3489</v>
      </c>
      <c r="D337" s="1603" t="s">
        <v>687</v>
      </c>
      <c r="E337" s="1603" t="s">
        <v>788</v>
      </c>
      <c r="F337" s="1601" t="s">
        <v>4904</v>
      </c>
      <c r="G337" s="1601">
        <v>67</v>
      </c>
      <c r="H337" s="1602" t="s">
        <v>1857</v>
      </c>
      <c r="I337" s="1601" t="s">
        <v>958</v>
      </c>
      <c r="J337" s="1601">
        <v>2.35</v>
      </c>
      <c r="K337" s="1601">
        <v>2.56</v>
      </c>
      <c r="L337" s="1603" t="s">
        <v>5032</v>
      </c>
      <c r="M337" s="1604">
        <v>44547</v>
      </c>
    </row>
    <row r="338" spans="1:14" s="1353" customFormat="1" ht="28.8">
      <c r="A338" s="1601">
        <v>331</v>
      </c>
      <c r="B338" s="1602" t="s">
        <v>993</v>
      </c>
      <c r="C338" s="1670" t="s">
        <v>3489</v>
      </c>
      <c r="D338" s="1603" t="s">
        <v>687</v>
      </c>
      <c r="E338" s="1603" t="s">
        <v>788</v>
      </c>
      <c r="F338" s="1601" t="s">
        <v>4904</v>
      </c>
      <c r="G338" s="1601">
        <v>67</v>
      </c>
      <c r="H338" s="1602" t="s">
        <v>1857</v>
      </c>
      <c r="I338" s="1601" t="s">
        <v>970</v>
      </c>
      <c r="J338" s="1601">
        <v>2.35</v>
      </c>
      <c r="K338" s="1601">
        <v>2.56</v>
      </c>
      <c r="L338" s="1603" t="s">
        <v>5032</v>
      </c>
      <c r="M338" s="1604">
        <v>44547</v>
      </c>
    </row>
    <row r="339" spans="1:14" s="1353" customFormat="1" ht="28.8">
      <c r="A339" s="1601">
        <v>332</v>
      </c>
      <c r="B339" s="1602" t="s">
        <v>993</v>
      </c>
      <c r="C339" s="1670" t="s">
        <v>3489</v>
      </c>
      <c r="D339" s="1603" t="s">
        <v>687</v>
      </c>
      <c r="E339" s="1603" t="s">
        <v>788</v>
      </c>
      <c r="F339" s="1601" t="s">
        <v>4904</v>
      </c>
      <c r="G339" s="1601">
        <v>72</v>
      </c>
      <c r="H339" s="1602" t="s">
        <v>1858</v>
      </c>
      <c r="I339" s="1601" t="s">
        <v>968</v>
      </c>
      <c r="J339" s="1601">
        <v>2.56</v>
      </c>
      <c r="K339" s="1601">
        <v>2.35</v>
      </c>
      <c r="L339" s="1603" t="s">
        <v>5032</v>
      </c>
      <c r="M339" s="1604">
        <v>44547</v>
      </c>
    </row>
    <row r="340" spans="1:14" s="1353" customFormat="1" ht="28.8">
      <c r="A340" s="1601">
        <v>333</v>
      </c>
      <c r="B340" s="1602" t="s">
        <v>993</v>
      </c>
      <c r="C340" s="1670" t="s">
        <v>3489</v>
      </c>
      <c r="D340" s="1603" t="s">
        <v>687</v>
      </c>
      <c r="E340" s="1603" t="s">
        <v>788</v>
      </c>
      <c r="F340" s="1601" t="s">
        <v>4904</v>
      </c>
      <c r="G340" s="1601">
        <v>72</v>
      </c>
      <c r="H340" s="1602" t="s">
        <v>1858</v>
      </c>
      <c r="I340" s="1601" t="s">
        <v>980</v>
      </c>
      <c r="J340" s="1601">
        <v>2.56</v>
      </c>
      <c r="K340" s="1601">
        <v>2.35</v>
      </c>
      <c r="L340" s="1603" t="s">
        <v>5032</v>
      </c>
      <c r="M340" s="1604">
        <v>44547</v>
      </c>
    </row>
    <row r="341" spans="1:14" s="1353" customFormat="1" ht="28.8">
      <c r="A341" s="1601">
        <v>334</v>
      </c>
      <c r="B341" s="1602" t="s">
        <v>993</v>
      </c>
      <c r="C341" s="1670" t="s">
        <v>3489</v>
      </c>
      <c r="D341" s="1603" t="s">
        <v>687</v>
      </c>
      <c r="E341" s="1603" t="s">
        <v>788</v>
      </c>
      <c r="F341" s="1601" t="s">
        <v>4904</v>
      </c>
      <c r="G341" s="1601">
        <v>72</v>
      </c>
      <c r="H341" s="1602" t="s">
        <v>1858</v>
      </c>
      <c r="I341" s="1601" t="s">
        <v>985</v>
      </c>
      <c r="J341" s="1601">
        <v>2.56</v>
      </c>
      <c r="K341" s="1601">
        <v>2.35</v>
      </c>
      <c r="L341" s="1603" t="s">
        <v>5032</v>
      </c>
      <c r="M341" s="1604">
        <v>44547</v>
      </c>
    </row>
    <row r="342" spans="1:14" s="1353" customFormat="1" ht="28.8">
      <c r="A342" s="1601">
        <v>335</v>
      </c>
      <c r="B342" s="1602" t="s">
        <v>993</v>
      </c>
      <c r="C342" s="1670" t="s">
        <v>3489</v>
      </c>
      <c r="D342" s="1603" t="s">
        <v>687</v>
      </c>
      <c r="E342" s="1603" t="s">
        <v>788</v>
      </c>
      <c r="F342" s="1601" t="s">
        <v>4904</v>
      </c>
      <c r="G342" s="1601">
        <v>72</v>
      </c>
      <c r="H342" s="1602" t="s">
        <v>1858</v>
      </c>
      <c r="I342" s="1601" t="s">
        <v>958</v>
      </c>
      <c r="J342" s="1601">
        <v>2.56</v>
      </c>
      <c r="K342" s="1601">
        <v>2.35</v>
      </c>
      <c r="L342" s="1603" t="s">
        <v>5032</v>
      </c>
      <c r="M342" s="1604">
        <v>44547</v>
      </c>
    </row>
    <row r="343" spans="1:14" s="1353" customFormat="1" ht="28.8">
      <c r="A343" s="1601">
        <v>336</v>
      </c>
      <c r="B343" s="1602" t="s">
        <v>993</v>
      </c>
      <c r="C343" s="1670" t="s">
        <v>3489</v>
      </c>
      <c r="D343" s="1603" t="s">
        <v>687</v>
      </c>
      <c r="E343" s="1603" t="s">
        <v>788</v>
      </c>
      <c r="F343" s="1601" t="s">
        <v>4904</v>
      </c>
      <c r="G343" s="1601">
        <v>72</v>
      </c>
      <c r="H343" s="1602" t="s">
        <v>1858</v>
      </c>
      <c r="I343" s="1601" t="s">
        <v>970</v>
      </c>
      <c r="J343" s="1601">
        <v>2.56</v>
      </c>
      <c r="K343" s="1601">
        <v>2.35</v>
      </c>
      <c r="L343" s="1603" t="s">
        <v>5032</v>
      </c>
      <c r="M343" s="1604">
        <v>44547</v>
      </c>
    </row>
    <row r="344" spans="1:14" s="1356" customFormat="1" ht="28.8">
      <c r="A344" s="1601">
        <v>337</v>
      </c>
      <c r="B344" s="1602" t="s">
        <v>972</v>
      </c>
      <c r="C344" s="1670" t="s">
        <v>4729</v>
      </c>
      <c r="D344" s="1603" t="s">
        <v>5033</v>
      </c>
      <c r="E344" s="1603" t="s">
        <v>4903</v>
      </c>
      <c r="F344" s="1601" t="s">
        <v>4904</v>
      </c>
      <c r="G344" s="1601">
        <v>97</v>
      </c>
      <c r="H344" s="1603" t="s">
        <v>1907</v>
      </c>
      <c r="I344" s="1601"/>
      <c r="J344" s="1601">
        <v>4.7699999999999996</v>
      </c>
      <c r="K344" s="1601">
        <v>4.7699999999999999E-2</v>
      </c>
      <c r="L344" s="1603" t="s">
        <v>5034</v>
      </c>
      <c r="M344" s="1604">
        <v>44579</v>
      </c>
      <c r="N344" s="1353"/>
    </row>
    <row r="345" spans="1:14" s="1353" customFormat="1" ht="57.6">
      <c r="A345" s="1601">
        <v>338</v>
      </c>
      <c r="B345" s="1602" t="s">
        <v>990</v>
      </c>
      <c r="C345" s="1670" t="s">
        <v>2702</v>
      </c>
      <c r="D345" s="1603" t="s">
        <v>5004</v>
      </c>
      <c r="E345" s="1603" t="s">
        <v>4903</v>
      </c>
      <c r="F345" s="1601" t="s">
        <v>4904</v>
      </c>
      <c r="G345" s="1601">
        <v>97</v>
      </c>
      <c r="H345" s="1603" t="s">
        <v>1908</v>
      </c>
      <c r="I345" s="1601"/>
      <c r="J345" s="1601">
        <v>-4.1700000000000001E-2</v>
      </c>
      <c r="K345" s="1601" t="s">
        <v>4906</v>
      </c>
      <c r="L345" s="1603" t="s">
        <v>5035</v>
      </c>
      <c r="M345" s="1604">
        <v>44582</v>
      </c>
    </row>
    <row r="346" spans="1:14" s="1356" customFormat="1" ht="43.2">
      <c r="A346" s="1601">
        <v>339</v>
      </c>
      <c r="B346" s="1602" t="s">
        <v>1015</v>
      </c>
      <c r="C346" s="1670" t="s">
        <v>4724</v>
      </c>
      <c r="D346" s="1603" t="s">
        <v>4725</v>
      </c>
      <c r="E346" s="1603" t="s">
        <v>4903</v>
      </c>
      <c r="F346" s="1601" t="s">
        <v>4904</v>
      </c>
      <c r="G346" s="1601">
        <v>41</v>
      </c>
      <c r="H346" s="1603" t="s">
        <v>1855</v>
      </c>
      <c r="I346" s="1601" t="s">
        <v>970</v>
      </c>
      <c r="J346" s="1601" t="s">
        <v>4906</v>
      </c>
      <c r="K346" s="1496" t="s">
        <v>4728</v>
      </c>
      <c r="L346" s="1603" t="s">
        <v>5036</v>
      </c>
      <c r="M346" s="1604">
        <v>44582</v>
      </c>
      <c r="N346" s="1353"/>
    </row>
    <row r="347" spans="1:14" s="1353" customFormat="1" ht="43.2">
      <c r="A347" s="1601">
        <v>340</v>
      </c>
      <c r="B347" s="1602" t="s">
        <v>990</v>
      </c>
      <c r="C347" s="1670" t="s">
        <v>1136</v>
      </c>
      <c r="D347" s="1603" t="s">
        <v>1135</v>
      </c>
      <c r="E347" s="1603" t="s">
        <v>4954</v>
      </c>
      <c r="F347" s="1601" t="s">
        <v>4904</v>
      </c>
      <c r="G347" s="1601">
        <v>20</v>
      </c>
      <c r="H347" s="1603" t="s">
        <v>1873</v>
      </c>
      <c r="I347" s="1601"/>
      <c r="J347" s="1601" t="s">
        <v>1030</v>
      </c>
      <c r="K347" s="1601" t="s">
        <v>991</v>
      </c>
      <c r="L347" s="1598" t="s">
        <v>5020</v>
      </c>
      <c r="M347" s="1604">
        <v>44589</v>
      </c>
    </row>
    <row r="348" spans="1:14" s="1353" customFormat="1" ht="43.2">
      <c r="A348" s="1601">
        <v>341</v>
      </c>
      <c r="B348" s="1597" t="s">
        <v>1008</v>
      </c>
      <c r="C348" s="1854" t="s">
        <v>5017</v>
      </c>
      <c r="D348" s="1598" t="s">
        <v>5018</v>
      </c>
      <c r="E348" s="1603" t="s">
        <v>4954</v>
      </c>
      <c r="F348" s="1596" t="s">
        <v>4904</v>
      </c>
      <c r="G348" s="1601">
        <v>22</v>
      </c>
      <c r="H348" s="1603" t="s">
        <v>4956</v>
      </c>
      <c r="I348" s="1601"/>
      <c r="J348" s="1601">
        <v>2</v>
      </c>
      <c r="K348" s="1601">
        <v>3</v>
      </c>
      <c r="L348" s="1598" t="s">
        <v>5037</v>
      </c>
      <c r="M348" s="1604">
        <v>44589</v>
      </c>
    </row>
    <row r="349" spans="1:14" s="1353" customFormat="1" ht="43.2">
      <c r="A349" s="1601">
        <v>342</v>
      </c>
      <c r="B349" s="1602" t="s">
        <v>990</v>
      </c>
      <c r="C349" s="1854" t="s">
        <v>2711</v>
      </c>
      <c r="D349" s="1598" t="s">
        <v>2172</v>
      </c>
      <c r="E349" s="1603" t="s">
        <v>4954</v>
      </c>
      <c r="F349" s="1601" t="s">
        <v>4904</v>
      </c>
      <c r="G349" s="1601">
        <v>62</v>
      </c>
      <c r="H349" s="1603" t="s">
        <v>956</v>
      </c>
      <c r="I349" s="1601" t="s">
        <v>968</v>
      </c>
      <c r="J349" s="1601" t="s">
        <v>961</v>
      </c>
      <c r="K349" s="1601"/>
      <c r="L349" s="1598" t="s">
        <v>5038</v>
      </c>
      <c r="M349" s="1604">
        <v>44592</v>
      </c>
    </row>
    <row r="350" spans="1:14" s="1353" customFormat="1" ht="43.2">
      <c r="A350" s="1601">
        <v>343</v>
      </c>
      <c r="B350" s="1602" t="s">
        <v>990</v>
      </c>
      <c r="C350" s="1854" t="s">
        <v>2711</v>
      </c>
      <c r="D350" s="1598" t="s">
        <v>2172</v>
      </c>
      <c r="E350" s="1603" t="s">
        <v>4954</v>
      </c>
      <c r="F350" s="1596" t="s">
        <v>4904</v>
      </c>
      <c r="G350" s="1601">
        <v>62</v>
      </c>
      <c r="H350" s="1603" t="s">
        <v>956</v>
      </c>
      <c r="I350" s="1601" t="s">
        <v>980</v>
      </c>
      <c r="J350" s="1601" t="s">
        <v>961</v>
      </c>
      <c r="K350" s="1601"/>
      <c r="L350" s="1598" t="s">
        <v>5038</v>
      </c>
      <c r="M350" s="1604">
        <v>44592</v>
      </c>
    </row>
    <row r="351" spans="1:14" s="1353" customFormat="1" ht="43.2">
      <c r="A351" s="1601">
        <v>344</v>
      </c>
      <c r="B351" s="1602" t="s">
        <v>990</v>
      </c>
      <c r="C351" s="1854" t="s">
        <v>2711</v>
      </c>
      <c r="D351" s="1598" t="s">
        <v>2172</v>
      </c>
      <c r="E351" s="1603" t="s">
        <v>4954</v>
      </c>
      <c r="F351" s="1601" t="s">
        <v>4904</v>
      </c>
      <c r="G351" s="1601">
        <v>62</v>
      </c>
      <c r="H351" s="1603" t="s">
        <v>956</v>
      </c>
      <c r="I351" s="1601" t="s">
        <v>985</v>
      </c>
      <c r="J351" s="1601" t="s">
        <v>961</v>
      </c>
      <c r="K351" s="1601"/>
      <c r="L351" s="1598" t="s">
        <v>5038</v>
      </c>
      <c r="M351" s="1604">
        <v>44592</v>
      </c>
    </row>
    <row r="352" spans="1:14" s="1353" customFormat="1" ht="43.2">
      <c r="A352" s="1601">
        <v>345</v>
      </c>
      <c r="B352" s="1602" t="s">
        <v>990</v>
      </c>
      <c r="C352" s="1854" t="s">
        <v>2711</v>
      </c>
      <c r="D352" s="1598" t="s">
        <v>2172</v>
      </c>
      <c r="E352" s="1603" t="s">
        <v>4954</v>
      </c>
      <c r="F352" s="1596" t="s">
        <v>4904</v>
      </c>
      <c r="G352" s="1601">
        <v>62</v>
      </c>
      <c r="H352" s="1603" t="s">
        <v>956</v>
      </c>
      <c r="I352" s="1601" t="s">
        <v>958</v>
      </c>
      <c r="J352" s="1601" t="s">
        <v>961</v>
      </c>
      <c r="K352" s="1601"/>
      <c r="L352" s="1598" t="s">
        <v>5038</v>
      </c>
      <c r="M352" s="1604">
        <v>44592</v>
      </c>
    </row>
    <row r="353" spans="1:13" s="1353" customFormat="1" ht="14.4">
      <c r="A353" s="1601">
        <v>346</v>
      </c>
      <c r="B353" s="1602" t="s">
        <v>972</v>
      </c>
      <c r="C353" s="1854" t="s">
        <v>1127</v>
      </c>
      <c r="D353" s="1598" t="s">
        <v>1126</v>
      </c>
      <c r="E353" s="1603" t="s">
        <v>5039</v>
      </c>
      <c r="F353" s="1601" t="s">
        <v>4904</v>
      </c>
      <c r="G353" s="1601">
        <v>41</v>
      </c>
      <c r="H353" s="1603" t="s">
        <v>1855</v>
      </c>
      <c r="I353" s="1601" t="s">
        <v>970</v>
      </c>
      <c r="J353" s="1601">
        <v>382.4</v>
      </c>
      <c r="K353" s="1601">
        <v>469.4</v>
      </c>
      <c r="L353" s="1598" t="s">
        <v>5040</v>
      </c>
      <c r="M353" s="1604">
        <v>44596</v>
      </c>
    </row>
    <row r="354" spans="1:13" s="1353" customFormat="1" ht="28.8">
      <c r="A354" s="1601">
        <v>347</v>
      </c>
      <c r="B354" s="1602" t="s">
        <v>972</v>
      </c>
      <c r="C354" s="1854" t="s">
        <v>1127</v>
      </c>
      <c r="D354" s="1598" t="s">
        <v>1126</v>
      </c>
      <c r="E354" s="1603" t="s">
        <v>5039</v>
      </c>
      <c r="F354" s="1596" t="s">
        <v>4904</v>
      </c>
      <c r="G354" s="1601">
        <v>97</v>
      </c>
      <c r="H354" s="1603" t="s">
        <v>1907</v>
      </c>
      <c r="I354" s="1601"/>
      <c r="J354" s="1619">
        <v>-0.46</v>
      </c>
      <c r="K354" s="1601">
        <v>-0.45900000000000002</v>
      </c>
      <c r="L354" s="1598" t="s">
        <v>5040</v>
      </c>
      <c r="M354" s="1604">
        <v>44596</v>
      </c>
    </row>
    <row r="355" spans="1:13" s="1353" customFormat="1" ht="14.4">
      <c r="A355" s="1601">
        <v>348</v>
      </c>
      <c r="B355" s="1602" t="s">
        <v>1015</v>
      </c>
      <c r="C355" s="1854" t="s">
        <v>4724</v>
      </c>
      <c r="D355" s="1598" t="s">
        <v>4725</v>
      </c>
      <c r="E355" s="1603" t="s">
        <v>4903</v>
      </c>
      <c r="F355" s="1596" t="s">
        <v>4904</v>
      </c>
      <c r="G355" s="1601">
        <v>17</v>
      </c>
      <c r="H355" s="1603" t="s">
        <v>943</v>
      </c>
      <c r="I355" s="1601" t="s">
        <v>1037</v>
      </c>
      <c r="J355" s="1619" t="s">
        <v>976</v>
      </c>
      <c r="K355" s="1601" t="s">
        <v>964</v>
      </c>
      <c r="L355" s="1598" t="s">
        <v>5041</v>
      </c>
      <c r="M355" s="1604">
        <v>44596</v>
      </c>
    </row>
    <row r="356" spans="1:13" s="1353" customFormat="1" ht="14.4">
      <c r="A356" s="1601">
        <v>349</v>
      </c>
      <c r="B356" s="1602" t="s">
        <v>1015</v>
      </c>
      <c r="C356" s="1854" t="s">
        <v>4724</v>
      </c>
      <c r="D356" s="1598" t="s">
        <v>4725</v>
      </c>
      <c r="E356" s="1603" t="s">
        <v>4903</v>
      </c>
      <c r="F356" s="1596" t="s">
        <v>4904</v>
      </c>
      <c r="G356" s="1601">
        <v>22</v>
      </c>
      <c r="H356" s="1603" t="s">
        <v>132</v>
      </c>
      <c r="I356" s="1601" t="s">
        <v>1037</v>
      </c>
      <c r="J356" s="1620">
        <v>3</v>
      </c>
      <c r="K356" s="1601">
        <v>1</v>
      </c>
      <c r="L356" s="1598" t="s">
        <v>5041</v>
      </c>
      <c r="M356" s="1604">
        <v>44596</v>
      </c>
    </row>
    <row r="357" spans="1:13" s="1353" customFormat="1" ht="14.4">
      <c r="A357" s="1601">
        <v>350</v>
      </c>
      <c r="B357" s="1602" t="s">
        <v>1008</v>
      </c>
      <c r="C357" s="1854" t="s">
        <v>5042</v>
      </c>
      <c r="D357" s="1598" t="s">
        <v>4075</v>
      </c>
      <c r="E357" s="1603" t="s">
        <v>788</v>
      </c>
      <c r="F357" s="1596" t="s">
        <v>4904</v>
      </c>
      <c r="G357" s="1601">
        <v>72</v>
      </c>
      <c r="H357" s="1603" t="s">
        <v>1858</v>
      </c>
      <c r="I357" s="1601" t="s">
        <v>968</v>
      </c>
      <c r="J357" s="1601">
        <v>9</v>
      </c>
      <c r="K357" s="1601"/>
      <c r="L357" s="1598" t="s">
        <v>5043</v>
      </c>
      <c r="M357" s="1604">
        <v>44613</v>
      </c>
    </row>
    <row r="358" spans="1:13" s="1353" customFormat="1" ht="14.4">
      <c r="A358" s="1601">
        <v>351</v>
      </c>
      <c r="B358" s="1602" t="s">
        <v>1008</v>
      </c>
      <c r="C358" s="1854" t="s">
        <v>5042</v>
      </c>
      <c r="D358" s="1598" t="s">
        <v>4075</v>
      </c>
      <c r="E358" s="1603" t="s">
        <v>788</v>
      </c>
      <c r="F358" s="1596" t="s">
        <v>4904</v>
      </c>
      <c r="G358" s="1601">
        <v>72</v>
      </c>
      <c r="H358" s="1603" t="s">
        <v>1858</v>
      </c>
      <c r="I358" s="1601" t="s">
        <v>980</v>
      </c>
      <c r="J358" s="1601">
        <v>5.75</v>
      </c>
      <c r="K358" s="1601"/>
      <c r="L358" s="1598" t="s">
        <v>5043</v>
      </c>
      <c r="M358" s="1604">
        <v>44613</v>
      </c>
    </row>
    <row r="359" spans="1:13" s="1353" customFormat="1" ht="14.4">
      <c r="A359" s="1601">
        <v>352</v>
      </c>
      <c r="B359" s="1602" t="s">
        <v>1008</v>
      </c>
      <c r="C359" s="1854" t="s">
        <v>5042</v>
      </c>
      <c r="D359" s="1598" t="s">
        <v>4075</v>
      </c>
      <c r="E359" s="1603" t="s">
        <v>788</v>
      </c>
      <c r="F359" s="1596" t="s">
        <v>4904</v>
      </c>
      <c r="G359" s="1601">
        <v>72</v>
      </c>
      <c r="H359" s="1603" t="s">
        <v>1858</v>
      </c>
      <c r="I359" s="1601" t="s">
        <v>985</v>
      </c>
      <c r="J359" s="1601">
        <v>4</v>
      </c>
      <c r="K359" s="1601"/>
      <c r="L359" s="1598" t="s">
        <v>5043</v>
      </c>
      <c r="M359" s="1604">
        <v>44613</v>
      </c>
    </row>
    <row r="360" spans="1:13" s="1353" customFormat="1" ht="14.4">
      <c r="A360" s="1601">
        <v>353</v>
      </c>
      <c r="B360" s="1602" t="s">
        <v>1008</v>
      </c>
      <c r="C360" s="1854" t="s">
        <v>5042</v>
      </c>
      <c r="D360" s="1598" t="s">
        <v>4075</v>
      </c>
      <c r="E360" s="1603" t="s">
        <v>788</v>
      </c>
      <c r="F360" s="1596" t="s">
        <v>4904</v>
      </c>
      <c r="G360" s="1601">
        <v>72</v>
      </c>
      <c r="H360" s="1603" t="s">
        <v>1858</v>
      </c>
      <c r="I360" s="1601" t="s">
        <v>958</v>
      </c>
      <c r="J360" s="1601">
        <v>4</v>
      </c>
      <c r="K360" s="1601"/>
      <c r="L360" s="1598" t="s">
        <v>5043</v>
      </c>
      <c r="M360" s="1604">
        <v>44613</v>
      </c>
    </row>
    <row r="361" spans="1:13" s="1353" customFormat="1" ht="14.4">
      <c r="A361" s="1601">
        <v>354</v>
      </c>
      <c r="B361" s="1602" t="s">
        <v>1008</v>
      </c>
      <c r="C361" s="1854" t="s">
        <v>5042</v>
      </c>
      <c r="D361" s="1598" t="s">
        <v>4075</v>
      </c>
      <c r="E361" s="1603" t="s">
        <v>788</v>
      </c>
      <c r="F361" s="1596" t="s">
        <v>4904</v>
      </c>
      <c r="G361" s="1601">
        <v>72</v>
      </c>
      <c r="H361" s="1603" t="s">
        <v>1858</v>
      </c>
      <c r="I361" s="1601" t="s">
        <v>970</v>
      </c>
      <c r="J361" s="1601">
        <v>9</v>
      </c>
      <c r="K361" s="1601"/>
      <c r="L361" s="1598" t="s">
        <v>5043</v>
      </c>
      <c r="M361" s="1604">
        <v>44613</v>
      </c>
    </row>
    <row r="362" spans="1:13" s="1353" customFormat="1" ht="43.2">
      <c r="A362" s="1601">
        <v>355</v>
      </c>
      <c r="B362" s="1602" t="s">
        <v>982</v>
      </c>
      <c r="C362" s="1854" t="s">
        <v>4271</v>
      </c>
      <c r="D362" s="1598" t="s">
        <v>4273</v>
      </c>
      <c r="E362" s="1603" t="s">
        <v>4954</v>
      </c>
      <c r="F362" s="1596" t="s">
        <v>4904</v>
      </c>
      <c r="G362" s="1601">
        <v>41</v>
      </c>
      <c r="H362" s="1603" t="s">
        <v>1855</v>
      </c>
      <c r="I362" s="1601" t="s">
        <v>968</v>
      </c>
      <c r="J362" s="1601">
        <v>86.5</v>
      </c>
      <c r="K362" s="1603" t="s">
        <v>2352</v>
      </c>
      <c r="L362" s="1598" t="s">
        <v>5044</v>
      </c>
      <c r="M362" s="1604">
        <v>44629</v>
      </c>
    </row>
    <row r="363" spans="1:13" s="1353" customFormat="1" ht="43.2">
      <c r="A363" s="1601">
        <v>356</v>
      </c>
      <c r="B363" s="1602" t="s">
        <v>982</v>
      </c>
      <c r="C363" s="1854" t="s">
        <v>4271</v>
      </c>
      <c r="D363" s="1598" t="s">
        <v>4273</v>
      </c>
      <c r="E363" s="1603" t="s">
        <v>4954</v>
      </c>
      <c r="F363" s="1596" t="s">
        <v>4904</v>
      </c>
      <c r="G363" s="1601">
        <v>41</v>
      </c>
      <c r="H363" s="1603" t="s">
        <v>1855</v>
      </c>
      <c r="I363" s="1601" t="s">
        <v>980</v>
      </c>
      <c r="J363" s="1601">
        <v>287.89999999999998</v>
      </c>
      <c r="K363" s="1603" t="s">
        <v>2353</v>
      </c>
      <c r="L363" s="1598" t="s">
        <v>5044</v>
      </c>
      <c r="M363" s="1604">
        <v>44629</v>
      </c>
    </row>
    <row r="364" spans="1:13" s="1353" customFormat="1" ht="43.2">
      <c r="A364" s="1601">
        <v>357</v>
      </c>
      <c r="B364" s="1602" t="s">
        <v>982</v>
      </c>
      <c r="C364" s="1854" t="s">
        <v>4271</v>
      </c>
      <c r="D364" s="1598" t="s">
        <v>4273</v>
      </c>
      <c r="E364" s="1603" t="s">
        <v>4954</v>
      </c>
      <c r="F364" s="1596" t="s">
        <v>4904</v>
      </c>
      <c r="G364" s="1601">
        <v>41</v>
      </c>
      <c r="H364" s="1603" t="s">
        <v>1855</v>
      </c>
      <c r="I364" s="1601" t="s">
        <v>985</v>
      </c>
      <c r="J364" s="1601">
        <v>259.10000000000002</v>
      </c>
      <c r="K364" s="1603" t="s">
        <v>2354</v>
      </c>
      <c r="L364" s="1598" t="s">
        <v>5044</v>
      </c>
      <c r="M364" s="1604">
        <v>44629</v>
      </c>
    </row>
    <row r="365" spans="1:13" s="1353" customFormat="1" ht="43.2">
      <c r="A365" s="1601">
        <v>358</v>
      </c>
      <c r="B365" s="1602" t="s">
        <v>982</v>
      </c>
      <c r="C365" s="1854" t="s">
        <v>4271</v>
      </c>
      <c r="D365" s="1598" t="s">
        <v>4273</v>
      </c>
      <c r="E365" s="1603" t="s">
        <v>4954</v>
      </c>
      <c r="F365" s="1596" t="s">
        <v>4904</v>
      </c>
      <c r="G365" s="1601">
        <v>41</v>
      </c>
      <c r="H365" s="1603" t="s">
        <v>1855</v>
      </c>
      <c r="I365" s="1601" t="s">
        <v>958</v>
      </c>
      <c r="J365" s="1601">
        <v>233.2</v>
      </c>
      <c r="K365" s="1603" t="s">
        <v>2355</v>
      </c>
      <c r="L365" s="1598" t="s">
        <v>5044</v>
      </c>
      <c r="M365" s="1604">
        <v>44629</v>
      </c>
    </row>
    <row r="366" spans="1:13" s="1353" customFormat="1" ht="43.2">
      <c r="A366" s="1601">
        <v>359</v>
      </c>
      <c r="B366" s="1602" t="s">
        <v>982</v>
      </c>
      <c r="C366" s="1854" t="s">
        <v>4271</v>
      </c>
      <c r="D366" s="1598" t="s">
        <v>4273</v>
      </c>
      <c r="E366" s="1603" t="s">
        <v>4954</v>
      </c>
      <c r="F366" s="1596" t="s">
        <v>4904</v>
      </c>
      <c r="G366" s="1601">
        <v>41</v>
      </c>
      <c r="H366" s="1603" t="s">
        <v>1855</v>
      </c>
      <c r="I366" s="1601" t="s">
        <v>970</v>
      </c>
      <c r="J366" s="1601">
        <v>209.9</v>
      </c>
      <c r="K366" s="1603" t="s">
        <v>2356</v>
      </c>
      <c r="L366" s="1598" t="s">
        <v>5044</v>
      </c>
      <c r="M366" s="1604">
        <v>44629</v>
      </c>
    </row>
    <row r="367" spans="1:13" s="1353" customFormat="1" ht="43.2">
      <c r="A367" s="1601">
        <v>360</v>
      </c>
      <c r="B367" s="1603" t="s">
        <v>5045</v>
      </c>
      <c r="C367" s="1854"/>
      <c r="D367" s="1598" t="s">
        <v>5046</v>
      </c>
      <c r="E367" s="1603" t="s">
        <v>788</v>
      </c>
      <c r="F367" s="1596" t="s">
        <v>4904</v>
      </c>
      <c r="G367" s="1661" t="s">
        <v>5047</v>
      </c>
      <c r="H367" s="1601" t="s">
        <v>5047</v>
      </c>
      <c r="I367" s="1601" t="s">
        <v>4962</v>
      </c>
      <c r="J367" s="1661" t="s">
        <v>5048</v>
      </c>
      <c r="K367" s="1601"/>
      <c r="L367" s="1598" t="s">
        <v>5049</v>
      </c>
      <c r="M367" s="1774">
        <v>44634</v>
      </c>
    </row>
    <row r="368" spans="1:13" s="1353" customFormat="1" ht="43.2">
      <c r="A368" s="1601">
        <v>361</v>
      </c>
      <c r="B368" s="1602" t="s">
        <v>982</v>
      </c>
      <c r="C368" s="1597" t="s">
        <v>4186</v>
      </c>
      <c r="D368" s="1598" t="s">
        <v>4188</v>
      </c>
      <c r="E368" s="1603" t="s">
        <v>4954</v>
      </c>
      <c r="F368" s="1596" t="s">
        <v>4904</v>
      </c>
      <c r="G368" s="1661">
        <v>72</v>
      </c>
      <c r="H368" s="1603" t="s">
        <v>1858</v>
      </c>
      <c r="I368" s="1601" t="s">
        <v>968</v>
      </c>
      <c r="J368" s="1601">
        <v>4.47</v>
      </c>
      <c r="K368" s="1601">
        <v>4.4800000000000004</v>
      </c>
      <c r="L368" s="1598" t="s">
        <v>5020</v>
      </c>
      <c r="M368" s="1604">
        <v>44635</v>
      </c>
    </row>
    <row r="369" spans="1:13" s="1353" customFormat="1" ht="43.2">
      <c r="A369" s="1601">
        <v>362</v>
      </c>
      <c r="B369" s="1602" t="s">
        <v>982</v>
      </c>
      <c r="C369" s="1597" t="s">
        <v>4186</v>
      </c>
      <c r="D369" s="1598" t="s">
        <v>4188</v>
      </c>
      <c r="E369" s="1603" t="s">
        <v>4954</v>
      </c>
      <c r="F369" s="1596" t="s">
        <v>4904</v>
      </c>
      <c r="G369" s="1661">
        <v>72</v>
      </c>
      <c r="H369" s="1603" t="s">
        <v>1858</v>
      </c>
      <c r="I369" s="1601" t="s">
        <v>980</v>
      </c>
      <c r="J369" s="1601">
        <v>4.47</v>
      </c>
      <c r="K369" s="1601">
        <v>4.4800000000000004</v>
      </c>
      <c r="L369" s="1598" t="s">
        <v>5020</v>
      </c>
      <c r="M369" s="1604">
        <v>44635</v>
      </c>
    </row>
    <row r="370" spans="1:13" s="1353" customFormat="1" ht="43.2">
      <c r="A370" s="1601">
        <v>363</v>
      </c>
      <c r="B370" s="1602" t="s">
        <v>982</v>
      </c>
      <c r="C370" s="1597" t="s">
        <v>4186</v>
      </c>
      <c r="D370" s="1598" t="s">
        <v>4188</v>
      </c>
      <c r="E370" s="1603" t="s">
        <v>4954</v>
      </c>
      <c r="F370" s="1596" t="s">
        <v>4904</v>
      </c>
      <c r="G370" s="1661">
        <v>72</v>
      </c>
      <c r="H370" s="1603" t="s">
        <v>1858</v>
      </c>
      <c r="I370" s="1601" t="s">
        <v>985</v>
      </c>
      <c r="J370" s="1601">
        <v>4.47</v>
      </c>
      <c r="K370" s="1601">
        <v>4.4800000000000004</v>
      </c>
      <c r="L370" s="1598" t="s">
        <v>5020</v>
      </c>
      <c r="M370" s="1604">
        <v>44635</v>
      </c>
    </row>
    <row r="371" spans="1:13" s="1353" customFormat="1" ht="43.2">
      <c r="A371" s="1601">
        <v>364</v>
      </c>
      <c r="B371" s="1602" t="s">
        <v>982</v>
      </c>
      <c r="C371" s="1597" t="s">
        <v>4186</v>
      </c>
      <c r="D371" s="1598" t="s">
        <v>4188</v>
      </c>
      <c r="E371" s="1603" t="s">
        <v>4954</v>
      </c>
      <c r="F371" s="1596" t="s">
        <v>4904</v>
      </c>
      <c r="G371" s="1661">
        <v>72</v>
      </c>
      <c r="H371" s="1603" t="s">
        <v>1858</v>
      </c>
      <c r="I371" s="1601" t="s">
        <v>958</v>
      </c>
      <c r="J371" s="1601">
        <v>4.47</v>
      </c>
      <c r="K371" s="1601">
        <v>4.4800000000000004</v>
      </c>
      <c r="L371" s="1598" t="s">
        <v>5020</v>
      </c>
      <c r="M371" s="1604">
        <v>44635</v>
      </c>
    </row>
    <row r="372" spans="1:13" s="1353" customFormat="1" ht="43.2">
      <c r="A372" s="1601">
        <v>365</v>
      </c>
      <c r="B372" s="1602" t="s">
        <v>982</v>
      </c>
      <c r="C372" s="1597" t="s">
        <v>4186</v>
      </c>
      <c r="D372" s="1598" t="s">
        <v>4188</v>
      </c>
      <c r="E372" s="1603" t="s">
        <v>4954</v>
      </c>
      <c r="F372" s="1596" t="s">
        <v>4904</v>
      </c>
      <c r="G372" s="1661">
        <v>72</v>
      </c>
      <c r="H372" s="1603" t="s">
        <v>1858</v>
      </c>
      <c r="I372" s="1601" t="s">
        <v>970</v>
      </c>
      <c r="J372" s="1601">
        <v>4.47</v>
      </c>
      <c r="K372" s="1601">
        <v>4.4800000000000004</v>
      </c>
      <c r="L372" s="1598" t="s">
        <v>5020</v>
      </c>
      <c r="M372" s="1604">
        <v>44635</v>
      </c>
    </row>
    <row r="373" spans="1:13" s="1353" customFormat="1" ht="43.2">
      <c r="A373" s="1601">
        <v>366</v>
      </c>
      <c r="B373" s="1602" t="s">
        <v>982</v>
      </c>
      <c r="C373" s="1597" t="s">
        <v>4248</v>
      </c>
      <c r="D373" s="1598" t="s">
        <v>4250</v>
      </c>
      <c r="E373" s="1603" t="s">
        <v>4954</v>
      </c>
      <c r="F373" s="1596" t="s">
        <v>4904</v>
      </c>
      <c r="G373" s="1661">
        <v>72</v>
      </c>
      <c r="H373" s="1603" t="s">
        <v>1858</v>
      </c>
      <c r="I373" s="1601" t="s">
        <v>968</v>
      </c>
      <c r="J373" s="1601">
        <v>4.0999999999999996</v>
      </c>
      <c r="K373" s="1781">
        <v>4</v>
      </c>
      <c r="L373" s="1598" t="s">
        <v>5020</v>
      </c>
      <c r="M373" s="1604">
        <v>44635</v>
      </c>
    </row>
    <row r="374" spans="1:13" s="1353" customFormat="1" ht="43.2">
      <c r="A374" s="1601">
        <v>367</v>
      </c>
      <c r="B374" s="1602" t="s">
        <v>982</v>
      </c>
      <c r="C374" s="1597" t="s">
        <v>4248</v>
      </c>
      <c r="D374" s="1598" t="s">
        <v>4250</v>
      </c>
      <c r="E374" s="1603" t="s">
        <v>4954</v>
      </c>
      <c r="F374" s="1596" t="s">
        <v>4904</v>
      </c>
      <c r="G374" s="1661">
        <v>72</v>
      </c>
      <c r="H374" s="1603" t="s">
        <v>1858</v>
      </c>
      <c r="I374" s="1601" t="s">
        <v>980</v>
      </c>
      <c r="J374" s="1601">
        <v>4.0999999999999996</v>
      </c>
      <c r="K374" s="1781">
        <v>4</v>
      </c>
      <c r="L374" s="1598" t="s">
        <v>5020</v>
      </c>
      <c r="M374" s="1604">
        <v>44635</v>
      </c>
    </row>
    <row r="375" spans="1:13" s="1353" customFormat="1" ht="43.2">
      <c r="A375" s="1601">
        <v>368</v>
      </c>
      <c r="B375" s="1602" t="s">
        <v>982</v>
      </c>
      <c r="C375" s="1597" t="s">
        <v>4248</v>
      </c>
      <c r="D375" s="1598" t="s">
        <v>4250</v>
      </c>
      <c r="E375" s="1603" t="s">
        <v>4954</v>
      </c>
      <c r="F375" s="1596" t="s">
        <v>4904</v>
      </c>
      <c r="G375" s="1661">
        <v>72</v>
      </c>
      <c r="H375" s="1603" t="s">
        <v>1858</v>
      </c>
      <c r="I375" s="1601" t="s">
        <v>985</v>
      </c>
      <c r="J375" s="1601">
        <v>4.0999999999999996</v>
      </c>
      <c r="K375" s="1781">
        <v>4</v>
      </c>
      <c r="L375" s="1598" t="s">
        <v>5020</v>
      </c>
      <c r="M375" s="1604">
        <v>44635</v>
      </c>
    </row>
    <row r="376" spans="1:13" s="1353" customFormat="1" ht="43.2">
      <c r="A376" s="1601">
        <v>369</v>
      </c>
      <c r="B376" s="1602" t="s">
        <v>982</v>
      </c>
      <c r="C376" s="1597" t="s">
        <v>4248</v>
      </c>
      <c r="D376" s="1598" t="s">
        <v>4250</v>
      </c>
      <c r="E376" s="1603" t="s">
        <v>4954</v>
      </c>
      <c r="F376" s="1596" t="s">
        <v>4904</v>
      </c>
      <c r="G376" s="1661">
        <v>72</v>
      </c>
      <c r="H376" s="1603" t="s">
        <v>1858</v>
      </c>
      <c r="I376" s="1601" t="s">
        <v>958</v>
      </c>
      <c r="J376" s="1601">
        <v>4.0999999999999996</v>
      </c>
      <c r="K376" s="1781">
        <v>4</v>
      </c>
      <c r="L376" s="1598" t="s">
        <v>5020</v>
      </c>
      <c r="M376" s="1604">
        <v>44635</v>
      </c>
    </row>
    <row r="377" spans="1:13" s="1353" customFormat="1" ht="43.2">
      <c r="A377" s="1601">
        <v>370</v>
      </c>
      <c r="B377" s="1602" t="s">
        <v>982</v>
      </c>
      <c r="C377" s="1597" t="s">
        <v>4248</v>
      </c>
      <c r="D377" s="1598" t="s">
        <v>4250</v>
      </c>
      <c r="E377" s="1603" t="s">
        <v>4954</v>
      </c>
      <c r="F377" s="1596" t="s">
        <v>4904</v>
      </c>
      <c r="G377" s="1661">
        <v>72</v>
      </c>
      <c r="H377" s="1603" t="s">
        <v>1858</v>
      </c>
      <c r="I377" s="1601" t="s">
        <v>970</v>
      </c>
      <c r="J377" s="1601">
        <v>4.0999999999999996</v>
      </c>
      <c r="K377" s="1781">
        <v>4</v>
      </c>
      <c r="L377" s="1598" t="s">
        <v>5020</v>
      </c>
      <c r="M377" s="1604">
        <v>44635</v>
      </c>
    </row>
    <row r="378" spans="1:13" s="1353" customFormat="1" ht="43.2">
      <c r="A378" s="1601">
        <v>371</v>
      </c>
      <c r="B378" s="1602" t="s">
        <v>982</v>
      </c>
      <c r="C378" s="1597" t="s">
        <v>4263</v>
      </c>
      <c r="D378" s="1598" t="s">
        <v>4265</v>
      </c>
      <c r="E378" s="1603" t="s">
        <v>4954</v>
      </c>
      <c r="F378" s="1596" t="s">
        <v>4904</v>
      </c>
      <c r="G378" s="1661">
        <v>72</v>
      </c>
      <c r="H378" s="1603" t="s">
        <v>1858</v>
      </c>
      <c r="I378" s="1601" t="s">
        <v>968</v>
      </c>
      <c r="J378" s="1601">
        <v>40.04</v>
      </c>
      <c r="K378" s="1601">
        <v>40.049999999999997</v>
      </c>
      <c r="L378" s="1598" t="s">
        <v>5020</v>
      </c>
      <c r="M378" s="1604">
        <v>44635</v>
      </c>
    </row>
    <row r="379" spans="1:13" s="1353" customFormat="1" ht="43.2">
      <c r="A379" s="1601">
        <v>372</v>
      </c>
      <c r="B379" s="1602" t="s">
        <v>982</v>
      </c>
      <c r="C379" s="1597" t="s">
        <v>4263</v>
      </c>
      <c r="D379" s="1598" t="s">
        <v>4265</v>
      </c>
      <c r="E379" s="1603" t="s">
        <v>4954</v>
      </c>
      <c r="F379" s="1596" t="s">
        <v>4904</v>
      </c>
      <c r="G379" s="1661">
        <v>72</v>
      </c>
      <c r="H379" s="1603" t="s">
        <v>1858</v>
      </c>
      <c r="I379" s="1601" t="s">
        <v>980</v>
      </c>
      <c r="J379" s="1601">
        <v>40.04</v>
      </c>
      <c r="K379" s="1601">
        <v>40.049999999999997</v>
      </c>
      <c r="L379" s="1598" t="s">
        <v>5020</v>
      </c>
      <c r="M379" s="1604">
        <v>44635</v>
      </c>
    </row>
    <row r="380" spans="1:13" s="1353" customFormat="1" ht="43.2">
      <c r="A380" s="1601">
        <v>373</v>
      </c>
      <c r="B380" s="1602" t="s">
        <v>982</v>
      </c>
      <c r="C380" s="1597" t="s">
        <v>4263</v>
      </c>
      <c r="D380" s="1598" t="s">
        <v>4265</v>
      </c>
      <c r="E380" s="1603" t="s">
        <v>4954</v>
      </c>
      <c r="F380" s="1596" t="s">
        <v>4904</v>
      </c>
      <c r="G380" s="1661">
        <v>72</v>
      </c>
      <c r="H380" s="1603" t="s">
        <v>1858</v>
      </c>
      <c r="I380" s="1601" t="s">
        <v>985</v>
      </c>
      <c r="J380" s="1601">
        <v>40.04</v>
      </c>
      <c r="K380" s="1601">
        <v>40.049999999999997</v>
      </c>
      <c r="L380" s="1598" t="s">
        <v>5020</v>
      </c>
      <c r="M380" s="1604">
        <v>44635</v>
      </c>
    </row>
    <row r="381" spans="1:13" s="1353" customFormat="1" ht="43.2">
      <c r="A381" s="1601">
        <v>374</v>
      </c>
      <c r="B381" s="1602" t="s">
        <v>982</v>
      </c>
      <c r="C381" s="1597" t="s">
        <v>4263</v>
      </c>
      <c r="D381" s="1598" t="s">
        <v>4265</v>
      </c>
      <c r="E381" s="1603" t="s">
        <v>4954</v>
      </c>
      <c r="F381" s="1596" t="s">
        <v>4904</v>
      </c>
      <c r="G381" s="1661">
        <v>72</v>
      </c>
      <c r="H381" s="1603" t="s">
        <v>1858</v>
      </c>
      <c r="I381" s="1601" t="s">
        <v>958</v>
      </c>
      <c r="J381" s="1601">
        <v>40.04</v>
      </c>
      <c r="K381" s="1601">
        <v>40.049999999999997</v>
      </c>
      <c r="L381" s="1598" t="s">
        <v>5020</v>
      </c>
      <c r="M381" s="1604">
        <v>44635</v>
      </c>
    </row>
    <row r="382" spans="1:13" s="1353" customFormat="1" ht="43.2">
      <c r="A382" s="1601">
        <v>375</v>
      </c>
      <c r="B382" s="1602" t="s">
        <v>982</v>
      </c>
      <c r="C382" s="1597" t="s">
        <v>4263</v>
      </c>
      <c r="D382" s="1598" t="s">
        <v>4265</v>
      </c>
      <c r="E382" s="1603" t="s">
        <v>4954</v>
      </c>
      <c r="F382" s="1596" t="s">
        <v>4904</v>
      </c>
      <c r="G382" s="1661">
        <v>72</v>
      </c>
      <c r="H382" s="1603" t="s">
        <v>1858</v>
      </c>
      <c r="I382" s="1601" t="s">
        <v>970</v>
      </c>
      <c r="J382" s="1601">
        <v>40.04</v>
      </c>
      <c r="K382" s="1601">
        <v>40.049999999999997</v>
      </c>
      <c r="L382" s="1598" t="s">
        <v>5020</v>
      </c>
      <c r="M382" s="1604">
        <v>44635</v>
      </c>
    </row>
    <row r="383" spans="1:13" s="1353" customFormat="1" ht="43.2">
      <c r="A383" s="1601">
        <v>376</v>
      </c>
      <c r="B383" s="1602" t="s">
        <v>982</v>
      </c>
      <c r="C383" s="1597" t="s">
        <v>4343</v>
      </c>
      <c r="D383" s="1598" t="s">
        <v>4345</v>
      </c>
      <c r="E383" s="1603" t="s">
        <v>4954</v>
      </c>
      <c r="F383" s="1596" t="s">
        <v>4904</v>
      </c>
      <c r="G383" s="1661">
        <v>87</v>
      </c>
      <c r="H383" s="1603" t="s">
        <v>1861</v>
      </c>
      <c r="I383" s="1601" t="s">
        <v>968</v>
      </c>
      <c r="J383" s="1783"/>
      <c r="K383" s="1786">
        <v>98000</v>
      </c>
      <c r="L383" s="1598" t="s">
        <v>5020</v>
      </c>
      <c r="M383" s="1604">
        <v>44635</v>
      </c>
    </row>
    <row r="384" spans="1:13" s="1353" customFormat="1" ht="43.2">
      <c r="A384" s="1601">
        <v>377</v>
      </c>
      <c r="B384" s="1602" t="s">
        <v>982</v>
      </c>
      <c r="C384" s="1597" t="s">
        <v>4343</v>
      </c>
      <c r="D384" s="1598" t="s">
        <v>4345</v>
      </c>
      <c r="E384" s="1603" t="s">
        <v>4954</v>
      </c>
      <c r="F384" s="1596" t="s">
        <v>4904</v>
      </c>
      <c r="G384" s="1661">
        <v>87</v>
      </c>
      <c r="H384" s="1603" t="s">
        <v>1861</v>
      </c>
      <c r="I384" s="1601" t="s">
        <v>980</v>
      </c>
      <c r="J384" s="1783"/>
      <c r="K384" s="1786">
        <v>100800</v>
      </c>
      <c r="L384" s="1598" t="s">
        <v>5020</v>
      </c>
      <c r="M384" s="1604">
        <v>44635</v>
      </c>
    </row>
    <row r="385" spans="1:13" s="1353" customFormat="1" ht="43.2">
      <c r="A385" s="1601">
        <v>378</v>
      </c>
      <c r="B385" s="1602" t="s">
        <v>982</v>
      </c>
      <c r="C385" s="1597" t="s">
        <v>4343</v>
      </c>
      <c r="D385" s="1598" t="s">
        <v>4345</v>
      </c>
      <c r="E385" s="1603" t="s">
        <v>4954</v>
      </c>
      <c r="F385" s="1596" t="s">
        <v>4904</v>
      </c>
      <c r="G385" s="1661">
        <v>87</v>
      </c>
      <c r="H385" s="1603" t="s">
        <v>1861</v>
      </c>
      <c r="I385" s="1601" t="s">
        <v>985</v>
      </c>
      <c r="J385" s="1783"/>
      <c r="K385" s="1786">
        <v>102200</v>
      </c>
      <c r="L385" s="1598" t="s">
        <v>5020</v>
      </c>
      <c r="M385" s="1604">
        <v>44635</v>
      </c>
    </row>
    <row r="386" spans="1:13" s="1353" customFormat="1" ht="43.2">
      <c r="A386" s="1601">
        <v>379</v>
      </c>
      <c r="B386" s="1602" t="s">
        <v>982</v>
      </c>
      <c r="C386" s="1597" t="s">
        <v>4343</v>
      </c>
      <c r="D386" s="1598" t="s">
        <v>4345</v>
      </c>
      <c r="E386" s="1603" t="s">
        <v>4954</v>
      </c>
      <c r="F386" s="1596" t="s">
        <v>4904</v>
      </c>
      <c r="G386" s="1661">
        <v>87</v>
      </c>
      <c r="H386" s="1603" t="s">
        <v>1861</v>
      </c>
      <c r="I386" s="1601" t="s">
        <v>958</v>
      </c>
      <c r="J386" s="1783"/>
      <c r="K386" s="1786">
        <v>103600</v>
      </c>
      <c r="L386" s="1598" t="s">
        <v>5020</v>
      </c>
      <c r="M386" s="1604">
        <v>44635</v>
      </c>
    </row>
    <row r="387" spans="1:13" s="1353" customFormat="1" ht="43.2">
      <c r="A387" s="1601">
        <v>380</v>
      </c>
      <c r="B387" s="1602" t="s">
        <v>982</v>
      </c>
      <c r="C387" s="1597" t="s">
        <v>4343</v>
      </c>
      <c r="D387" s="1598" t="s">
        <v>4345</v>
      </c>
      <c r="E387" s="1603" t="s">
        <v>4954</v>
      </c>
      <c r="F387" s="1596" t="s">
        <v>4904</v>
      </c>
      <c r="G387" s="1661">
        <v>87</v>
      </c>
      <c r="H387" s="1603" t="s">
        <v>1861</v>
      </c>
      <c r="I387" s="1601" t="s">
        <v>970</v>
      </c>
      <c r="J387" s="1783"/>
      <c r="K387" s="1786">
        <v>105000</v>
      </c>
      <c r="L387" s="1598" t="s">
        <v>5020</v>
      </c>
      <c r="M387" s="1604">
        <v>44635</v>
      </c>
    </row>
    <row r="388" spans="1:13" s="1353" customFormat="1" ht="43.2">
      <c r="A388" s="1601">
        <v>381</v>
      </c>
      <c r="B388" s="1602" t="s">
        <v>982</v>
      </c>
      <c r="C388" s="1597" t="s">
        <v>4343</v>
      </c>
      <c r="D388" s="1598" t="s">
        <v>4345</v>
      </c>
      <c r="E388" s="1603" t="s">
        <v>4954</v>
      </c>
      <c r="F388" s="1596" t="s">
        <v>4904</v>
      </c>
      <c r="G388" s="1661">
        <v>17</v>
      </c>
      <c r="H388" s="1603" t="s">
        <v>943</v>
      </c>
      <c r="I388" s="1601" t="s">
        <v>1037</v>
      </c>
      <c r="J388" s="1783"/>
      <c r="K388" s="1784" t="s">
        <v>964</v>
      </c>
      <c r="L388" s="1598" t="s">
        <v>5020</v>
      </c>
      <c r="M388" s="1604">
        <v>44635</v>
      </c>
    </row>
    <row r="389" spans="1:13" s="1353" customFormat="1" ht="28.8">
      <c r="A389" s="1601">
        <v>382</v>
      </c>
      <c r="B389" s="1602" t="s">
        <v>1015</v>
      </c>
      <c r="C389" s="1597" t="s">
        <v>4724</v>
      </c>
      <c r="D389" s="1598" t="s">
        <v>4725</v>
      </c>
      <c r="E389" s="1603" t="s">
        <v>4903</v>
      </c>
      <c r="F389" s="1596" t="s">
        <v>4904</v>
      </c>
      <c r="G389" s="1601">
        <v>22</v>
      </c>
      <c r="H389" s="1603" t="s">
        <v>132</v>
      </c>
      <c r="I389" s="1601" t="s">
        <v>1037</v>
      </c>
      <c r="J389" s="1620">
        <v>1</v>
      </c>
      <c r="K389" s="1601">
        <v>3</v>
      </c>
      <c r="L389" s="1598" t="s">
        <v>5050</v>
      </c>
      <c r="M389" s="1604">
        <v>44636</v>
      </c>
    </row>
    <row r="390" spans="1:13" s="1353" customFormat="1" ht="43.2">
      <c r="A390" s="1601">
        <v>383</v>
      </c>
      <c r="B390" s="1602" t="s">
        <v>972</v>
      </c>
      <c r="C390" s="1597" t="s">
        <v>2138</v>
      </c>
      <c r="D390" s="1598" t="s">
        <v>2139</v>
      </c>
      <c r="E390" s="1603" t="s">
        <v>4954</v>
      </c>
      <c r="F390" s="1596" t="s">
        <v>4904</v>
      </c>
      <c r="G390" s="1661">
        <v>41</v>
      </c>
      <c r="H390" s="1603" t="s">
        <v>4915</v>
      </c>
      <c r="I390" s="1601" t="s">
        <v>968</v>
      </c>
      <c r="J390" s="1784">
        <v>0</v>
      </c>
      <c r="K390" s="1784"/>
      <c r="L390" s="1598" t="s">
        <v>5051</v>
      </c>
      <c r="M390" s="1604">
        <v>44636</v>
      </c>
    </row>
    <row r="391" spans="1:13" s="1353" customFormat="1" ht="43.2">
      <c r="A391" s="1601">
        <v>384</v>
      </c>
      <c r="B391" s="1602" t="s">
        <v>972</v>
      </c>
      <c r="C391" s="1597" t="s">
        <v>2138</v>
      </c>
      <c r="D391" s="1598" t="s">
        <v>2139</v>
      </c>
      <c r="E391" s="1603" t="s">
        <v>4954</v>
      </c>
      <c r="F391" s="1596" t="s">
        <v>4904</v>
      </c>
      <c r="G391" s="1661">
        <v>41</v>
      </c>
      <c r="H391" s="1603" t="s">
        <v>4915</v>
      </c>
      <c r="I391" s="1601" t="s">
        <v>980</v>
      </c>
      <c r="J391" s="1784">
        <v>0</v>
      </c>
      <c r="K391" s="1784"/>
      <c r="L391" s="1598" t="s">
        <v>5051</v>
      </c>
      <c r="M391" s="1604">
        <v>44636</v>
      </c>
    </row>
    <row r="392" spans="1:13" s="1353" customFormat="1" ht="43.2">
      <c r="A392" s="1601">
        <v>385</v>
      </c>
      <c r="B392" s="1602" t="s">
        <v>972</v>
      </c>
      <c r="C392" s="1597" t="s">
        <v>2138</v>
      </c>
      <c r="D392" s="1598" t="s">
        <v>2139</v>
      </c>
      <c r="E392" s="1603" t="s">
        <v>4954</v>
      </c>
      <c r="F392" s="1596" t="s">
        <v>4904</v>
      </c>
      <c r="G392" s="1661">
        <v>41</v>
      </c>
      <c r="H392" s="1603" t="s">
        <v>4915</v>
      </c>
      <c r="I392" s="1601" t="s">
        <v>985</v>
      </c>
      <c r="J392" s="1784">
        <v>0</v>
      </c>
      <c r="K392" s="1784"/>
      <c r="L392" s="1598" t="s">
        <v>5051</v>
      </c>
      <c r="M392" s="1604">
        <v>44636</v>
      </c>
    </row>
    <row r="393" spans="1:13" s="1353" customFormat="1" ht="43.2">
      <c r="A393" s="1601">
        <v>386</v>
      </c>
      <c r="B393" s="1602" t="s">
        <v>972</v>
      </c>
      <c r="C393" s="1597" t="s">
        <v>2138</v>
      </c>
      <c r="D393" s="1598" t="s">
        <v>2139</v>
      </c>
      <c r="E393" s="1603" t="s">
        <v>4954</v>
      </c>
      <c r="F393" s="1596" t="s">
        <v>4904</v>
      </c>
      <c r="G393" s="1661">
        <v>41</v>
      </c>
      <c r="H393" s="1603" t="s">
        <v>4915</v>
      </c>
      <c r="I393" s="1601" t="s">
        <v>958</v>
      </c>
      <c r="J393" s="1784">
        <v>0</v>
      </c>
      <c r="K393" s="1784"/>
      <c r="L393" s="1598" t="s">
        <v>5051</v>
      </c>
      <c r="M393" s="1604">
        <v>44636</v>
      </c>
    </row>
    <row r="394" spans="1:13" s="1353" customFormat="1" ht="43.2">
      <c r="A394" s="1601">
        <v>387</v>
      </c>
      <c r="B394" s="1602" t="s">
        <v>972</v>
      </c>
      <c r="C394" s="1597" t="s">
        <v>2138</v>
      </c>
      <c r="D394" s="1598" t="s">
        <v>2139</v>
      </c>
      <c r="E394" s="1603" t="s">
        <v>4954</v>
      </c>
      <c r="F394" s="1596" t="s">
        <v>4904</v>
      </c>
      <c r="G394" s="1661">
        <v>41</v>
      </c>
      <c r="H394" s="1603" t="s">
        <v>4915</v>
      </c>
      <c r="I394" s="1601" t="s">
        <v>970</v>
      </c>
      <c r="J394" s="1784">
        <v>0</v>
      </c>
      <c r="K394" s="1784"/>
      <c r="L394" s="1598" t="s">
        <v>5051</v>
      </c>
      <c r="M394" s="1604">
        <v>44636</v>
      </c>
    </row>
    <row r="395" spans="1:13" s="1353" customFormat="1" ht="43.2">
      <c r="A395" s="1601">
        <v>388</v>
      </c>
      <c r="B395" s="1602" t="s">
        <v>972</v>
      </c>
      <c r="C395" s="1597" t="s">
        <v>2138</v>
      </c>
      <c r="D395" s="1598" t="s">
        <v>2139</v>
      </c>
      <c r="E395" s="1603" t="s">
        <v>4954</v>
      </c>
      <c r="F395" s="1596" t="s">
        <v>4904</v>
      </c>
      <c r="G395" s="1661">
        <v>72</v>
      </c>
      <c r="H395" s="1603" t="s">
        <v>1858</v>
      </c>
      <c r="I395" s="1601" t="s">
        <v>968</v>
      </c>
      <c r="J395" s="1784">
        <v>648</v>
      </c>
      <c r="K395" s="1784"/>
      <c r="L395" s="1598" t="s">
        <v>5051</v>
      </c>
      <c r="M395" s="1604">
        <v>44636</v>
      </c>
    </row>
    <row r="396" spans="1:13" s="1353" customFormat="1" ht="43.2">
      <c r="A396" s="1601">
        <v>389</v>
      </c>
      <c r="B396" s="1602" t="s">
        <v>972</v>
      </c>
      <c r="C396" s="1597" t="s">
        <v>2138</v>
      </c>
      <c r="D396" s="1598" t="s">
        <v>2139</v>
      </c>
      <c r="E396" s="1603" t="s">
        <v>4954</v>
      </c>
      <c r="F396" s="1596" t="s">
        <v>4904</v>
      </c>
      <c r="G396" s="1661">
        <v>72</v>
      </c>
      <c r="H396" s="1603" t="s">
        <v>1858</v>
      </c>
      <c r="I396" s="1601" t="s">
        <v>980</v>
      </c>
      <c r="J396" s="1784">
        <v>648</v>
      </c>
      <c r="K396" s="1784"/>
      <c r="L396" s="1598" t="s">
        <v>5051</v>
      </c>
      <c r="M396" s="1604">
        <v>44636</v>
      </c>
    </row>
    <row r="397" spans="1:13" s="1353" customFormat="1" ht="43.2">
      <c r="A397" s="1601">
        <v>390</v>
      </c>
      <c r="B397" s="1602" t="s">
        <v>972</v>
      </c>
      <c r="C397" s="1597" t="s">
        <v>2138</v>
      </c>
      <c r="D397" s="1598" t="s">
        <v>2139</v>
      </c>
      <c r="E397" s="1603" t="s">
        <v>4954</v>
      </c>
      <c r="F397" s="1596" t="s">
        <v>4904</v>
      </c>
      <c r="G397" s="1661">
        <v>72</v>
      </c>
      <c r="H397" s="1603" t="s">
        <v>1858</v>
      </c>
      <c r="I397" s="1601" t="s">
        <v>985</v>
      </c>
      <c r="J397" s="1784">
        <v>648</v>
      </c>
      <c r="K397" s="1784"/>
      <c r="L397" s="1598" t="s">
        <v>5051</v>
      </c>
      <c r="M397" s="1604">
        <v>44636</v>
      </c>
    </row>
    <row r="398" spans="1:13" s="1353" customFormat="1" ht="43.2">
      <c r="A398" s="1601">
        <v>391</v>
      </c>
      <c r="B398" s="1602" t="s">
        <v>972</v>
      </c>
      <c r="C398" s="1597" t="s">
        <v>2138</v>
      </c>
      <c r="D398" s="1598" t="s">
        <v>2139</v>
      </c>
      <c r="E398" s="1603" t="s">
        <v>4954</v>
      </c>
      <c r="F398" s="1596" t="s">
        <v>4904</v>
      </c>
      <c r="G398" s="1661">
        <v>72</v>
      </c>
      <c r="H398" s="1603" t="s">
        <v>1858</v>
      </c>
      <c r="I398" s="1601" t="s">
        <v>958</v>
      </c>
      <c r="J398" s="1784">
        <v>648</v>
      </c>
      <c r="K398" s="1784"/>
      <c r="L398" s="1598" t="s">
        <v>5051</v>
      </c>
      <c r="M398" s="1604">
        <v>44636</v>
      </c>
    </row>
    <row r="399" spans="1:13" s="1353" customFormat="1" ht="43.2">
      <c r="A399" s="1601">
        <v>392</v>
      </c>
      <c r="B399" s="1602" t="s">
        <v>972</v>
      </c>
      <c r="C399" s="1597" t="s">
        <v>2138</v>
      </c>
      <c r="D399" s="1598" t="s">
        <v>2139</v>
      </c>
      <c r="E399" s="1603" t="s">
        <v>4954</v>
      </c>
      <c r="F399" s="1596" t="s">
        <v>4904</v>
      </c>
      <c r="G399" s="1661">
        <v>72</v>
      </c>
      <c r="H399" s="1603" t="s">
        <v>1858</v>
      </c>
      <c r="I399" s="1601" t="s">
        <v>970</v>
      </c>
      <c r="J399" s="1784">
        <v>648</v>
      </c>
      <c r="K399" s="1784"/>
      <c r="L399" s="1598" t="s">
        <v>5051</v>
      </c>
      <c r="M399" s="1604">
        <v>44636</v>
      </c>
    </row>
    <row r="400" spans="1:13" s="1353" customFormat="1" ht="43.2">
      <c r="A400" s="1601">
        <v>393</v>
      </c>
      <c r="B400" s="1602" t="s">
        <v>972</v>
      </c>
      <c r="C400" s="1597" t="s">
        <v>2138</v>
      </c>
      <c r="D400" s="1598" t="s">
        <v>2139</v>
      </c>
      <c r="E400" s="1603" t="s">
        <v>4954</v>
      </c>
      <c r="F400" s="1596" t="s">
        <v>4904</v>
      </c>
      <c r="G400" s="1661">
        <v>87</v>
      </c>
      <c r="H400" s="1603" t="s">
        <v>1861</v>
      </c>
      <c r="I400" s="1601" t="s">
        <v>968</v>
      </c>
      <c r="J400" s="1784">
        <v>-1848</v>
      </c>
      <c r="K400" s="1784"/>
      <c r="L400" s="1598" t="s">
        <v>5051</v>
      </c>
      <c r="M400" s="1604">
        <v>44636</v>
      </c>
    </row>
    <row r="401" spans="1:13" s="1353" customFormat="1" ht="43.2">
      <c r="A401" s="1601">
        <v>394</v>
      </c>
      <c r="B401" s="1602" t="s">
        <v>972</v>
      </c>
      <c r="C401" s="1597" t="s">
        <v>2138</v>
      </c>
      <c r="D401" s="1598" t="s">
        <v>2139</v>
      </c>
      <c r="E401" s="1603" t="s">
        <v>4954</v>
      </c>
      <c r="F401" s="1596" t="s">
        <v>4904</v>
      </c>
      <c r="G401" s="1661">
        <v>87</v>
      </c>
      <c r="H401" s="1603" t="s">
        <v>1861</v>
      </c>
      <c r="I401" s="1601" t="s">
        <v>980</v>
      </c>
      <c r="J401" s="1784">
        <v>-1848</v>
      </c>
      <c r="K401" s="1784"/>
      <c r="L401" s="1598" t="s">
        <v>5051</v>
      </c>
      <c r="M401" s="1604">
        <v>44636</v>
      </c>
    </row>
    <row r="402" spans="1:13" s="1353" customFormat="1" ht="43.2">
      <c r="A402" s="1601">
        <v>395</v>
      </c>
      <c r="B402" s="1602" t="s">
        <v>972</v>
      </c>
      <c r="C402" s="1597" t="s">
        <v>2138</v>
      </c>
      <c r="D402" s="1598" t="s">
        <v>2139</v>
      </c>
      <c r="E402" s="1603" t="s">
        <v>4954</v>
      </c>
      <c r="F402" s="1596" t="s">
        <v>4904</v>
      </c>
      <c r="G402" s="1661">
        <v>87</v>
      </c>
      <c r="H402" s="1603" t="s">
        <v>1861</v>
      </c>
      <c r="I402" s="1601" t="s">
        <v>985</v>
      </c>
      <c r="J402" s="1784">
        <v>-1848</v>
      </c>
      <c r="K402" s="1784"/>
      <c r="L402" s="1598" t="s">
        <v>5051</v>
      </c>
      <c r="M402" s="1604">
        <v>44636</v>
      </c>
    </row>
    <row r="403" spans="1:13" s="1353" customFormat="1" ht="43.2">
      <c r="A403" s="1601">
        <v>396</v>
      </c>
      <c r="B403" s="1602" t="s">
        <v>972</v>
      </c>
      <c r="C403" s="1597" t="s">
        <v>2138</v>
      </c>
      <c r="D403" s="1598" t="s">
        <v>2139</v>
      </c>
      <c r="E403" s="1603" t="s">
        <v>4954</v>
      </c>
      <c r="F403" s="1596" t="s">
        <v>4904</v>
      </c>
      <c r="G403" s="1661">
        <v>87</v>
      </c>
      <c r="H403" s="1603" t="s">
        <v>1861</v>
      </c>
      <c r="I403" s="1601" t="s">
        <v>958</v>
      </c>
      <c r="J403" s="1784">
        <v>-1848</v>
      </c>
      <c r="K403" s="1784"/>
      <c r="L403" s="1598" t="s">
        <v>5051</v>
      </c>
      <c r="M403" s="1604">
        <v>44636</v>
      </c>
    </row>
    <row r="404" spans="1:13" s="1353" customFormat="1" ht="43.2">
      <c r="A404" s="1601">
        <v>397</v>
      </c>
      <c r="B404" s="1602" t="s">
        <v>972</v>
      </c>
      <c r="C404" s="1597" t="s">
        <v>2138</v>
      </c>
      <c r="D404" s="1598" t="s">
        <v>2139</v>
      </c>
      <c r="E404" s="1603" t="s">
        <v>4954</v>
      </c>
      <c r="F404" s="1596" t="s">
        <v>4904</v>
      </c>
      <c r="G404" s="1661">
        <v>87</v>
      </c>
      <c r="H404" s="1603" t="s">
        <v>1861</v>
      </c>
      <c r="I404" s="1601" t="s">
        <v>970</v>
      </c>
      <c r="J404" s="1784">
        <v>-1848</v>
      </c>
      <c r="K404" s="1784"/>
      <c r="L404" s="1598" t="s">
        <v>5051</v>
      </c>
      <c r="M404" s="1604">
        <v>44636</v>
      </c>
    </row>
    <row r="405" spans="1:13" s="1353" customFormat="1" ht="43.2">
      <c r="A405" s="1601">
        <v>398</v>
      </c>
      <c r="B405" s="1602" t="s">
        <v>972</v>
      </c>
      <c r="C405" s="1597" t="s">
        <v>2138</v>
      </c>
      <c r="D405" s="1598" t="s">
        <v>2139</v>
      </c>
      <c r="E405" s="1603" t="s">
        <v>4954</v>
      </c>
      <c r="F405" s="1596" t="s">
        <v>4904</v>
      </c>
      <c r="G405" s="1661">
        <v>97</v>
      </c>
      <c r="H405" s="1603" t="s">
        <v>1907</v>
      </c>
      <c r="I405" s="1601" t="s">
        <v>874</v>
      </c>
      <c r="J405" s="1784">
        <v>-1.1980000000000001E-3</v>
      </c>
      <c r="K405" s="1784"/>
      <c r="L405" s="1598" t="s">
        <v>5051</v>
      </c>
      <c r="M405" s="1604">
        <v>44636</v>
      </c>
    </row>
    <row r="406" spans="1:13" s="1353" customFormat="1" ht="43.2">
      <c r="A406" s="1601">
        <v>399</v>
      </c>
      <c r="B406" s="1602" t="s">
        <v>972</v>
      </c>
      <c r="C406" s="1597" t="s">
        <v>2138</v>
      </c>
      <c r="D406" s="1598" t="s">
        <v>2139</v>
      </c>
      <c r="E406" s="1603" t="s">
        <v>4954</v>
      </c>
      <c r="F406" s="1596" t="s">
        <v>4904</v>
      </c>
      <c r="G406" s="1661">
        <v>101</v>
      </c>
      <c r="H406" s="1603" t="s">
        <v>1911</v>
      </c>
      <c r="I406" s="1601" t="s">
        <v>874</v>
      </c>
      <c r="J406" s="1784">
        <v>4.2000000000000002E-4</v>
      </c>
      <c r="K406" s="1784"/>
      <c r="L406" s="1598" t="s">
        <v>5051</v>
      </c>
      <c r="M406" s="1604">
        <v>44636</v>
      </c>
    </row>
    <row r="407" spans="1:13" s="1353" customFormat="1" ht="43.2">
      <c r="A407" s="1601">
        <v>400</v>
      </c>
      <c r="B407" s="1602" t="s">
        <v>1036</v>
      </c>
      <c r="C407" s="1597" t="s">
        <v>3358</v>
      </c>
      <c r="D407" s="1598" t="s">
        <v>5052</v>
      </c>
      <c r="E407" s="1603" t="s">
        <v>4954</v>
      </c>
      <c r="F407" s="1596" t="s">
        <v>4904</v>
      </c>
      <c r="G407" s="1661">
        <v>23</v>
      </c>
      <c r="H407" s="1603" t="s">
        <v>1090</v>
      </c>
      <c r="I407" s="1601" t="s">
        <v>874</v>
      </c>
      <c r="J407" s="1601" t="s">
        <v>966</v>
      </c>
      <c r="K407" s="1601" t="s">
        <v>978</v>
      </c>
      <c r="L407" s="1598" t="s">
        <v>5053</v>
      </c>
      <c r="M407" s="1604">
        <v>44649</v>
      </c>
    </row>
    <row r="408" spans="1:13" s="1353" customFormat="1" ht="57.6">
      <c r="A408" s="1868">
        <f>A407+1</f>
        <v>401</v>
      </c>
      <c r="B408" s="1869" t="s">
        <v>990</v>
      </c>
      <c r="C408" s="1869" t="s">
        <v>1136</v>
      </c>
      <c r="D408" s="1870" t="s">
        <v>1135</v>
      </c>
      <c r="E408" s="1870" t="s">
        <v>5054</v>
      </c>
      <c r="F408" s="1868" t="s">
        <v>4904</v>
      </c>
      <c r="G408" s="1871">
        <v>23</v>
      </c>
      <c r="H408" s="1870" t="s">
        <v>1090</v>
      </c>
      <c r="I408" s="1868" t="s">
        <v>874</v>
      </c>
      <c r="J408" s="1868" t="s">
        <v>978</v>
      </c>
      <c r="K408" s="1868" t="s">
        <v>966</v>
      </c>
      <c r="L408" s="1870" t="s">
        <v>5055</v>
      </c>
      <c r="M408" s="1872">
        <v>44900</v>
      </c>
    </row>
    <row r="409" spans="1:13" s="1353" customFormat="1" ht="57.6">
      <c r="A409" s="1868">
        <f t="shared" ref="A409:A425" si="0">A408+1</f>
        <v>402</v>
      </c>
      <c r="B409" s="1869" t="s">
        <v>993</v>
      </c>
      <c r="C409" s="1869" t="s">
        <v>3558</v>
      </c>
      <c r="D409" s="1870" t="s">
        <v>3560</v>
      </c>
      <c r="E409" s="1870" t="s">
        <v>5054</v>
      </c>
      <c r="F409" s="1868" t="s">
        <v>4904</v>
      </c>
      <c r="G409" s="1871">
        <v>62</v>
      </c>
      <c r="H409" s="1870" t="s">
        <v>956</v>
      </c>
      <c r="I409" s="1871" t="s">
        <v>5056</v>
      </c>
      <c r="J409" s="1868" t="s">
        <v>961</v>
      </c>
      <c r="K409" s="1868" t="s">
        <v>4906</v>
      </c>
      <c r="L409" s="1870" t="s">
        <v>5057</v>
      </c>
      <c r="M409" s="1872">
        <v>44900</v>
      </c>
    </row>
    <row r="410" spans="1:13" s="1353" customFormat="1" ht="86.4">
      <c r="A410" s="1868">
        <f t="shared" si="0"/>
        <v>403</v>
      </c>
      <c r="B410" s="1869" t="s">
        <v>5028</v>
      </c>
      <c r="C410" s="1869" t="s">
        <v>2367</v>
      </c>
      <c r="D410" s="1870" t="s">
        <v>2369</v>
      </c>
      <c r="E410" s="1884" t="s">
        <v>5058</v>
      </c>
      <c r="F410" s="1868" t="s">
        <v>4904</v>
      </c>
      <c r="G410" s="1871">
        <v>62</v>
      </c>
      <c r="H410" s="1870" t="s">
        <v>956</v>
      </c>
      <c r="I410" s="1871" t="s">
        <v>5056</v>
      </c>
      <c r="J410" s="1868" t="s">
        <v>4906</v>
      </c>
      <c r="K410" s="1868" t="s">
        <v>961</v>
      </c>
      <c r="L410" s="1870" t="s">
        <v>5059</v>
      </c>
      <c r="M410" s="1872">
        <v>44900</v>
      </c>
    </row>
    <row r="411" spans="1:13" s="1353" customFormat="1" ht="86.4">
      <c r="A411" s="1882">
        <f t="shared" si="0"/>
        <v>404</v>
      </c>
      <c r="B411" s="1883" t="s">
        <v>990</v>
      </c>
      <c r="C411" s="1869" t="s">
        <v>1136</v>
      </c>
      <c r="D411" s="1870" t="s">
        <v>1135</v>
      </c>
      <c r="E411" s="1884" t="s">
        <v>5058</v>
      </c>
      <c r="F411" s="1868" t="s">
        <v>4904</v>
      </c>
      <c r="G411" s="1871">
        <v>62</v>
      </c>
      <c r="H411" s="1870" t="s">
        <v>956</v>
      </c>
      <c r="I411" s="1871" t="s">
        <v>5056</v>
      </c>
      <c r="J411" s="1868" t="s">
        <v>4906</v>
      </c>
      <c r="K411" s="1868" t="s">
        <v>961</v>
      </c>
      <c r="L411" s="1870" t="s">
        <v>5060</v>
      </c>
      <c r="M411" s="1872">
        <v>44914</v>
      </c>
    </row>
    <row r="412" spans="1:13" s="1353" customFormat="1" ht="86.4">
      <c r="A412" s="1882">
        <f t="shared" si="0"/>
        <v>405</v>
      </c>
      <c r="B412" s="1883" t="s">
        <v>5029</v>
      </c>
      <c r="C412" s="1883" t="s">
        <v>2930</v>
      </c>
      <c r="D412" s="1884" t="s">
        <v>2932</v>
      </c>
      <c r="E412" s="1884" t="s">
        <v>5058</v>
      </c>
      <c r="F412" s="1882" t="s">
        <v>4904</v>
      </c>
      <c r="G412" s="1885">
        <v>62</v>
      </c>
      <c r="H412" s="1884" t="s">
        <v>956</v>
      </c>
      <c r="I412" s="1885" t="s">
        <v>5056</v>
      </c>
      <c r="J412" s="1882" t="s">
        <v>4906</v>
      </c>
      <c r="K412" s="1882" t="s">
        <v>961</v>
      </c>
      <c r="L412" s="1884" t="s">
        <v>5061</v>
      </c>
      <c r="M412" s="1886">
        <v>44914</v>
      </c>
    </row>
    <row r="413" spans="1:13" s="1353" customFormat="1" ht="86.4">
      <c r="A413" s="1882">
        <f t="shared" si="0"/>
        <v>406</v>
      </c>
      <c r="B413" s="1883" t="s">
        <v>996</v>
      </c>
      <c r="C413" s="1883" t="s">
        <v>3131</v>
      </c>
      <c r="D413" s="1884" t="s">
        <v>3134</v>
      </c>
      <c r="E413" s="1884" t="s">
        <v>5058</v>
      </c>
      <c r="F413" s="1882" t="s">
        <v>4904</v>
      </c>
      <c r="G413" s="1885">
        <v>62</v>
      </c>
      <c r="H413" s="1884" t="s">
        <v>956</v>
      </c>
      <c r="I413" s="1885" t="s">
        <v>5056</v>
      </c>
      <c r="J413" s="1882" t="s">
        <v>4906</v>
      </c>
      <c r="K413" s="1882" t="s">
        <v>961</v>
      </c>
      <c r="L413" s="1884" t="s">
        <v>5062</v>
      </c>
      <c r="M413" s="1886">
        <v>44914</v>
      </c>
    </row>
    <row r="414" spans="1:13" s="1353" customFormat="1" ht="86.4">
      <c r="A414" s="1882">
        <f t="shared" si="0"/>
        <v>407</v>
      </c>
      <c r="B414" s="1883" t="s">
        <v>996</v>
      </c>
      <c r="C414" s="1883" t="s">
        <v>1149</v>
      </c>
      <c r="D414" s="1884" t="s">
        <v>1148</v>
      </c>
      <c r="E414" s="1884" t="s">
        <v>5058</v>
      </c>
      <c r="F414" s="1882" t="s">
        <v>4904</v>
      </c>
      <c r="G414" s="1885">
        <v>62</v>
      </c>
      <c r="H414" s="1884" t="s">
        <v>956</v>
      </c>
      <c r="I414" s="1885" t="s">
        <v>5056</v>
      </c>
      <c r="J414" s="1882" t="s">
        <v>4906</v>
      </c>
      <c r="K414" s="1882" t="s">
        <v>961</v>
      </c>
      <c r="L414" s="1870" t="s">
        <v>5063</v>
      </c>
      <c r="M414" s="1886">
        <v>44914</v>
      </c>
    </row>
    <row r="415" spans="1:13" s="1353" customFormat="1" ht="86.4">
      <c r="A415" s="1882">
        <f t="shared" si="0"/>
        <v>408</v>
      </c>
      <c r="B415" s="1883" t="s">
        <v>1036</v>
      </c>
      <c r="C415" s="1883" t="s">
        <v>3405</v>
      </c>
      <c r="D415" s="1884" t="s">
        <v>3407</v>
      </c>
      <c r="E415" s="1884" t="s">
        <v>5058</v>
      </c>
      <c r="F415" s="1882" t="s">
        <v>4904</v>
      </c>
      <c r="G415" s="1885">
        <v>62</v>
      </c>
      <c r="H415" s="1884" t="s">
        <v>956</v>
      </c>
      <c r="I415" s="1885" t="s">
        <v>5056</v>
      </c>
      <c r="J415" s="1882" t="s">
        <v>4906</v>
      </c>
      <c r="K415" s="1882" t="s">
        <v>961</v>
      </c>
      <c r="L415" s="1884" t="s">
        <v>5064</v>
      </c>
      <c r="M415" s="1886">
        <v>44914</v>
      </c>
    </row>
    <row r="416" spans="1:13" s="1353" customFormat="1" ht="86.4">
      <c r="A416" s="1882">
        <f t="shared" si="0"/>
        <v>409</v>
      </c>
      <c r="B416" s="1883" t="s">
        <v>993</v>
      </c>
      <c r="C416" s="1883" t="s">
        <v>3562</v>
      </c>
      <c r="D416" s="1884" t="s">
        <v>3564</v>
      </c>
      <c r="E416" s="1884" t="s">
        <v>5058</v>
      </c>
      <c r="F416" s="1882" t="s">
        <v>4904</v>
      </c>
      <c r="G416" s="1885">
        <v>62</v>
      </c>
      <c r="H416" s="1884" t="s">
        <v>956</v>
      </c>
      <c r="I416" s="1885" t="s">
        <v>5056</v>
      </c>
      <c r="J416" s="1882" t="s">
        <v>4906</v>
      </c>
      <c r="K416" s="1882" t="s">
        <v>961</v>
      </c>
      <c r="L416" s="1884" t="s">
        <v>5065</v>
      </c>
      <c r="M416" s="1886">
        <v>44914</v>
      </c>
    </row>
    <row r="417" spans="1:13" s="1353" customFormat="1" ht="86.4">
      <c r="A417" s="1882">
        <f t="shared" si="0"/>
        <v>410</v>
      </c>
      <c r="B417" s="1883" t="s">
        <v>1003</v>
      </c>
      <c r="C417" s="1883" t="s">
        <v>3815</v>
      </c>
      <c r="D417" s="1884" t="s">
        <v>3817</v>
      </c>
      <c r="E417" s="1884" t="s">
        <v>5058</v>
      </c>
      <c r="F417" s="1882" t="s">
        <v>4904</v>
      </c>
      <c r="G417" s="1885">
        <v>62</v>
      </c>
      <c r="H417" s="1884" t="s">
        <v>956</v>
      </c>
      <c r="I417" s="1885" t="s">
        <v>5056</v>
      </c>
      <c r="J417" s="1882" t="s">
        <v>4906</v>
      </c>
      <c r="K417" s="1882" t="s">
        <v>961</v>
      </c>
      <c r="L417" s="1884" t="s">
        <v>5066</v>
      </c>
      <c r="M417" s="1886">
        <v>44914</v>
      </c>
    </row>
    <row r="418" spans="1:13" s="1353" customFormat="1" ht="86.4">
      <c r="A418" s="1882">
        <f t="shared" si="0"/>
        <v>411</v>
      </c>
      <c r="B418" s="1883" t="s">
        <v>1008</v>
      </c>
      <c r="C418" s="1883" t="s">
        <v>1155</v>
      </c>
      <c r="D418" s="1884" t="s">
        <v>1154</v>
      </c>
      <c r="E418" s="1884" t="s">
        <v>5058</v>
      </c>
      <c r="F418" s="1882" t="s">
        <v>4904</v>
      </c>
      <c r="G418" s="1885">
        <v>62</v>
      </c>
      <c r="H418" s="1884" t="s">
        <v>956</v>
      </c>
      <c r="I418" s="1885" t="s">
        <v>5056</v>
      </c>
      <c r="J418" s="1882" t="s">
        <v>4906</v>
      </c>
      <c r="K418" s="1882" t="s">
        <v>961</v>
      </c>
      <c r="L418" s="1884" t="s">
        <v>5067</v>
      </c>
      <c r="M418" s="1886">
        <v>44914</v>
      </c>
    </row>
    <row r="419" spans="1:13" s="1353" customFormat="1" ht="86.4">
      <c r="A419" s="1882">
        <f t="shared" si="0"/>
        <v>412</v>
      </c>
      <c r="B419" s="1883" t="s">
        <v>1008</v>
      </c>
      <c r="C419" s="1883" t="s">
        <v>4061</v>
      </c>
      <c r="D419" s="1884" t="s">
        <v>4063</v>
      </c>
      <c r="E419" s="1884" t="s">
        <v>5058</v>
      </c>
      <c r="F419" s="1882" t="s">
        <v>4904</v>
      </c>
      <c r="G419" s="1885">
        <v>62</v>
      </c>
      <c r="H419" s="1884" t="s">
        <v>956</v>
      </c>
      <c r="I419" s="1885" t="s">
        <v>5056</v>
      </c>
      <c r="J419" s="1882" t="s">
        <v>4906</v>
      </c>
      <c r="K419" s="1882" t="s">
        <v>961</v>
      </c>
      <c r="L419" s="1884" t="s">
        <v>5068</v>
      </c>
      <c r="M419" s="1886">
        <v>44914</v>
      </c>
    </row>
    <row r="420" spans="1:13" s="1353" customFormat="1" ht="86.4">
      <c r="A420" s="1882">
        <f t="shared" si="0"/>
        <v>413</v>
      </c>
      <c r="B420" s="1883" t="s">
        <v>1008</v>
      </c>
      <c r="C420" s="1883" t="s">
        <v>1161</v>
      </c>
      <c r="D420" s="1884" t="s">
        <v>1160</v>
      </c>
      <c r="E420" s="1884" t="s">
        <v>5058</v>
      </c>
      <c r="F420" s="1882" t="s">
        <v>4904</v>
      </c>
      <c r="G420" s="1885">
        <v>62</v>
      </c>
      <c r="H420" s="1884" t="s">
        <v>956</v>
      </c>
      <c r="I420" s="1885" t="s">
        <v>5056</v>
      </c>
      <c r="J420" s="1882" t="s">
        <v>4906</v>
      </c>
      <c r="K420" s="1882" t="s">
        <v>961</v>
      </c>
      <c r="L420" s="1884" t="s">
        <v>5069</v>
      </c>
      <c r="M420" s="1886">
        <v>44914</v>
      </c>
    </row>
    <row r="421" spans="1:13" s="1353" customFormat="1" ht="86.4">
      <c r="A421" s="1882">
        <f t="shared" si="0"/>
        <v>414</v>
      </c>
      <c r="B421" s="1883" t="s">
        <v>1008</v>
      </c>
      <c r="C421" s="1883" t="s">
        <v>4066</v>
      </c>
      <c r="D421" s="1884" t="s">
        <v>4068</v>
      </c>
      <c r="E421" s="1884" t="s">
        <v>5058</v>
      </c>
      <c r="F421" s="1882" t="s">
        <v>4904</v>
      </c>
      <c r="G421" s="1885">
        <v>62</v>
      </c>
      <c r="H421" s="1884" t="s">
        <v>956</v>
      </c>
      <c r="I421" s="1885" t="s">
        <v>5056</v>
      </c>
      <c r="J421" s="1882" t="s">
        <v>4906</v>
      </c>
      <c r="K421" s="1882" t="s">
        <v>961</v>
      </c>
      <c r="L421" s="1884" t="s">
        <v>5068</v>
      </c>
      <c r="M421" s="1886">
        <v>44914</v>
      </c>
    </row>
    <row r="422" spans="1:13" s="1353" customFormat="1" ht="86.4">
      <c r="A422" s="1882">
        <f t="shared" si="0"/>
        <v>415</v>
      </c>
      <c r="B422" s="1883" t="s">
        <v>982</v>
      </c>
      <c r="C422" s="1883" t="s">
        <v>5070</v>
      </c>
      <c r="D422" s="1884" t="s">
        <v>4367</v>
      </c>
      <c r="E422" s="1884" t="s">
        <v>5058</v>
      </c>
      <c r="F422" s="1882" t="s">
        <v>4904</v>
      </c>
      <c r="G422" s="1885">
        <v>62</v>
      </c>
      <c r="H422" s="1884" t="s">
        <v>956</v>
      </c>
      <c r="I422" s="1885" t="s">
        <v>5056</v>
      </c>
      <c r="J422" s="1882" t="s">
        <v>4906</v>
      </c>
      <c r="K422" s="1882" t="s">
        <v>961</v>
      </c>
      <c r="L422" s="1884" t="s">
        <v>5071</v>
      </c>
      <c r="M422" s="1886">
        <v>44914</v>
      </c>
    </row>
    <row r="423" spans="1:13" s="1353" customFormat="1" ht="86.4">
      <c r="A423" s="1882">
        <f t="shared" si="0"/>
        <v>416</v>
      </c>
      <c r="B423" s="1883" t="s">
        <v>1012</v>
      </c>
      <c r="C423" s="1883" t="s">
        <v>4465</v>
      </c>
      <c r="D423" s="1884" t="s">
        <v>4467</v>
      </c>
      <c r="E423" s="1884" t="s">
        <v>5058</v>
      </c>
      <c r="F423" s="1882" t="s">
        <v>4904</v>
      </c>
      <c r="G423" s="1885">
        <v>62</v>
      </c>
      <c r="H423" s="1884" t="s">
        <v>956</v>
      </c>
      <c r="I423" s="1885" t="s">
        <v>5056</v>
      </c>
      <c r="J423" s="1882" t="s">
        <v>4906</v>
      </c>
      <c r="K423" s="1882" t="s">
        <v>961</v>
      </c>
      <c r="L423" s="1884" t="s">
        <v>5072</v>
      </c>
      <c r="M423" s="1886">
        <v>44914</v>
      </c>
    </row>
    <row r="424" spans="1:13" s="1353" customFormat="1" ht="86.4">
      <c r="A424" s="1882">
        <f t="shared" si="0"/>
        <v>417</v>
      </c>
      <c r="B424" s="1883" t="s">
        <v>1012</v>
      </c>
      <c r="C424" s="1883" t="s">
        <v>4485</v>
      </c>
      <c r="D424" s="1884" t="s">
        <v>4487</v>
      </c>
      <c r="E424" s="1884" t="s">
        <v>5058</v>
      </c>
      <c r="F424" s="1882" t="s">
        <v>4904</v>
      </c>
      <c r="G424" s="1885">
        <v>62</v>
      </c>
      <c r="H424" s="1884" t="s">
        <v>956</v>
      </c>
      <c r="I424" s="1885" t="s">
        <v>5056</v>
      </c>
      <c r="J424" s="1882" t="s">
        <v>4906</v>
      </c>
      <c r="K424" s="1882" t="s">
        <v>961</v>
      </c>
      <c r="L424" s="1912" t="s">
        <v>5072</v>
      </c>
      <c r="M424" s="1886">
        <v>44914</v>
      </c>
    </row>
    <row r="425" spans="1:13" s="1353" customFormat="1" ht="28.8">
      <c r="A425" s="1882">
        <f t="shared" si="0"/>
        <v>418</v>
      </c>
      <c r="B425" s="1883" t="s">
        <v>993</v>
      </c>
      <c r="C425" s="1883" t="s">
        <v>3549</v>
      </c>
      <c r="D425" s="1884" t="s">
        <v>3551</v>
      </c>
      <c r="E425" s="1884" t="s">
        <v>5073</v>
      </c>
      <c r="F425" s="1882" t="s">
        <v>4904</v>
      </c>
      <c r="G425" s="1885">
        <v>41</v>
      </c>
      <c r="H425" s="1884" t="s">
        <v>1855</v>
      </c>
      <c r="I425" s="1882" t="s">
        <v>970</v>
      </c>
      <c r="J425" s="1913">
        <v>96</v>
      </c>
      <c r="K425" s="1913">
        <v>97.7</v>
      </c>
      <c r="L425" s="1914" t="s">
        <v>5074</v>
      </c>
      <c r="M425" s="1886">
        <v>44914</v>
      </c>
    </row>
    <row r="426" spans="1:13" s="1353" customFormat="1" ht="55.2">
      <c r="A426" s="1882">
        <f>A425+1</f>
        <v>419</v>
      </c>
      <c r="B426" s="1883" t="s">
        <v>1036</v>
      </c>
      <c r="C426" s="1883" t="s">
        <v>3405</v>
      </c>
      <c r="D426" s="1884" t="s">
        <v>3407</v>
      </c>
      <c r="E426" s="1884" t="s">
        <v>5073</v>
      </c>
      <c r="F426" s="1882" t="s">
        <v>4904</v>
      </c>
      <c r="G426" s="1885">
        <v>41</v>
      </c>
      <c r="H426" s="1884" t="s">
        <v>1855</v>
      </c>
      <c r="I426" s="1882" t="s">
        <v>958</v>
      </c>
      <c r="J426" s="1915">
        <v>100</v>
      </c>
      <c r="K426" s="1915">
        <v>55.1</v>
      </c>
      <c r="L426" s="1928" t="s">
        <v>5075</v>
      </c>
      <c r="M426" s="1886">
        <v>44914</v>
      </c>
    </row>
    <row r="427" spans="1:13" s="1353" customFormat="1" ht="28.8">
      <c r="A427" s="1882">
        <f t="shared" ref="A427:A489" si="1">A426+1</f>
        <v>420</v>
      </c>
      <c r="B427" s="1883" t="s">
        <v>999</v>
      </c>
      <c r="C427" s="1883" t="s">
        <v>1142</v>
      </c>
      <c r="D427" s="1884" t="s">
        <v>1141</v>
      </c>
      <c r="E427" s="1884" t="s">
        <v>5073</v>
      </c>
      <c r="F427" s="1882" t="s">
        <v>4904</v>
      </c>
      <c r="G427" s="1885">
        <v>41</v>
      </c>
      <c r="H427" s="1884" t="s">
        <v>1855</v>
      </c>
      <c r="I427" s="1882" t="s">
        <v>980</v>
      </c>
      <c r="J427" s="1920">
        <v>83209</v>
      </c>
      <c r="K427" s="1920">
        <v>84209</v>
      </c>
      <c r="L427" s="1914" t="s">
        <v>5074</v>
      </c>
      <c r="M427" s="1886">
        <v>44915</v>
      </c>
    </row>
    <row r="428" spans="1:13" s="1353" customFormat="1" ht="28.8">
      <c r="A428" s="1882">
        <f t="shared" si="1"/>
        <v>421</v>
      </c>
      <c r="B428" s="1883" t="s">
        <v>999</v>
      </c>
      <c r="C428" s="1883" t="s">
        <v>1142</v>
      </c>
      <c r="D428" s="1884" t="s">
        <v>1141</v>
      </c>
      <c r="E428" s="1884" t="s">
        <v>5073</v>
      </c>
      <c r="F428" s="1882" t="s">
        <v>4904</v>
      </c>
      <c r="G428" s="1885">
        <v>41</v>
      </c>
      <c r="H428" s="1884" t="s">
        <v>1855</v>
      </c>
      <c r="I428" s="1882" t="s">
        <v>985</v>
      </c>
      <c r="J428" s="1920">
        <v>93209</v>
      </c>
      <c r="K428" s="1920">
        <v>96209</v>
      </c>
      <c r="L428" s="1914" t="s">
        <v>5074</v>
      </c>
      <c r="M428" s="1886">
        <v>44915</v>
      </c>
    </row>
    <row r="429" spans="1:13" s="1353" customFormat="1" ht="28.8">
      <c r="A429" s="1882">
        <f t="shared" si="1"/>
        <v>422</v>
      </c>
      <c r="B429" s="1883" t="s">
        <v>999</v>
      </c>
      <c r="C429" s="1883" t="s">
        <v>1142</v>
      </c>
      <c r="D429" s="1884" t="s">
        <v>1141</v>
      </c>
      <c r="E429" s="1884" t="s">
        <v>5073</v>
      </c>
      <c r="F429" s="1882" t="s">
        <v>4904</v>
      </c>
      <c r="G429" s="1885">
        <v>41</v>
      </c>
      <c r="H429" s="1884" t="s">
        <v>1855</v>
      </c>
      <c r="I429" s="1882" t="s">
        <v>958</v>
      </c>
      <c r="J429" s="1920">
        <v>103209</v>
      </c>
      <c r="K429" s="1920">
        <v>109209</v>
      </c>
      <c r="L429" s="1914" t="s">
        <v>5074</v>
      </c>
      <c r="M429" s="1886">
        <v>44915</v>
      </c>
    </row>
    <row r="430" spans="1:13" s="1353" customFormat="1" ht="28.8">
      <c r="A430" s="1882">
        <f t="shared" si="1"/>
        <v>423</v>
      </c>
      <c r="B430" s="1883" t="s">
        <v>999</v>
      </c>
      <c r="C430" s="1883" t="s">
        <v>1142</v>
      </c>
      <c r="D430" s="1884" t="s">
        <v>1141</v>
      </c>
      <c r="E430" s="1884" t="s">
        <v>5073</v>
      </c>
      <c r="F430" s="1882" t="s">
        <v>4904</v>
      </c>
      <c r="G430" s="1885">
        <v>41</v>
      </c>
      <c r="H430" s="1884" t="s">
        <v>1855</v>
      </c>
      <c r="I430" s="1882" t="s">
        <v>970</v>
      </c>
      <c r="J430" s="1920">
        <v>113209</v>
      </c>
      <c r="K430" s="1920">
        <v>123209</v>
      </c>
      <c r="L430" s="1914" t="s">
        <v>5074</v>
      </c>
      <c r="M430" s="1886">
        <v>44915</v>
      </c>
    </row>
    <row r="431" spans="1:13" s="1353" customFormat="1" ht="28.8">
      <c r="A431" s="1882">
        <f t="shared" si="1"/>
        <v>424</v>
      </c>
      <c r="B431" s="1883" t="s">
        <v>999</v>
      </c>
      <c r="C431" s="1883" t="s">
        <v>1142</v>
      </c>
      <c r="D431" s="1884" t="s">
        <v>1141</v>
      </c>
      <c r="E431" s="1884" t="s">
        <v>5073</v>
      </c>
      <c r="F431" s="1882" t="s">
        <v>4904</v>
      </c>
      <c r="G431" s="1885">
        <v>72</v>
      </c>
      <c r="H431" s="1884" t="s">
        <v>1858</v>
      </c>
      <c r="I431" s="1882" t="s">
        <v>980</v>
      </c>
      <c r="J431" s="1920">
        <v>79028</v>
      </c>
      <c r="K431" s="1920">
        <v>79828</v>
      </c>
      <c r="L431" s="1914" t="s">
        <v>5074</v>
      </c>
      <c r="M431" s="1886">
        <v>44915</v>
      </c>
    </row>
    <row r="432" spans="1:13" s="1353" customFormat="1" ht="28.8">
      <c r="A432" s="1882">
        <f t="shared" si="1"/>
        <v>425</v>
      </c>
      <c r="B432" s="1883" t="s">
        <v>999</v>
      </c>
      <c r="C432" s="1883" t="s">
        <v>1142</v>
      </c>
      <c r="D432" s="1884" t="s">
        <v>1141</v>
      </c>
      <c r="E432" s="1884" t="s">
        <v>5073</v>
      </c>
      <c r="F432" s="1882" t="s">
        <v>4904</v>
      </c>
      <c r="G432" s="1885">
        <v>72</v>
      </c>
      <c r="H432" s="1884" t="s">
        <v>1858</v>
      </c>
      <c r="I432" s="1882" t="s">
        <v>985</v>
      </c>
      <c r="J432" s="1920">
        <v>89028</v>
      </c>
      <c r="K432" s="1920">
        <v>91428</v>
      </c>
      <c r="L432" s="1914" t="s">
        <v>5074</v>
      </c>
      <c r="M432" s="1886">
        <v>44915</v>
      </c>
    </row>
    <row r="433" spans="1:13" s="1353" customFormat="1" ht="28.8">
      <c r="A433" s="1882">
        <f t="shared" si="1"/>
        <v>426</v>
      </c>
      <c r="B433" s="1883" t="s">
        <v>999</v>
      </c>
      <c r="C433" s="1883" t="s">
        <v>1142</v>
      </c>
      <c r="D433" s="1884" t="s">
        <v>1141</v>
      </c>
      <c r="E433" s="1884" t="s">
        <v>5073</v>
      </c>
      <c r="F433" s="1882" t="s">
        <v>4904</v>
      </c>
      <c r="G433" s="1885">
        <v>72</v>
      </c>
      <c r="H433" s="1884" t="s">
        <v>1858</v>
      </c>
      <c r="I433" s="1882" t="s">
        <v>958</v>
      </c>
      <c r="J433" s="1920">
        <v>99028</v>
      </c>
      <c r="K433" s="1920">
        <v>103828</v>
      </c>
      <c r="L433" s="1914" t="s">
        <v>5074</v>
      </c>
      <c r="M433" s="1886">
        <v>44915</v>
      </c>
    </row>
    <row r="434" spans="1:13" s="1353" customFormat="1" ht="28.8">
      <c r="A434" s="1882">
        <f t="shared" si="1"/>
        <v>427</v>
      </c>
      <c r="B434" s="1883" t="s">
        <v>999</v>
      </c>
      <c r="C434" s="1883" t="s">
        <v>1142</v>
      </c>
      <c r="D434" s="1884" t="s">
        <v>1141</v>
      </c>
      <c r="E434" s="1884" t="s">
        <v>5073</v>
      </c>
      <c r="F434" s="1882" t="s">
        <v>4904</v>
      </c>
      <c r="G434" s="1885">
        <v>72</v>
      </c>
      <c r="H434" s="1884" t="s">
        <v>1858</v>
      </c>
      <c r="I434" s="1882" t="s">
        <v>970</v>
      </c>
      <c r="J434" s="1920">
        <v>109028</v>
      </c>
      <c r="K434" s="1920">
        <v>117028</v>
      </c>
      <c r="L434" s="1914" t="s">
        <v>5074</v>
      </c>
      <c r="M434" s="1886">
        <v>44915</v>
      </c>
    </row>
    <row r="435" spans="1:13" s="1353" customFormat="1" ht="28.8">
      <c r="A435" s="1882">
        <f t="shared" si="1"/>
        <v>428</v>
      </c>
      <c r="B435" s="1883" t="s">
        <v>999</v>
      </c>
      <c r="C435" s="1883" t="s">
        <v>1142</v>
      </c>
      <c r="D435" s="1884" t="s">
        <v>1141</v>
      </c>
      <c r="E435" s="1884" t="s">
        <v>5073</v>
      </c>
      <c r="F435" s="1882" t="s">
        <v>4904</v>
      </c>
      <c r="G435" s="1885">
        <v>87</v>
      </c>
      <c r="H435" s="1884" t="s">
        <v>1861</v>
      </c>
      <c r="I435" s="1882" t="s">
        <v>980</v>
      </c>
      <c r="J435" s="1920">
        <v>92209</v>
      </c>
      <c r="K435" s="1920">
        <v>93709</v>
      </c>
      <c r="L435" s="1914" t="s">
        <v>5074</v>
      </c>
      <c r="M435" s="1886">
        <v>44915</v>
      </c>
    </row>
    <row r="436" spans="1:13" s="1353" customFormat="1" ht="28.8">
      <c r="A436" s="1882">
        <f t="shared" si="1"/>
        <v>429</v>
      </c>
      <c r="B436" s="1883" t="s">
        <v>999</v>
      </c>
      <c r="C436" s="1883" t="s">
        <v>1142</v>
      </c>
      <c r="D436" s="1884" t="s">
        <v>1141</v>
      </c>
      <c r="E436" s="1884" t="s">
        <v>5073</v>
      </c>
      <c r="F436" s="1882" t="s">
        <v>4904</v>
      </c>
      <c r="G436" s="1885">
        <v>87</v>
      </c>
      <c r="H436" s="1884" t="s">
        <v>1861</v>
      </c>
      <c r="I436" s="1882" t="s">
        <v>985</v>
      </c>
      <c r="J436" s="1920">
        <v>102209</v>
      </c>
      <c r="K436" s="1920">
        <v>106709</v>
      </c>
      <c r="L436" s="1914" t="s">
        <v>5074</v>
      </c>
      <c r="M436" s="1886">
        <v>44915</v>
      </c>
    </row>
    <row r="437" spans="1:13" s="1353" customFormat="1" ht="28.8">
      <c r="A437" s="1882">
        <f t="shared" si="1"/>
        <v>430</v>
      </c>
      <c r="B437" s="1883" t="s">
        <v>999</v>
      </c>
      <c r="C437" s="1883" t="s">
        <v>1142</v>
      </c>
      <c r="D437" s="1884" t="s">
        <v>1141</v>
      </c>
      <c r="E437" s="1884" t="s">
        <v>5073</v>
      </c>
      <c r="F437" s="1882" t="s">
        <v>4904</v>
      </c>
      <c r="G437" s="1885">
        <v>87</v>
      </c>
      <c r="H437" s="1884" t="s">
        <v>1861</v>
      </c>
      <c r="I437" s="1882" t="s">
        <v>958</v>
      </c>
      <c r="J437" s="1920">
        <v>112209</v>
      </c>
      <c r="K437" s="1920">
        <v>121209</v>
      </c>
      <c r="L437" s="1914" t="s">
        <v>5074</v>
      </c>
      <c r="M437" s="1886">
        <v>44915</v>
      </c>
    </row>
    <row r="438" spans="1:13" s="1353" customFormat="1" ht="28.8">
      <c r="A438" s="1882">
        <f t="shared" si="1"/>
        <v>431</v>
      </c>
      <c r="B438" s="1883" t="s">
        <v>999</v>
      </c>
      <c r="C438" s="1883" t="s">
        <v>1142</v>
      </c>
      <c r="D438" s="1884" t="s">
        <v>1141</v>
      </c>
      <c r="E438" s="1884" t="s">
        <v>5073</v>
      </c>
      <c r="F438" s="1882" t="s">
        <v>4904</v>
      </c>
      <c r="G438" s="1885">
        <v>87</v>
      </c>
      <c r="H438" s="1884" t="s">
        <v>1861</v>
      </c>
      <c r="I438" s="1882" t="s">
        <v>970</v>
      </c>
      <c r="J438" s="1920">
        <v>122209</v>
      </c>
      <c r="K438" s="1920">
        <v>137209</v>
      </c>
      <c r="L438" s="1914" t="s">
        <v>5074</v>
      </c>
      <c r="M438" s="1886">
        <v>44915</v>
      </c>
    </row>
    <row r="439" spans="1:13" s="1353" customFormat="1" ht="86.4">
      <c r="A439" s="1882">
        <f t="shared" si="1"/>
        <v>432</v>
      </c>
      <c r="B439" s="1883" t="s">
        <v>972</v>
      </c>
      <c r="C439" s="1883" t="s">
        <v>1127</v>
      </c>
      <c r="D439" s="1884" t="s">
        <v>1126</v>
      </c>
      <c r="E439" s="1884" t="s">
        <v>5058</v>
      </c>
      <c r="F439" s="1882" t="s">
        <v>4904</v>
      </c>
      <c r="G439" s="1885">
        <v>62</v>
      </c>
      <c r="H439" s="1884" t="s">
        <v>956</v>
      </c>
      <c r="I439" s="1885" t="s">
        <v>5056</v>
      </c>
      <c r="J439" s="1882" t="s">
        <v>4906</v>
      </c>
      <c r="K439" s="1882" t="s">
        <v>961</v>
      </c>
      <c r="L439" s="1884" t="s">
        <v>5076</v>
      </c>
      <c r="M439" s="1886">
        <v>44915</v>
      </c>
    </row>
    <row r="440" spans="1:13" s="1353" customFormat="1" ht="86.4">
      <c r="A440" s="1882">
        <f t="shared" si="1"/>
        <v>433</v>
      </c>
      <c r="B440" s="1883" t="s">
        <v>972</v>
      </c>
      <c r="C440" s="1883" t="s">
        <v>2116</v>
      </c>
      <c r="D440" s="1884" t="s">
        <v>2117</v>
      </c>
      <c r="E440" s="1884" t="s">
        <v>5058</v>
      </c>
      <c r="F440" s="1882" t="s">
        <v>4904</v>
      </c>
      <c r="G440" s="1885">
        <v>17</v>
      </c>
      <c r="H440" s="1884" t="s">
        <v>943</v>
      </c>
      <c r="I440" s="1882" t="s">
        <v>874</v>
      </c>
      <c r="J440" s="1882" t="s">
        <v>5077</v>
      </c>
      <c r="K440" s="1882" t="s">
        <v>964</v>
      </c>
      <c r="L440" s="1884" t="s">
        <v>5078</v>
      </c>
      <c r="M440" s="1886">
        <v>44931</v>
      </c>
    </row>
    <row r="441" spans="1:13" s="1353" customFormat="1" ht="28.8">
      <c r="A441" s="1882">
        <f t="shared" si="1"/>
        <v>434</v>
      </c>
      <c r="B441" s="1883" t="s">
        <v>972</v>
      </c>
      <c r="C441" s="1883" t="s">
        <v>4729</v>
      </c>
      <c r="D441" s="1884" t="s">
        <v>4730</v>
      </c>
      <c r="E441" s="1884" t="s">
        <v>4903</v>
      </c>
      <c r="F441" s="1882" t="s">
        <v>4904</v>
      </c>
      <c r="G441" s="1885">
        <v>97</v>
      </c>
      <c r="H441" s="1884" t="s">
        <v>1907</v>
      </c>
      <c r="I441" s="1882"/>
      <c r="J441" s="1882">
        <v>4.7699999999999999E-2</v>
      </c>
      <c r="K441" s="1882">
        <v>-4.7699999999999999E-2</v>
      </c>
      <c r="L441" s="1884" t="s">
        <v>5079</v>
      </c>
      <c r="M441" s="1886">
        <v>44937</v>
      </c>
    </row>
    <row r="442" spans="1:13" s="1353" customFormat="1" ht="28.8">
      <c r="A442" s="1882">
        <f t="shared" si="1"/>
        <v>435</v>
      </c>
      <c r="B442" s="1883" t="s">
        <v>1015</v>
      </c>
      <c r="C442" s="1883" t="s">
        <v>4576</v>
      </c>
      <c r="D442" s="1884" t="s">
        <v>4578</v>
      </c>
      <c r="E442" s="1884" t="s">
        <v>5080</v>
      </c>
      <c r="F442" s="1882" t="s">
        <v>4904</v>
      </c>
      <c r="G442" s="1885">
        <v>62</v>
      </c>
      <c r="H442" s="1884" t="s">
        <v>956</v>
      </c>
      <c r="I442" s="1882" t="s">
        <v>968</v>
      </c>
      <c r="J442" s="1882" t="s">
        <v>961</v>
      </c>
      <c r="K442" s="1882" t="s">
        <v>4906</v>
      </c>
      <c r="L442" s="1884" t="s">
        <v>5081</v>
      </c>
      <c r="M442" s="1886">
        <v>44960</v>
      </c>
    </row>
    <row r="443" spans="1:13" s="1353" customFormat="1" ht="28.8">
      <c r="A443" s="1882">
        <f t="shared" si="1"/>
        <v>436</v>
      </c>
      <c r="B443" s="1883" t="s">
        <v>1015</v>
      </c>
      <c r="C443" s="1883" t="s">
        <v>4576</v>
      </c>
      <c r="D443" s="1884" t="s">
        <v>4578</v>
      </c>
      <c r="E443" s="1884" t="s">
        <v>5080</v>
      </c>
      <c r="F443" s="1882" t="s">
        <v>4904</v>
      </c>
      <c r="G443" s="1885">
        <v>62</v>
      </c>
      <c r="H443" s="1884" t="s">
        <v>956</v>
      </c>
      <c r="I443" s="1882" t="s">
        <v>980</v>
      </c>
      <c r="J443" s="1882" t="s">
        <v>961</v>
      </c>
      <c r="K443" s="1882" t="s">
        <v>4906</v>
      </c>
      <c r="L443" s="1884" t="s">
        <v>5081</v>
      </c>
      <c r="M443" s="1886">
        <v>44960</v>
      </c>
    </row>
    <row r="444" spans="1:13" s="1353" customFormat="1" ht="28.8">
      <c r="A444" s="1882">
        <f t="shared" si="1"/>
        <v>437</v>
      </c>
      <c r="B444" s="1883" t="s">
        <v>1015</v>
      </c>
      <c r="C444" s="1883" t="s">
        <v>4576</v>
      </c>
      <c r="D444" s="1884" t="s">
        <v>4578</v>
      </c>
      <c r="E444" s="1884" t="s">
        <v>5080</v>
      </c>
      <c r="F444" s="1882" t="s">
        <v>4904</v>
      </c>
      <c r="G444" s="1885">
        <v>62</v>
      </c>
      <c r="H444" s="1884" t="s">
        <v>956</v>
      </c>
      <c r="I444" s="1882" t="s">
        <v>985</v>
      </c>
      <c r="J444" s="1882" t="s">
        <v>961</v>
      </c>
      <c r="K444" s="1882" t="s">
        <v>4906</v>
      </c>
      <c r="L444" s="1884" t="s">
        <v>5081</v>
      </c>
      <c r="M444" s="1886">
        <v>44960</v>
      </c>
    </row>
    <row r="445" spans="1:13" s="1353" customFormat="1" ht="28.8">
      <c r="A445" s="1882">
        <f t="shared" si="1"/>
        <v>438</v>
      </c>
      <c r="B445" s="1883" t="s">
        <v>1015</v>
      </c>
      <c r="C445" s="1883" t="s">
        <v>4576</v>
      </c>
      <c r="D445" s="1884" t="s">
        <v>4578</v>
      </c>
      <c r="E445" s="1884" t="s">
        <v>5080</v>
      </c>
      <c r="F445" s="1882" t="s">
        <v>4904</v>
      </c>
      <c r="G445" s="1885">
        <v>62</v>
      </c>
      <c r="H445" s="1884" t="s">
        <v>956</v>
      </c>
      <c r="I445" s="1882" t="s">
        <v>958</v>
      </c>
      <c r="J445" s="1882" t="s">
        <v>961</v>
      </c>
      <c r="K445" s="1882" t="s">
        <v>4906</v>
      </c>
      <c r="L445" s="1884" t="s">
        <v>5081</v>
      </c>
      <c r="M445" s="1886">
        <v>44960</v>
      </c>
    </row>
    <row r="446" spans="1:13" s="1353" customFormat="1" ht="28.8">
      <c r="A446" s="1882">
        <f t="shared" si="1"/>
        <v>439</v>
      </c>
      <c r="B446" s="1883" t="s">
        <v>972</v>
      </c>
      <c r="C446" s="1883" t="s">
        <v>2199</v>
      </c>
      <c r="D446" s="1884" t="s">
        <v>2200</v>
      </c>
      <c r="E446" s="1884" t="s">
        <v>5080</v>
      </c>
      <c r="F446" s="1882" t="s">
        <v>4904</v>
      </c>
      <c r="G446" s="1885">
        <v>41</v>
      </c>
      <c r="H446" s="1884" t="s">
        <v>1855</v>
      </c>
      <c r="I446" s="1882" t="s">
        <v>970</v>
      </c>
      <c r="J446" s="1929">
        <v>1</v>
      </c>
      <c r="K446" s="1882">
        <v>100</v>
      </c>
      <c r="L446" s="1884" t="s">
        <v>5082</v>
      </c>
      <c r="M446" s="1886">
        <v>44973</v>
      </c>
    </row>
    <row r="447" spans="1:13" s="1353" customFormat="1" ht="28.8">
      <c r="A447" s="1882">
        <f t="shared" si="1"/>
        <v>440</v>
      </c>
      <c r="B447" s="1883" t="s">
        <v>1022</v>
      </c>
      <c r="C447" s="1883" t="s">
        <v>2301</v>
      </c>
      <c r="D447" s="1884" t="s">
        <v>2303</v>
      </c>
      <c r="E447" s="1884" t="s">
        <v>5080</v>
      </c>
      <c r="F447" s="1882" t="s">
        <v>4904</v>
      </c>
      <c r="G447" s="1885">
        <v>87</v>
      </c>
      <c r="H447" s="1884" t="s">
        <v>949</v>
      </c>
      <c r="I447" s="1885" t="s">
        <v>968</v>
      </c>
      <c r="J447" s="1882">
        <v>90</v>
      </c>
      <c r="K447" s="1882" t="s">
        <v>4906</v>
      </c>
      <c r="L447" s="1884" t="s">
        <v>5083</v>
      </c>
      <c r="M447" s="1886">
        <v>44974</v>
      </c>
    </row>
    <row r="448" spans="1:13" s="1353" customFormat="1" ht="28.8">
      <c r="A448" s="1882">
        <f t="shared" si="1"/>
        <v>441</v>
      </c>
      <c r="B448" s="1883" t="s">
        <v>1022</v>
      </c>
      <c r="C448" s="1883" t="s">
        <v>2301</v>
      </c>
      <c r="D448" s="1884" t="s">
        <v>2303</v>
      </c>
      <c r="E448" s="1884" t="s">
        <v>5080</v>
      </c>
      <c r="F448" s="1882" t="s">
        <v>4904</v>
      </c>
      <c r="G448" s="1885">
        <v>87</v>
      </c>
      <c r="H448" s="1884" t="s">
        <v>949</v>
      </c>
      <c r="I448" s="1885" t="s">
        <v>980</v>
      </c>
      <c r="J448" s="1882">
        <v>90</v>
      </c>
      <c r="K448" s="1882" t="s">
        <v>4906</v>
      </c>
      <c r="L448" s="1884" t="s">
        <v>5083</v>
      </c>
      <c r="M448" s="1886">
        <v>44974</v>
      </c>
    </row>
    <row r="449" spans="1:13" s="1353" customFormat="1" ht="28.8">
      <c r="A449" s="1882">
        <f t="shared" si="1"/>
        <v>442</v>
      </c>
      <c r="B449" s="1883" t="s">
        <v>1022</v>
      </c>
      <c r="C449" s="1883" t="s">
        <v>2301</v>
      </c>
      <c r="D449" s="1884" t="s">
        <v>2303</v>
      </c>
      <c r="E449" s="1884" t="s">
        <v>5080</v>
      </c>
      <c r="F449" s="1882" t="s">
        <v>4904</v>
      </c>
      <c r="G449" s="1885">
        <v>87</v>
      </c>
      <c r="H449" s="1884" t="s">
        <v>949</v>
      </c>
      <c r="I449" s="1885" t="s">
        <v>985</v>
      </c>
      <c r="J449" s="1882">
        <v>90</v>
      </c>
      <c r="K449" s="1882" t="s">
        <v>4906</v>
      </c>
      <c r="L449" s="1884" t="s">
        <v>5083</v>
      </c>
      <c r="M449" s="1886">
        <v>44974</v>
      </c>
    </row>
    <row r="450" spans="1:13" s="1353" customFormat="1" ht="28.8">
      <c r="A450" s="1882">
        <f t="shared" si="1"/>
        <v>443</v>
      </c>
      <c r="B450" s="1883" t="s">
        <v>1022</v>
      </c>
      <c r="C450" s="1883" t="s">
        <v>2301</v>
      </c>
      <c r="D450" s="1884" t="s">
        <v>2303</v>
      </c>
      <c r="E450" s="1884" t="s">
        <v>5080</v>
      </c>
      <c r="F450" s="1882" t="s">
        <v>4904</v>
      </c>
      <c r="G450" s="1885">
        <v>87</v>
      </c>
      <c r="H450" s="1884" t="s">
        <v>949</v>
      </c>
      <c r="I450" s="1885" t="s">
        <v>958</v>
      </c>
      <c r="J450" s="1882">
        <v>90</v>
      </c>
      <c r="K450" s="1882" t="s">
        <v>4906</v>
      </c>
      <c r="L450" s="1884" t="s">
        <v>5083</v>
      </c>
      <c r="M450" s="1886">
        <v>44974</v>
      </c>
    </row>
    <row r="451" spans="1:13" s="1353" customFormat="1" ht="14.4">
      <c r="A451" s="1882">
        <f t="shared" si="1"/>
        <v>444</v>
      </c>
      <c r="B451" s="1883" t="s">
        <v>1022</v>
      </c>
      <c r="C451" s="1883" t="s">
        <v>2301</v>
      </c>
      <c r="D451" s="1884" t="s">
        <v>2303</v>
      </c>
      <c r="E451" s="1884" t="s">
        <v>5080</v>
      </c>
      <c r="F451" s="1882" t="s">
        <v>4904</v>
      </c>
      <c r="G451" s="1885">
        <v>87</v>
      </c>
      <c r="H451" s="1884" t="s">
        <v>949</v>
      </c>
      <c r="I451" s="1885" t="s">
        <v>970</v>
      </c>
      <c r="J451" s="1882">
        <v>90</v>
      </c>
      <c r="K451" s="1882">
        <v>77</v>
      </c>
      <c r="L451" s="1884" t="s">
        <v>5084</v>
      </c>
      <c r="M451" s="1886">
        <v>44974</v>
      </c>
    </row>
    <row r="452" spans="1:13" s="1353" customFormat="1" ht="14.4">
      <c r="A452" s="1882">
        <f t="shared" si="1"/>
        <v>445</v>
      </c>
      <c r="B452" s="1883" t="s">
        <v>1008</v>
      </c>
      <c r="C452" s="1883" t="s">
        <v>4073</v>
      </c>
      <c r="D452" s="1884" t="s">
        <v>4075</v>
      </c>
      <c r="E452" s="1884" t="s">
        <v>1008</v>
      </c>
      <c r="F452" s="1882" t="s">
        <v>4904</v>
      </c>
      <c r="G452" s="1885">
        <v>87</v>
      </c>
      <c r="H452" s="1884" t="s">
        <v>949</v>
      </c>
      <c r="I452" s="1882" t="s">
        <v>968</v>
      </c>
      <c r="J452" s="1882">
        <v>4.5</v>
      </c>
      <c r="K452" s="1882">
        <v>9</v>
      </c>
      <c r="L452" s="1884" t="s">
        <v>5085</v>
      </c>
      <c r="M452" s="1886">
        <v>44995</v>
      </c>
    </row>
    <row r="453" spans="1:13" s="1353" customFormat="1" ht="14.4">
      <c r="A453" s="1882">
        <f t="shared" si="1"/>
        <v>446</v>
      </c>
      <c r="B453" s="1883" t="s">
        <v>1008</v>
      </c>
      <c r="C453" s="1883" t="s">
        <v>4073</v>
      </c>
      <c r="D453" s="1884" t="s">
        <v>4075</v>
      </c>
      <c r="E453" s="1884" t="s">
        <v>1008</v>
      </c>
      <c r="F453" s="1882" t="s">
        <v>4904</v>
      </c>
      <c r="G453" s="1885">
        <v>87</v>
      </c>
      <c r="H453" s="1884" t="s">
        <v>949</v>
      </c>
      <c r="I453" s="1882" t="s">
        <v>980</v>
      </c>
      <c r="J453" s="1882">
        <v>2</v>
      </c>
      <c r="K453" s="1882">
        <v>5.75</v>
      </c>
      <c r="L453" s="1884" t="s">
        <v>5085</v>
      </c>
      <c r="M453" s="1886">
        <v>44995</v>
      </c>
    </row>
    <row r="454" spans="1:13" s="1353" customFormat="1" ht="14.4">
      <c r="A454" s="1882">
        <f t="shared" si="1"/>
        <v>447</v>
      </c>
      <c r="B454" s="1883" t="s">
        <v>1008</v>
      </c>
      <c r="C454" s="1883" t="s">
        <v>4073</v>
      </c>
      <c r="D454" s="1884" t="s">
        <v>4075</v>
      </c>
      <c r="E454" s="1884" t="s">
        <v>1008</v>
      </c>
      <c r="F454" s="1882" t="s">
        <v>4904</v>
      </c>
      <c r="G454" s="1885">
        <v>87</v>
      </c>
      <c r="H454" s="1884" t="s">
        <v>949</v>
      </c>
      <c r="I454" s="1882" t="s">
        <v>985</v>
      </c>
      <c r="J454" s="1882">
        <v>2</v>
      </c>
      <c r="K454" s="1882">
        <v>4</v>
      </c>
      <c r="L454" s="1884" t="s">
        <v>5085</v>
      </c>
      <c r="M454" s="1886">
        <v>44995</v>
      </c>
    </row>
    <row r="455" spans="1:13" s="1353" customFormat="1" ht="14.4">
      <c r="A455" s="1882">
        <f t="shared" si="1"/>
        <v>448</v>
      </c>
      <c r="B455" s="1883" t="s">
        <v>1008</v>
      </c>
      <c r="C455" s="1883" t="s">
        <v>4073</v>
      </c>
      <c r="D455" s="1884" t="s">
        <v>4075</v>
      </c>
      <c r="E455" s="1884" t="s">
        <v>1008</v>
      </c>
      <c r="F455" s="1882" t="s">
        <v>4904</v>
      </c>
      <c r="G455" s="1885">
        <v>87</v>
      </c>
      <c r="H455" s="1884" t="s">
        <v>949</v>
      </c>
      <c r="I455" s="1882" t="s">
        <v>958</v>
      </c>
      <c r="J455" s="1882">
        <v>2</v>
      </c>
      <c r="K455" s="1882">
        <v>4</v>
      </c>
      <c r="L455" s="1884" t="s">
        <v>5085</v>
      </c>
      <c r="M455" s="1886">
        <v>44995</v>
      </c>
    </row>
    <row r="456" spans="1:13" s="1353" customFormat="1" ht="14.4">
      <c r="A456" s="1882">
        <f t="shared" si="1"/>
        <v>449</v>
      </c>
      <c r="B456" s="1883" t="s">
        <v>1008</v>
      </c>
      <c r="C456" s="1883" t="s">
        <v>4073</v>
      </c>
      <c r="D456" s="1884" t="s">
        <v>4075</v>
      </c>
      <c r="E456" s="1884" t="s">
        <v>1008</v>
      </c>
      <c r="F456" s="1882" t="s">
        <v>4904</v>
      </c>
      <c r="G456" s="1885">
        <v>87</v>
      </c>
      <c r="H456" s="1884" t="s">
        <v>949</v>
      </c>
      <c r="I456" s="1882" t="s">
        <v>970</v>
      </c>
      <c r="J456" s="1882">
        <v>4.5</v>
      </c>
      <c r="K456" s="1882">
        <v>9</v>
      </c>
      <c r="L456" s="1884" t="s">
        <v>5085</v>
      </c>
      <c r="M456" s="1886">
        <v>44995</v>
      </c>
    </row>
    <row r="457" spans="1:13" s="1353" customFormat="1" ht="14.4">
      <c r="A457" s="1882">
        <f t="shared" si="1"/>
        <v>450</v>
      </c>
      <c r="B457" s="1883" t="s">
        <v>1033</v>
      </c>
      <c r="C457" s="1883" t="s">
        <v>3056</v>
      </c>
      <c r="D457" s="1884" t="s">
        <v>2172</v>
      </c>
      <c r="E457" s="1884" t="s">
        <v>5086</v>
      </c>
      <c r="F457" s="1882" t="s">
        <v>4904</v>
      </c>
      <c r="G457" s="1885">
        <v>41</v>
      </c>
      <c r="H457" s="1884" t="s">
        <v>1855</v>
      </c>
      <c r="I457" s="1882" t="s">
        <v>980</v>
      </c>
      <c r="J457" s="1882">
        <v>43</v>
      </c>
      <c r="K457" s="1882">
        <v>37</v>
      </c>
      <c r="L457" s="1884" t="s">
        <v>5087</v>
      </c>
      <c r="M457" s="1886">
        <v>45065</v>
      </c>
    </row>
    <row r="458" spans="1:13" s="1353" customFormat="1" ht="14.4">
      <c r="A458" s="1882">
        <f t="shared" si="1"/>
        <v>451</v>
      </c>
      <c r="B458" s="1883" t="s">
        <v>1033</v>
      </c>
      <c r="C458" s="1883" t="s">
        <v>3056</v>
      </c>
      <c r="D458" s="1884" t="s">
        <v>2172</v>
      </c>
      <c r="E458" s="1884" t="s">
        <v>5086</v>
      </c>
      <c r="F458" s="1882" t="s">
        <v>4904</v>
      </c>
      <c r="G458" s="1885">
        <v>41</v>
      </c>
      <c r="H458" s="1884" t="s">
        <v>1855</v>
      </c>
      <c r="I458" s="1882" t="s">
        <v>985</v>
      </c>
      <c r="J458" s="1882">
        <v>43</v>
      </c>
      <c r="K458" s="1882">
        <v>38</v>
      </c>
      <c r="L458" s="1884" t="s">
        <v>5087</v>
      </c>
      <c r="M458" s="1886">
        <v>45065</v>
      </c>
    </row>
    <row r="459" spans="1:13" s="1353" customFormat="1" ht="14.4">
      <c r="A459" s="1882">
        <f t="shared" si="1"/>
        <v>452</v>
      </c>
      <c r="B459" s="1883" t="s">
        <v>1033</v>
      </c>
      <c r="C459" s="1883" t="s">
        <v>3056</v>
      </c>
      <c r="D459" s="1884" t="s">
        <v>2172</v>
      </c>
      <c r="E459" s="1884" t="s">
        <v>5086</v>
      </c>
      <c r="F459" s="1882" t="s">
        <v>4904</v>
      </c>
      <c r="G459" s="1885">
        <v>41</v>
      </c>
      <c r="H459" s="1884" t="s">
        <v>1855</v>
      </c>
      <c r="I459" s="1882" t="s">
        <v>958</v>
      </c>
      <c r="J459" s="1882">
        <v>44</v>
      </c>
      <c r="K459" s="1882">
        <v>39</v>
      </c>
      <c r="L459" s="1884" t="s">
        <v>5087</v>
      </c>
      <c r="M459" s="1886">
        <v>45065</v>
      </c>
    </row>
    <row r="460" spans="1:13" s="1353" customFormat="1" ht="14.4">
      <c r="A460" s="1882">
        <f t="shared" si="1"/>
        <v>453</v>
      </c>
      <c r="B460" s="1883" t="s">
        <v>1033</v>
      </c>
      <c r="C460" s="1883" t="s">
        <v>3056</v>
      </c>
      <c r="D460" s="1884" t="s">
        <v>2172</v>
      </c>
      <c r="E460" s="1884" t="s">
        <v>5086</v>
      </c>
      <c r="F460" s="1882" t="s">
        <v>4904</v>
      </c>
      <c r="G460" s="1885">
        <v>41</v>
      </c>
      <c r="H460" s="1884" t="s">
        <v>1855</v>
      </c>
      <c r="I460" s="1882" t="s">
        <v>970</v>
      </c>
      <c r="J460" s="1882">
        <v>60</v>
      </c>
      <c r="K460" s="1882">
        <v>65</v>
      </c>
      <c r="L460" s="1884" t="s">
        <v>5087</v>
      </c>
      <c r="M460" s="1886">
        <v>45065</v>
      </c>
    </row>
    <row r="461" spans="1:13" s="1353" customFormat="1" ht="14.4">
      <c r="A461" s="1882">
        <f t="shared" si="1"/>
        <v>454</v>
      </c>
      <c r="B461" s="1883" t="s">
        <v>1008</v>
      </c>
      <c r="C461" s="1883" t="s">
        <v>3991</v>
      </c>
      <c r="D461" s="1884" t="s">
        <v>3993</v>
      </c>
      <c r="E461" s="1884" t="s">
        <v>1008</v>
      </c>
      <c r="F461" s="1882" t="s">
        <v>4904</v>
      </c>
      <c r="G461" s="1885">
        <v>87</v>
      </c>
      <c r="H461" s="1884" t="s">
        <v>1861</v>
      </c>
      <c r="I461" s="1882" t="s">
        <v>968</v>
      </c>
      <c r="J461" s="1920">
        <v>0</v>
      </c>
      <c r="K461" s="1920"/>
      <c r="L461" s="1884" t="s">
        <v>5088</v>
      </c>
      <c r="M461" s="1886">
        <v>45065</v>
      </c>
    </row>
    <row r="462" spans="1:13" s="1353" customFormat="1" ht="14.4">
      <c r="A462" s="1882">
        <f t="shared" si="1"/>
        <v>455</v>
      </c>
      <c r="B462" s="1883" t="s">
        <v>1008</v>
      </c>
      <c r="C462" s="1883" t="s">
        <v>3991</v>
      </c>
      <c r="D462" s="1884" t="s">
        <v>3993</v>
      </c>
      <c r="E462" s="1884" t="s">
        <v>1008</v>
      </c>
      <c r="F462" s="1882" t="s">
        <v>4904</v>
      </c>
      <c r="G462" s="1885">
        <v>87</v>
      </c>
      <c r="H462" s="1884" t="s">
        <v>1861</v>
      </c>
      <c r="I462" s="1882" t="s">
        <v>980</v>
      </c>
      <c r="J462" s="1920">
        <v>3600</v>
      </c>
      <c r="K462" s="1920"/>
      <c r="L462" s="1884" t="s">
        <v>5088</v>
      </c>
      <c r="M462" s="1886">
        <v>45065</v>
      </c>
    </row>
    <row r="463" spans="1:13" s="1353" customFormat="1" ht="14.4">
      <c r="A463" s="1882">
        <f t="shared" si="1"/>
        <v>456</v>
      </c>
      <c r="B463" s="1883" t="s">
        <v>1008</v>
      </c>
      <c r="C463" s="1883" t="s">
        <v>3991</v>
      </c>
      <c r="D463" s="1884" t="s">
        <v>3993</v>
      </c>
      <c r="E463" s="1884" t="s">
        <v>1008</v>
      </c>
      <c r="F463" s="1882" t="s">
        <v>4904</v>
      </c>
      <c r="G463" s="1885">
        <v>87</v>
      </c>
      <c r="H463" s="1884" t="s">
        <v>1861</v>
      </c>
      <c r="I463" s="1882" t="s">
        <v>985</v>
      </c>
      <c r="J463" s="1920">
        <v>3500</v>
      </c>
      <c r="K463" s="1920"/>
      <c r="L463" s="1884" t="s">
        <v>5088</v>
      </c>
      <c r="M463" s="1886">
        <v>45065</v>
      </c>
    </row>
    <row r="464" spans="1:13" s="1353" customFormat="1" ht="14.4">
      <c r="A464" s="1882">
        <f t="shared" si="1"/>
        <v>457</v>
      </c>
      <c r="B464" s="1883" t="s">
        <v>1008</v>
      </c>
      <c r="C464" s="1883" t="s">
        <v>3991</v>
      </c>
      <c r="D464" s="1884" t="s">
        <v>3993</v>
      </c>
      <c r="E464" s="1884" t="s">
        <v>1008</v>
      </c>
      <c r="F464" s="1882" t="s">
        <v>4904</v>
      </c>
      <c r="G464" s="1885">
        <v>87</v>
      </c>
      <c r="H464" s="1884" t="s">
        <v>1861</v>
      </c>
      <c r="I464" s="1882" t="s">
        <v>958</v>
      </c>
      <c r="J464" s="1920">
        <v>3500</v>
      </c>
      <c r="K464" s="1920"/>
      <c r="L464" s="1884" t="s">
        <v>5088</v>
      </c>
      <c r="M464" s="1886">
        <v>45065</v>
      </c>
    </row>
    <row r="465" spans="1:13" s="1353" customFormat="1" ht="14.4">
      <c r="A465" s="1882">
        <f t="shared" si="1"/>
        <v>458</v>
      </c>
      <c r="B465" s="1883" t="s">
        <v>1008</v>
      </c>
      <c r="C465" s="1883" t="s">
        <v>3991</v>
      </c>
      <c r="D465" s="1884" t="s">
        <v>3993</v>
      </c>
      <c r="E465" s="1884" t="s">
        <v>1008</v>
      </c>
      <c r="F465" s="1882" t="s">
        <v>4904</v>
      </c>
      <c r="G465" s="1885">
        <v>87</v>
      </c>
      <c r="H465" s="1884" t="s">
        <v>1861</v>
      </c>
      <c r="I465" s="1882" t="s">
        <v>970</v>
      </c>
      <c r="J465" s="1920">
        <v>3500</v>
      </c>
      <c r="K465" s="1920">
        <v>14100</v>
      </c>
      <c r="L465" s="1884" t="s">
        <v>5088</v>
      </c>
      <c r="M465" s="1886">
        <v>45065</v>
      </c>
    </row>
    <row r="466" spans="1:13" s="1353" customFormat="1" ht="44.25" customHeight="1">
      <c r="A466" s="1882">
        <f t="shared" si="1"/>
        <v>459</v>
      </c>
      <c r="B466" s="1883" t="s">
        <v>1008</v>
      </c>
      <c r="C466" s="1883" t="s">
        <v>1155</v>
      </c>
      <c r="D466" s="1884" t="s">
        <v>1154</v>
      </c>
      <c r="E466" s="1884" t="s">
        <v>1008</v>
      </c>
      <c r="F466" s="1882" t="s">
        <v>4904</v>
      </c>
      <c r="G466" s="1885">
        <v>41</v>
      </c>
      <c r="H466" s="1884" t="s">
        <v>1855</v>
      </c>
      <c r="I466" s="1882" t="s">
        <v>968</v>
      </c>
      <c r="J466" s="1885" t="s">
        <v>5089</v>
      </c>
      <c r="K466" s="1882">
        <v>1</v>
      </c>
      <c r="L466" s="1884" t="s">
        <v>5090</v>
      </c>
      <c r="M466" s="1886">
        <v>45065</v>
      </c>
    </row>
    <row r="467" spans="1:13" s="1353" customFormat="1" ht="45.75" customHeight="1">
      <c r="A467" s="1882">
        <f t="shared" si="1"/>
        <v>460</v>
      </c>
      <c r="B467" s="1883" t="s">
        <v>1008</v>
      </c>
      <c r="C467" s="1883" t="s">
        <v>1155</v>
      </c>
      <c r="D467" s="1884" t="s">
        <v>1154</v>
      </c>
      <c r="E467" s="1884" t="s">
        <v>1008</v>
      </c>
      <c r="F467" s="1882" t="s">
        <v>4904</v>
      </c>
      <c r="G467" s="1885">
        <v>41</v>
      </c>
      <c r="H467" s="1884" t="s">
        <v>1855</v>
      </c>
      <c r="I467" s="1882" t="s">
        <v>985</v>
      </c>
      <c r="J467" s="1885" t="s">
        <v>5091</v>
      </c>
      <c r="K467" s="1882">
        <v>1</v>
      </c>
      <c r="L467" s="1884" t="s">
        <v>5092</v>
      </c>
      <c r="M467" s="1886">
        <v>45065</v>
      </c>
    </row>
    <row r="468" spans="1:13" s="1353" customFormat="1" ht="46.5" customHeight="1">
      <c r="A468" s="1882">
        <f t="shared" si="1"/>
        <v>461</v>
      </c>
      <c r="B468" s="1883" t="s">
        <v>1008</v>
      </c>
      <c r="C468" s="1883" t="s">
        <v>1155</v>
      </c>
      <c r="D468" s="1884" t="s">
        <v>1154</v>
      </c>
      <c r="E468" s="1884" t="s">
        <v>1008</v>
      </c>
      <c r="F468" s="1882" t="s">
        <v>4904</v>
      </c>
      <c r="G468" s="1885">
        <v>41</v>
      </c>
      <c r="H468" s="1884" t="s">
        <v>1855</v>
      </c>
      <c r="I468" s="1882" t="s">
        <v>958</v>
      </c>
      <c r="J468" s="1885" t="s">
        <v>5093</v>
      </c>
      <c r="K468" s="1882">
        <v>1</v>
      </c>
      <c r="L468" s="1884" t="s">
        <v>5092</v>
      </c>
      <c r="M468" s="1886">
        <v>45065</v>
      </c>
    </row>
    <row r="469" spans="1:13" s="1353" customFormat="1" ht="89.25" customHeight="1">
      <c r="A469" s="1882">
        <f t="shared" si="1"/>
        <v>462</v>
      </c>
      <c r="B469" s="1883" t="s">
        <v>1008</v>
      </c>
      <c r="C469" s="1883" t="s">
        <v>1161</v>
      </c>
      <c r="D469" s="1884" t="s">
        <v>1160</v>
      </c>
      <c r="E469" s="1884" t="s">
        <v>1008</v>
      </c>
      <c r="F469" s="1882" t="s">
        <v>4904</v>
      </c>
      <c r="G469" s="1885">
        <v>41</v>
      </c>
      <c r="H469" s="1884" t="s">
        <v>1855</v>
      </c>
      <c r="I469" s="1882" t="s">
        <v>958</v>
      </c>
      <c r="J469" s="1885" t="s">
        <v>5094</v>
      </c>
      <c r="K469" s="1882">
        <v>1</v>
      </c>
      <c r="L469" s="1884" t="s">
        <v>5092</v>
      </c>
      <c r="M469" s="1886">
        <v>45065</v>
      </c>
    </row>
    <row r="470" spans="1:13" s="1353" customFormat="1" ht="14.4">
      <c r="A470" s="1861">
        <f t="shared" si="1"/>
        <v>463</v>
      </c>
      <c r="B470" s="1862"/>
      <c r="C470" s="1862"/>
      <c r="D470" s="1863"/>
      <c r="E470" s="1863"/>
      <c r="F470" s="1861"/>
      <c r="G470" s="1864"/>
      <c r="H470" s="1863"/>
      <c r="I470" s="1861"/>
      <c r="J470" s="1861"/>
      <c r="K470" s="1861"/>
      <c r="L470" s="1863"/>
      <c r="M470" s="1865"/>
    </row>
    <row r="471" spans="1:13" s="1353" customFormat="1" ht="14.4">
      <c r="A471" s="1861">
        <f t="shared" si="1"/>
        <v>464</v>
      </c>
      <c r="B471" s="1862"/>
      <c r="C471" s="1862"/>
      <c r="D471" s="1863"/>
      <c r="E471" s="1863"/>
      <c r="F471" s="1861"/>
      <c r="G471" s="1864"/>
      <c r="H471" s="1863"/>
      <c r="I471" s="1861"/>
      <c r="J471" s="1861"/>
      <c r="K471" s="1861"/>
      <c r="L471" s="1863"/>
      <c r="M471" s="1865"/>
    </row>
    <row r="472" spans="1:13" s="1353" customFormat="1" ht="14.4">
      <c r="A472" s="1861">
        <f t="shared" si="1"/>
        <v>465</v>
      </c>
      <c r="B472" s="1862"/>
      <c r="C472" s="1862"/>
      <c r="D472" s="1863"/>
      <c r="E472" s="1863"/>
      <c r="F472" s="1861"/>
      <c r="G472" s="1864"/>
      <c r="H472" s="1863"/>
      <c r="I472" s="1861"/>
      <c r="J472" s="1861"/>
      <c r="K472" s="1861"/>
      <c r="L472" s="1863"/>
      <c r="M472" s="1865"/>
    </row>
    <row r="473" spans="1:13" s="1353" customFormat="1" ht="14.4">
      <c r="A473" s="1861">
        <f t="shared" si="1"/>
        <v>466</v>
      </c>
      <c r="B473" s="1862"/>
      <c r="C473" s="1862"/>
      <c r="D473" s="1863"/>
      <c r="E473" s="1863"/>
      <c r="F473" s="1861"/>
      <c r="G473" s="1864"/>
      <c r="H473" s="1863"/>
      <c r="I473" s="1861"/>
      <c r="J473" s="1861"/>
      <c r="K473" s="1861"/>
      <c r="L473" s="1863"/>
      <c r="M473" s="1865"/>
    </row>
    <row r="474" spans="1:13" s="1353" customFormat="1" ht="14.4">
      <c r="A474" s="1861">
        <f t="shared" si="1"/>
        <v>467</v>
      </c>
      <c r="B474" s="1862"/>
      <c r="C474" s="1862"/>
      <c r="D474" s="1863"/>
      <c r="E474" s="1863"/>
      <c r="F474" s="1861"/>
      <c r="G474" s="1864"/>
      <c r="H474" s="1863"/>
      <c r="I474" s="1861"/>
      <c r="J474" s="1861"/>
      <c r="K474" s="1861"/>
      <c r="L474" s="1863"/>
      <c r="M474" s="1865"/>
    </row>
    <row r="475" spans="1:13" s="1353" customFormat="1" ht="14.4">
      <c r="A475" s="1861">
        <f t="shared" si="1"/>
        <v>468</v>
      </c>
      <c r="B475" s="1862"/>
      <c r="C475" s="1862"/>
      <c r="D475" s="1863"/>
      <c r="E475" s="1863"/>
      <c r="F475" s="1861"/>
      <c r="G475" s="1864"/>
      <c r="H475" s="1863"/>
      <c r="I475" s="1861"/>
      <c r="J475" s="1861"/>
      <c r="K475" s="1861"/>
      <c r="L475" s="1863"/>
      <c r="M475" s="1865"/>
    </row>
    <row r="476" spans="1:13" s="1353" customFormat="1" ht="14.4">
      <c r="A476" s="1861">
        <f t="shared" si="1"/>
        <v>469</v>
      </c>
      <c r="B476" s="1862"/>
      <c r="C476" s="1862"/>
      <c r="D476" s="1863"/>
      <c r="E476" s="1863"/>
      <c r="F476" s="1861"/>
      <c r="G476" s="1864"/>
      <c r="H476" s="1863"/>
      <c r="I476" s="1861"/>
      <c r="J476" s="1861"/>
      <c r="K476" s="1861"/>
      <c r="L476" s="1863"/>
      <c r="M476" s="1865"/>
    </row>
    <row r="477" spans="1:13" s="1353" customFormat="1" ht="14.4">
      <c r="A477" s="1861">
        <f t="shared" si="1"/>
        <v>470</v>
      </c>
      <c r="B477" s="1862"/>
      <c r="C477" s="1862"/>
      <c r="D477" s="1863"/>
      <c r="E477" s="1863"/>
      <c r="F477" s="1861"/>
      <c r="G477" s="1864"/>
      <c r="H477" s="1863"/>
      <c r="I477" s="1861"/>
      <c r="J477" s="1861"/>
      <c r="K477" s="1861"/>
      <c r="L477" s="1863"/>
      <c r="M477" s="1865"/>
    </row>
    <row r="478" spans="1:13" s="1353" customFormat="1" ht="14.4">
      <c r="A478" s="1861">
        <f t="shared" si="1"/>
        <v>471</v>
      </c>
      <c r="B478" s="1862"/>
      <c r="C478" s="1862"/>
      <c r="D478" s="1863"/>
      <c r="E478" s="1863"/>
      <c r="F478" s="1861"/>
      <c r="G478" s="1864"/>
      <c r="H478" s="1863"/>
      <c r="I478" s="1861"/>
      <c r="J478" s="1861"/>
      <c r="K478" s="1861"/>
      <c r="L478" s="1863"/>
      <c r="M478" s="1865"/>
    </row>
    <row r="479" spans="1:13" s="1353" customFormat="1" ht="14.4">
      <c r="A479" s="1861">
        <f t="shared" si="1"/>
        <v>472</v>
      </c>
      <c r="B479" s="1862"/>
      <c r="C479" s="1862"/>
      <c r="D479" s="1863"/>
      <c r="E479" s="1863"/>
      <c r="F479" s="1861"/>
      <c r="G479" s="1864"/>
      <c r="H479" s="1863"/>
      <c r="I479" s="1861"/>
      <c r="J479" s="1861"/>
      <c r="K479" s="1861"/>
      <c r="L479" s="1863"/>
      <c r="M479" s="1865"/>
    </row>
    <row r="480" spans="1:13" s="1353" customFormat="1" ht="14.4">
      <c r="A480" s="1861">
        <f t="shared" si="1"/>
        <v>473</v>
      </c>
      <c r="B480" s="1862"/>
      <c r="C480" s="1862"/>
      <c r="D480" s="1863"/>
      <c r="E480" s="1863"/>
      <c r="F480" s="1861"/>
      <c r="G480" s="1864"/>
      <c r="H480" s="1863"/>
      <c r="I480" s="1861"/>
      <c r="J480" s="1861"/>
      <c r="K480" s="1861"/>
      <c r="L480" s="1863"/>
      <c r="M480" s="1865"/>
    </row>
    <row r="481" spans="1:13" s="1353" customFormat="1" ht="14.4">
      <c r="A481" s="1861">
        <f t="shared" si="1"/>
        <v>474</v>
      </c>
      <c r="B481" s="1862"/>
      <c r="C481" s="1862"/>
      <c r="D481" s="1863"/>
      <c r="E481" s="1863"/>
      <c r="F481" s="1861"/>
      <c r="G481" s="1864"/>
      <c r="H481" s="1863"/>
      <c r="I481" s="1861"/>
      <c r="J481" s="1861"/>
      <c r="K481" s="1861"/>
      <c r="L481" s="1863"/>
      <c r="M481" s="1865"/>
    </row>
    <row r="482" spans="1:13" s="1353" customFormat="1" ht="14.4">
      <c r="A482" s="1861">
        <f t="shared" si="1"/>
        <v>475</v>
      </c>
      <c r="B482" s="1862"/>
      <c r="C482" s="1862"/>
      <c r="D482" s="1863"/>
      <c r="E482" s="1863"/>
      <c r="F482" s="1861"/>
      <c r="G482" s="1864"/>
      <c r="H482" s="1863"/>
      <c r="I482" s="1861"/>
      <c r="J482" s="1861"/>
      <c r="K482" s="1861"/>
      <c r="L482" s="1863"/>
      <c r="M482" s="1865"/>
    </row>
    <row r="483" spans="1:13" s="1353" customFormat="1" ht="14.4">
      <c r="A483" s="1861">
        <f t="shared" si="1"/>
        <v>476</v>
      </c>
      <c r="B483" s="1862"/>
      <c r="C483" s="1862"/>
      <c r="D483" s="1863"/>
      <c r="E483" s="1863"/>
      <c r="F483" s="1861"/>
      <c r="G483" s="1864"/>
      <c r="H483" s="1863"/>
      <c r="I483" s="1861"/>
      <c r="J483" s="1861"/>
      <c r="K483" s="1861"/>
      <c r="L483" s="1863"/>
      <c r="M483" s="1865"/>
    </row>
    <row r="484" spans="1:13" s="1353" customFormat="1" ht="14.4">
      <c r="A484" s="1861">
        <f t="shared" si="1"/>
        <v>477</v>
      </c>
      <c r="B484" s="1862"/>
      <c r="C484" s="1862"/>
      <c r="D484" s="1863"/>
      <c r="E484" s="1863"/>
      <c r="F484" s="1861"/>
      <c r="G484" s="1864"/>
      <c r="H484" s="1863"/>
      <c r="I484" s="1861"/>
      <c r="J484" s="1861"/>
      <c r="K484" s="1861"/>
      <c r="L484" s="1863"/>
      <c r="M484" s="1865"/>
    </row>
    <row r="485" spans="1:13" s="1353" customFormat="1" ht="14.4">
      <c r="A485" s="1861">
        <f t="shared" si="1"/>
        <v>478</v>
      </c>
      <c r="B485" s="1862"/>
      <c r="C485" s="1862"/>
      <c r="D485" s="1863"/>
      <c r="E485" s="1863"/>
      <c r="F485" s="1861"/>
      <c r="G485" s="1864"/>
      <c r="H485" s="1863"/>
      <c r="I485" s="1861"/>
      <c r="J485" s="1861"/>
      <c r="K485" s="1861"/>
      <c r="L485" s="1863"/>
      <c r="M485" s="1865"/>
    </row>
    <row r="486" spans="1:13" s="1353" customFormat="1" ht="14.4">
      <c r="A486" s="1861">
        <f t="shared" si="1"/>
        <v>479</v>
      </c>
      <c r="B486" s="1862"/>
      <c r="C486" s="1862"/>
      <c r="D486" s="1863"/>
      <c r="E486" s="1863"/>
      <c r="F486" s="1861"/>
      <c r="G486" s="1864"/>
      <c r="H486" s="1863"/>
      <c r="I486" s="1861"/>
      <c r="J486" s="1861"/>
      <c r="K486" s="1861"/>
      <c r="L486" s="1863"/>
      <c r="M486" s="1865"/>
    </row>
    <row r="487" spans="1:13" s="1353" customFormat="1" ht="14.4">
      <c r="A487" s="1861">
        <f t="shared" si="1"/>
        <v>480</v>
      </c>
      <c r="B487" s="1862"/>
      <c r="C487" s="1862"/>
      <c r="D487" s="1863"/>
      <c r="E487" s="1863"/>
      <c r="F487" s="1861"/>
      <c r="G487" s="1864"/>
      <c r="H487" s="1863"/>
      <c r="I487" s="1861"/>
      <c r="J487" s="1861"/>
      <c r="K487" s="1861"/>
      <c r="L487" s="1863"/>
      <c r="M487" s="1865"/>
    </row>
    <row r="488" spans="1:13" s="1353" customFormat="1" ht="14.4">
      <c r="A488" s="1861">
        <f t="shared" si="1"/>
        <v>481</v>
      </c>
      <c r="B488" s="1862"/>
      <c r="C488" s="1862"/>
      <c r="D488" s="1863"/>
      <c r="E488" s="1863"/>
      <c r="F488" s="1861"/>
      <c r="G488" s="1864"/>
      <c r="H488" s="1863"/>
      <c r="I488" s="1861"/>
      <c r="J488" s="1861"/>
      <c r="K488" s="1861"/>
      <c r="L488" s="1863"/>
      <c r="M488" s="1865"/>
    </row>
    <row r="489" spans="1:13" s="1353" customFormat="1" ht="14.4">
      <c r="A489" s="1861">
        <f t="shared" si="1"/>
        <v>482</v>
      </c>
      <c r="B489" s="1862"/>
      <c r="C489" s="1862"/>
      <c r="D489" s="1863"/>
      <c r="E489" s="1863"/>
      <c r="F489" s="1861"/>
      <c r="G489" s="1864"/>
      <c r="H489" s="1863"/>
      <c r="I489" s="1861"/>
      <c r="J489" s="1861"/>
      <c r="K489" s="1861"/>
      <c r="L489" s="1863"/>
      <c r="M489" s="1865"/>
    </row>
    <row r="490" spans="1:13" s="1353" customFormat="1" ht="14.4">
      <c r="A490" s="1861">
        <f t="shared" ref="A490:A506" si="2">A489+1</f>
        <v>483</v>
      </c>
      <c r="B490" s="1862"/>
      <c r="C490" s="1862"/>
      <c r="D490" s="1863"/>
      <c r="E490" s="1863"/>
      <c r="F490" s="1861"/>
      <c r="G490" s="1864"/>
      <c r="H490" s="1863"/>
      <c r="I490" s="1861"/>
      <c r="J490" s="1861"/>
      <c r="K490" s="1861"/>
      <c r="L490" s="1863"/>
      <c r="M490" s="1865"/>
    </row>
    <row r="491" spans="1:13" s="1353" customFormat="1" ht="14.4">
      <c r="A491" s="1861">
        <f t="shared" si="2"/>
        <v>484</v>
      </c>
      <c r="B491" s="1862"/>
      <c r="C491" s="1862"/>
      <c r="D491" s="1863"/>
      <c r="E491" s="1863"/>
      <c r="F491" s="1861"/>
      <c r="G491" s="1864"/>
      <c r="H491" s="1863"/>
      <c r="I491" s="1861"/>
      <c r="J491" s="1861"/>
      <c r="K491" s="1861"/>
      <c r="L491" s="1863"/>
      <c r="M491" s="1865"/>
    </row>
    <row r="492" spans="1:13" s="1353" customFormat="1" ht="14.4">
      <c r="A492" s="1861">
        <f t="shared" si="2"/>
        <v>485</v>
      </c>
      <c r="B492" s="1862"/>
      <c r="C492" s="1862"/>
      <c r="D492" s="1863"/>
      <c r="E492" s="1863"/>
      <c r="F492" s="1861"/>
      <c r="G492" s="1864"/>
      <c r="H492" s="1863"/>
      <c r="I492" s="1861"/>
      <c r="J492" s="1861"/>
      <c r="K492" s="1861"/>
      <c r="L492" s="1863"/>
      <c r="M492" s="1865"/>
    </row>
    <row r="493" spans="1:13" s="1353" customFormat="1" ht="14.4">
      <c r="A493" s="1861">
        <f t="shared" si="2"/>
        <v>486</v>
      </c>
      <c r="B493" s="1862"/>
      <c r="C493" s="1862"/>
      <c r="D493" s="1863"/>
      <c r="E493" s="1863"/>
      <c r="F493" s="1861"/>
      <c r="G493" s="1864"/>
      <c r="H493" s="1863"/>
      <c r="I493" s="1861"/>
      <c r="J493" s="1861"/>
      <c r="K493" s="1861"/>
      <c r="L493" s="1863"/>
      <c r="M493" s="1865"/>
    </row>
    <row r="494" spans="1:13" s="1353" customFormat="1" ht="14.4">
      <c r="A494" s="1861">
        <f t="shared" si="2"/>
        <v>487</v>
      </c>
      <c r="B494" s="1862"/>
      <c r="C494" s="1862"/>
      <c r="D494" s="1863"/>
      <c r="E494" s="1863"/>
      <c r="F494" s="1861"/>
      <c r="G494" s="1864"/>
      <c r="H494" s="1863"/>
      <c r="I494" s="1861"/>
      <c r="J494" s="1861"/>
      <c r="K494" s="1861"/>
      <c r="L494" s="1863"/>
      <c r="M494" s="1865"/>
    </row>
    <row r="495" spans="1:13" s="1353" customFormat="1" ht="14.4">
      <c r="A495" s="1861">
        <f t="shared" si="2"/>
        <v>488</v>
      </c>
      <c r="B495" s="1862"/>
      <c r="C495" s="1862"/>
      <c r="D495" s="1863"/>
      <c r="E495" s="1863"/>
      <c r="F495" s="1861"/>
      <c r="G495" s="1864"/>
      <c r="H495" s="1863"/>
      <c r="I495" s="1861"/>
      <c r="J495" s="1861"/>
      <c r="K495" s="1861"/>
      <c r="L495" s="1863"/>
      <c r="M495" s="1865"/>
    </row>
    <row r="496" spans="1:13" s="1353" customFormat="1" ht="14.4">
      <c r="A496" s="1861">
        <f t="shared" si="2"/>
        <v>489</v>
      </c>
      <c r="B496" s="1862"/>
      <c r="C496" s="1862"/>
      <c r="D496" s="1863"/>
      <c r="E496" s="1863"/>
      <c r="F496" s="1861"/>
      <c r="G496" s="1864"/>
      <c r="H496" s="1863"/>
      <c r="I496" s="1861"/>
      <c r="J496" s="1861"/>
      <c r="K496" s="1861"/>
      <c r="L496" s="1863"/>
      <c r="M496" s="1865"/>
    </row>
    <row r="497" spans="1:13" s="1353" customFormat="1" ht="14.4">
      <c r="A497" s="1861">
        <f t="shared" si="2"/>
        <v>490</v>
      </c>
      <c r="B497" s="1862"/>
      <c r="C497" s="1862"/>
      <c r="D497" s="1863"/>
      <c r="E497" s="1863"/>
      <c r="F497" s="1861"/>
      <c r="G497" s="1864"/>
      <c r="H497" s="1863"/>
      <c r="I497" s="1861"/>
      <c r="J497" s="1861"/>
      <c r="K497" s="1861"/>
      <c r="L497" s="1863"/>
      <c r="M497" s="1865"/>
    </row>
    <row r="498" spans="1:13" s="1353" customFormat="1" ht="14.4">
      <c r="A498" s="1861">
        <f t="shared" si="2"/>
        <v>491</v>
      </c>
      <c r="B498" s="1862"/>
      <c r="C498" s="1862"/>
      <c r="D498" s="1863"/>
      <c r="E498" s="1863"/>
      <c r="F498" s="1861"/>
      <c r="G498" s="1864"/>
      <c r="H498" s="1863"/>
      <c r="I498" s="1861"/>
      <c r="J498" s="1861"/>
      <c r="K498" s="1861"/>
      <c r="L498" s="1863"/>
      <c r="M498" s="1865"/>
    </row>
    <row r="499" spans="1:13" s="1353" customFormat="1" ht="14.4">
      <c r="A499" s="1861">
        <f t="shared" si="2"/>
        <v>492</v>
      </c>
      <c r="B499" s="1862"/>
      <c r="C499" s="1862"/>
      <c r="D499" s="1863"/>
      <c r="E499" s="1863"/>
      <c r="F499" s="1861"/>
      <c r="G499" s="1864"/>
      <c r="H499" s="1863"/>
      <c r="I499" s="1861"/>
      <c r="J499" s="1861"/>
      <c r="K499" s="1861"/>
      <c r="L499" s="1863"/>
      <c r="M499" s="1865"/>
    </row>
    <row r="500" spans="1:13" s="1353" customFormat="1" ht="14.4">
      <c r="A500" s="1861">
        <f t="shared" si="2"/>
        <v>493</v>
      </c>
      <c r="B500" s="1862"/>
      <c r="C500" s="1862"/>
      <c r="D500" s="1863"/>
      <c r="E500" s="1863"/>
      <c r="F500" s="1861"/>
      <c r="G500" s="1864"/>
      <c r="H500" s="1863"/>
      <c r="I500" s="1861"/>
      <c r="J500" s="1861"/>
      <c r="K500" s="1861"/>
      <c r="L500" s="1863"/>
      <c r="M500" s="1865"/>
    </row>
    <row r="501" spans="1:13" s="1353" customFormat="1" ht="14.4">
      <c r="A501" s="1861">
        <f t="shared" si="2"/>
        <v>494</v>
      </c>
      <c r="B501" s="1862"/>
      <c r="C501" s="1862"/>
      <c r="D501" s="1863"/>
      <c r="E501" s="1863"/>
      <c r="F501" s="1861"/>
      <c r="G501" s="1864"/>
      <c r="H501" s="1863"/>
      <c r="I501" s="1861"/>
      <c r="J501" s="1861"/>
      <c r="K501" s="1861"/>
      <c r="L501" s="1863"/>
      <c r="M501" s="1865"/>
    </row>
    <row r="502" spans="1:13" s="1353" customFormat="1" ht="14.4">
      <c r="A502" s="1861">
        <f t="shared" si="2"/>
        <v>495</v>
      </c>
      <c r="B502" s="1862"/>
      <c r="C502" s="1862"/>
      <c r="D502" s="1863"/>
      <c r="E502" s="1863"/>
      <c r="F502" s="1861"/>
      <c r="G502" s="1864"/>
      <c r="H502" s="1863"/>
      <c r="I502" s="1861"/>
      <c r="J502" s="1861"/>
      <c r="K502" s="1861"/>
      <c r="L502" s="1863"/>
      <c r="M502" s="1865"/>
    </row>
    <row r="503" spans="1:13" s="1353" customFormat="1" ht="14.4">
      <c r="A503" s="1861">
        <f t="shared" si="2"/>
        <v>496</v>
      </c>
      <c r="B503" s="1862"/>
      <c r="C503" s="1862"/>
      <c r="D503" s="1863"/>
      <c r="E503" s="1863"/>
      <c r="F503" s="1861"/>
      <c r="G503" s="1864"/>
      <c r="H503" s="1863"/>
      <c r="I503" s="1861"/>
      <c r="J503" s="1861"/>
      <c r="K503" s="1861"/>
      <c r="L503" s="1863"/>
      <c r="M503" s="1865"/>
    </row>
    <row r="504" spans="1:13" s="1353" customFormat="1" ht="14.4">
      <c r="A504" s="1861">
        <f t="shared" si="2"/>
        <v>497</v>
      </c>
      <c r="B504" s="1862"/>
      <c r="C504" s="1862"/>
      <c r="D504" s="1863"/>
      <c r="E504" s="1863"/>
      <c r="F504" s="1861"/>
      <c r="G504" s="1864"/>
      <c r="H504" s="1863"/>
      <c r="I504" s="1861"/>
      <c r="J504" s="1861"/>
      <c r="K504" s="1861"/>
      <c r="L504" s="1863"/>
      <c r="M504" s="1865"/>
    </row>
    <row r="505" spans="1:13" s="1353" customFormat="1" ht="14.4">
      <c r="A505" s="1861">
        <f t="shared" si="2"/>
        <v>498</v>
      </c>
      <c r="B505" s="1862"/>
      <c r="C505" s="1862"/>
      <c r="D505" s="1863"/>
      <c r="E505" s="1863"/>
      <c r="F505" s="1861"/>
      <c r="G505" s="1864"/>
      <c r="H505" s="1863"/>
      <c r="I505" s="1861"/>
      <c r="J505" s="1861"/>
      <c r="K505" s="1861"/>
      <c r="L505" s="1863"/>
      <c r="M505" s="1865"/>
    </row>
    <row r="506" spans="1:13" s="1353" customFormat="1" ht="14.4">
      <c r="A506" s="1861">
        <f t="shared" si="2"/>
        <v>499</v>
      </c>
      <c r="B506" s="1862"/>
      <c r="C506" s="1862"/>
      <c r="D506" s="1863"/>
      <c r="E506" s="1863"/>
      <c r="F506" s="1861"/>
      <c r="G506" s="1864"/>
      <c r="H506" s="1863"/>
      <c r="I506" s="1861"/>
      <c r="J506" s="1861"/>
      <c r="K506" s="1861"/>
      <c r="L506" s="1863"/>
      <c r="M506" s="1865"/>
    </row>
    <row r="507" spans="1:13" s="1353" customFormat="1" ht="14.4">
      <c r="B507" s="1506"/>
      <c r="D507" s="2151"/>
      <c r="E507" s="2151"/>
      <c r="F507" s="1551"/>
      <c r="G507" s="1551"/>
      <c r="H507" s="1551"/>
      <c r="I507" s="1551"/>
      <c r="J507" s="1551"/>
      <c r="K507" s="1551"/>
      <c r="L507" s="2151"/>
    </row>
    <row r="508" spans="1:13" s="1353" customFormat="1" ht="14.4">
      <c r="B508" s="1506"/>
      <c r="D508" s="2151"/>
      <c r="E508" s="2151"/>
      <c r="F508" s="1551"/>
      <c r="G508" s="1551"/>
      <c r="H508" s="1551"/>
      <c r="I508" s="1551"/>
      <c r="J508" s="1551"/>
      <c r="K508" s="1551"/>
      <c r="L508" s="2151"/>
    </row>
    <row r="509" spans="1:13" s="1353" customFormat="1" ht="14.4">
      <c r="B509" s="1506"/>
      <c r="D509" s="2151"/>
      <c r="E509" s="2151"/>
      <c r="F509" s="1551"/>
      <c r="G509" s="1551"/>
      <c r="H509" s="1551"/>
      <c r="I509" s="1551"/>
      <c r="J509" s="1551"/>
      <c r="K509" s="1551"/>
      <c r="L509" s="2151"/>
    </row>
    <row r="510" spans="1:13" s="1353" customFormat="1" ht="14.4">
      <c r="B510" s="1506"/>
      <c r="D510" s="2151"/>
      <c r="E510" s="2151"/>
      <c r="F510" s="1551"/>
      <c r="G510" s="1551"/>
      <c r="H510" s="1551"/>
      <c r="I510" s="1551"/>
      <c r="J510" s="1551"/>
      <c r="K510" s="1551"/>
      <c r="L510" s="2151"/>
    </row>
    <row r="511" spans="1:13" s="1353" customFormat="1" ht="14.4">
      <c r="B511" s="1506"/>
      <c r="D511" s="2151"/>
      <c r="E511" s="2151"/>
      <c r="F511" s="1551"/>
      <c r="G511" s="1551"/>
      <c r="H511" s="1551"/>
      <c r="I511" s="1551"/>
      <c r="J511" s="1551"/>
      <c r="K511" s="1551"/>
      <c r="L511" s="2151"/>
    </row>
    <row r="512" spans="1:13" s="1353" customFormat="1" ht="14.4">
      <c r="B512" s="1506"/>
      <c r="D512" s="2151"/>
      <c r="E512" s="2151"/>
      <c r="F512" s="1551"/>
      <c r="G512" s="1551"/>
      <c r="H512" s="1551"/>
      <c r="I512" s="1551"/>
      <c r="J512" s="1551"/>
      <c r="K512" s="1551"/>
      <c r="L512" s="2151"/>
    </row>
    <row r="513" spans="2:12" s="1353" customFormat="1" ht="14.4">
      <c r="B513" s="1506"/>
      <c r="D513" s="2151"/>
      <c r="E513" s="2151"/>
      <c r="F513" s="1551"/>
      <c r="G513" s="1551"/>
      <c r="H513" s="1551"/>
      <c r="I513" s="1551"/>
      <c r="J513" s="1551"/>
      <c r="K513" s="1551"/>
      <c r="L513" s="2151"/>
    </row>
    <row r="514" spans="2:12" s="1353" customFormat="1" ht="14.4">
      <c r="B514" s="1506"/>
      <c r="D514" s="2151"/>
      <c r="E514" s="2151"/>
      <c r="F514" s="1551"/>
      <c r="G514" s="1551"/>
      <c r="H514" s="1551"/>
      <c r="I514" s="1551"/>
      <c r="J514" s="1551"/>
      <c r="K514" s="1551"/>
      <c r="L514" s="2151"/>
    </row>
    <row r="515" spans="2:12" s="1353" customFormat="1" ht="14.4">
      <c r="B515" s="1506"/>
      <c r="D515" s="2151"/>
      <c r="E515" s="2151"/>
      <c r="F515" s="1551"/>
      <c r="G515" s="1551"/>
      <c r="H515" s="1551"/>
      <c r="I515" s="1551"/>
      <c r="J515" s="1551"/>
      <c r="K515" s="1551"/>
      <c r="L515" s="2151"/>
    </row>
    <row r="516" spans="2:12" s="1353" customFormat="1" ht="14.4">
      <c r="B516" s="1506"/>
      <c r="D516" s="2151"/>
      <c r="E516" s="2151"/>
      <c r="F516" s="1551"/>
      <c r="G516" s="1551"/>
      <c r="H516" s="1551"/>
      <c r="I516" s="1551"/>
      <c r="J516" s="1551"/>
      <c r="K516" s="1551"/>
      <c r="L516" s="2151"/>
    </row>
    <row r="517" spans="2:12" s="1353" customFormat="1" ht="14.4">
      <c r="B517" s="1506"/>
      <c r="D517" s="2151"/>
      <c r="E517" s="2151"/>
      <c r="F517" s="1551"/>
      <c r="G517" s="1551"/>
      <c r="H517" s="1551"/>
      <c r="I517" s="1551"/>
      <c r="J517" s="1551"/>
      <c r="K517" s="1551"/>
      <c r="L517" s="2151"/>
    </row>
    <row r="518" spans="2:12" s="1353" customFormat="1" ht="14.4">
      <c r="B518" s="1506"/>
      <c r="D518" s="2151"/>
      <c r="E518" s="2151"/>
      <c r="F518" s="1551"/>
      <c r="G518" s="1551"/>
      <c r="H518" s="1551"/>
      <c r="I518" s="1551"/>
      <c r="J518" s="1551"/>
      <c r="K518" s="1551"/>
      <c r="L518" s="2151"/>
    </row>
    <row r="519" spans="2:12" s="1353" customFormat="1" ht="14.4">
      <c r="B519" s="1506"/>
      <c r="D519" s="2151"/>
      <c r="E519" s="2151"/>
      <c r="F519" s="1551"/>
      <c r="G519" s="1551"/>
      <c r="H519" s="1551"/>
      <c r="I519" s="1551"/>
      <c r="J519" s="1551"/>
      <c r="K519" s="1551"/>
      <c r="L519" s="2151"/>
    </row>
    <row r="520" spans="2:12" s="1353" customFormat="1" ht="14.4">
      <c r="B520" s="1506"/>
      <c r="D520" s="2151"/>
      <c r="E520" s="2151"/>
      <c r="F520" s="1551"/>
      <c r="G520" s="1551"/>
      <c r="H520" s="1551"/>
      <c r="I520" s="1551"/>
      <c r="J520" s="1551"/>
      <c r="K520" s="1551"/>
      <c r="L520" s="2151"/>
    </row>
    <row r="521" spans="2:12" s="1353" customFormat="1" ht="14.4">
      <c r="B521" s="1506"/>
      <c r="D521" s="2151"/>
      <c r="E521" s="2151"/>
      <c r="F521" s="1551"/>
      <c r="G521" s="1551"/>
      <c r="H521" s="1551"/>
      <c r="I521" s="1551"/>
      <c r="J521" s="1551"/>
      <c r="K521" s="1551"/>
      <c r="L521" s="2151"/>
    </row>
    <row r="522" spans="2:12" s="1353" customFormat="1" ht="14.4">
      <c r="B522" s="1506"/>
      <c r="D522" s="2151"/>
      <c r="E522" s="2151"/>
      <c r="F522" s="1551"/>
      <c r="G522" s="1551"/>
      <c r="H522" s="1551"/>
      <c r="I522" s="1551"/>
      <c r="J522" s="1551"/>
      <c r="K522" s="1551"/>
      <c r="L522" s="2151"/>
    </row>
    <row r="523" spans="2:12" s="1353" customFormat="1" ht="14.4">
      <c r="B523" s="1506"/>
      <c r="D523" s="2151"/>
      <c r="E523" s="2151"/>
      <c r="F523" s="1551"/>
      <c r="G523" s="1551"/>
      <c r="H523" s="1551"/>
      <c r="I523" s="1551"/>
      <c r="J523" s="1551"/>
      <c r="K523" s="1551"/>
      <c r="L523" s="2151"/>
    </row>
    <row r="524" spans="2:12" s="1353" customFormat="1" ht="14.4">
      <c r="B524" s="1506"/>
      <c r="D524" s="2151"/>
      <c r="E524" s="2151"/>
      <c r="F524" s="1551"/>
      <c r="G524" s="1551"/>
      <c r="H524" s="1551"/>
      <c r="I524" s="1551"/>
      <c r="J524" s="1551"/>
      <c r="K524" s="1551"/>
      <c r="L524" s="2151"/>
    </row>
    <row r="525" spans="2:12" s="1353" customFormat="1" ht="14.4">
      <c r="B525" s="1506"/>
      <c r="D525" s="2151"/>
      <c r="E525" s="2151"/>
      <c r="F525" s="1551"/>
      <c r="G525" s="1551"/>
      <c r="H525" s="1551"/>
      <c r="I525" s="1551"/>
      <c r="J525" s="1551"/>
      <c r="K525" s="1551"/>
      <c r="L525" s="2151"/>
    </row>
    <row r="526" spans="2:12" s="1353" customFormat="1" ht="14.4">
      <c r="B526" s="1506"/>
      <c r="D526" s="2151"/>
      <c r="E526" s="2151"/>
      <c r="F526" s="1551"/>
      <c r="G526" s="1551"/>
      <c r="H526" s="1551"/>
      <c r="I526" s="1551"/>
      <c r="J526" s="1551"/>
      <c r="K526" s="1551"/>
      <c r="L526" s="2151"/>
    </row>
    <row r="527" spans="2:12" s="1353" customFormat="1" ht="14.4">
      <c r="B527" s="1506"/>
      <c r="D527" s="2151"/>
      <c r="E527" s="2151"/>
      <c r="F527" s="1551"/>
      <c r="G527" s="1551"/>
      <c r="H527" s="1551"/>
      <c r="I527" s="1551"/>
      <c r="J527" s="1551"/>
      <c r="K527" s="1551"/>
      <c r="L527" s="2151"/>
    </row>
    <row r="528" spans="2:12" s="1353" customFormat="1" ht="14.4">
      <c r="B528" s="1506"/>
      <c r="D528" s="2151"/>
      <c r="E528" s="2151"/>
      <c r="F528" s="1551"/>
      <c r="G528" s="1551"/>
      <c r="H528" s="1551"/>
      <c r="I528" s="1551"/>
      <c r="J528" s="1551"/>
      <c r="K528" s="1551"/>
      <c r="L528" s="2151"/>
    </row>
    <row r="529" spans="2:12" s="1353" customFormat="1" ht="14.4">
      <c r="B529" s="1506"/>
      <c r="D529" s="2151"/>
      <c r="E529" s="2151"/>
      <c r="F529" s="1551"/>
      <c r="G529" s="1551"/>
      <c r="H529" s="1551"/>
      <c r="I529" s="1551"/>
      <c r="J529" s="1551"/>
      <c r="K529" s="1551"/>
      <c r="L529" s="2151"/>
    </row>
    <row r="530" spans="2:12" s="1353" customFormat="1" ht="14.4">
      <c r="B530" s="1506"/>
      <c r="D530" s="2151"/>
      <c r="E530" s="2151"/>
      <c r="F530" s="1551"/>
      <c r="G530" s="1551"/>
      <c r="H530" s="1551"/>
      <c r="I530" s="1551"/>
      <c r="J530" s="1551"/>
      <c r="K530" s="1551"/>
      <c r="L530" s="2151"/>
    </row>
    <row r="531" spans="2:12" s="1353" customFormat="1" ht="14.4">
      <c r="B531" s="1506"/>
      <c r="D531" s="2151"/>
      <c r="E531" s="2151"/>
      <c r="F531" s="1551"/>
      <c r="G531" s="1551"/>
      <c r="H531" s="1551"/>
      <c r="I531" s="1551"/>
      <c r="J531" s="1551"/>
      <c r="K531" s="1551"/>
      <c r="L531" s="2151"/>
    </row>
    <row r="532" spans="2:12" s="1353" customFormat="1" ht="14.4">
      <c r="B532" s="1506"/>
      <c r="D532" s="2151"/>
      <c r="E532" s="2151"/>
      <c r="F532" s="1551"/>
      <c r="G532" s="1551"/>
      <c r="H532" s="1551"/>
      <c r="I532" s="1551"/>
      <c r="J532" s="1551"/>
      <c r="K532" s="1551"/>
      <c r="L532" s="2151"/>
    </row>
    <row r="533" spans="2:12" s="1353" customFormat="1" ht="14.4">
      <c r="B533" s="1506"/>
      <c r="D533" s="2151"/>
      <c r="E533" s="2151"/>
      <c r="F533" s="1551"/>
      <c r="G533" s="1551"/>
      <c r="H533" s="1551"/>
      <c r="I533" s="1551"/>
      <c r="J533" s="1551"/>
      <c r="K533" s="1551"/>
      <c r="L533" s="2151"/>
    </row>
    <row r="534" spans="2:12" s="1353" customFormat="1" ht="14.4">
      <c r="B534" s="1506"/>
      <c r="D534" s="2151"/>
      <c r="E534" s="2151"/>
      <c r="F534" s="1551"/>
      <c r="G534" s="1551"/>
      <c r="H534" s="1551"/>
      <c r="I534" s="1551"/>
      <c r="J534" s="1551"/>
      <c r="K534" s="1551"/>
      <c r="L534" s="2151"/>
    </row>
    <row r="535" spans="2:12" s="1353" customFormat="1" ht="14.4">
      <c r="B535" s="1506"/>
      <c r="D535" s="2151"/>
      <c r="E535" s="2151"/>
      <c r="F535" s="1551"/>
      <c r="G535" s="1551"/>
      <c r="H535" s="1551"/>
      <c r="I535" s="1551"/>
      <c r="J535" s="1551"/>
      <c r="K535" s="1551"/>
      <c r="L535" s="2151"/>
    </row>
    <row r="536" spans="2:12" s="1353" customFormat="1" ht="14.4">
      <c r="B536" s="1506"/>
      <c r="D536" s="2151"/>
      <c r="E536" s="2151"/>
      <c r="F536" s="1551"/>
      <c r="G536" s="1551"/>
      <c r="H536" s="1551"/>
      <c r="I536" s="1551"/>
      <c r="J536" s="1551"/>
      <c r="K536" s="1551"/>
      <c r="L536" s="2151"/>
    </row>
  </sheetData>
  <sheetProtection autoFilter="0"/>
  <autoFilter ref="A7:M506" xr:uid="{00000000-0009-0000-0000-000025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500-000000000000}"/>
    <hyperlink ref="E3" r:id="rId2" xr:uid="{00000000-0004-0000-2500-000001000000}"/>
    <hyperlink ref="L425" r:id="rId3" xr:uid="{00000000-0004-0000-2500-000002000000}"/>
    <hyperlink ref="L427" r:id="rId4" xr:uid="{00000000-0004-0000-2500-000003000000}"/>
    <hyperlink ref="L428" r:id="rId5" xr:uid="{00000000-0004-0000-2500-000004000000}"/>
    <hyperlink ref="L429" r:id="rId6" xr:uid="{00000000-0004-0000-2500-000005000000}"/>
    <hyperlink ref="L430" r:id="rId7" xr:uid="{00000000-0004-0000-2500-000006000000}"/>
    <hyperlink ref="L431" r:id="rId8" xr:uid="{00000000-0004-0000-2500-000007000000}"/>
    <hyperlink ref="L432" r:id="rId9" xr:uid="{00000000-0004-0000-2500-000008000000}"/>
    <hyperlink ref="L433" r:id="rId10" xr:uid="{00000000-0004-0000-2500-000009000000}"/>
    <hyperlink ref="L434" r:id="rId11" xr:uid="{00000000-0004-0000-2500-00000A000000}"/>
    <hyperlink ref="L435" r:id="rId12" xr:uid="{00000000-0004-0000-2500-00000B000000}"/>
    <hyperlink ref="L436" r:id="rId13" xr:uid="{00000000-0004-0000-2500-00000C000000}"/>
    <hyperlink ref="L437" r:id="rId14" xr:uid="{00000000-0004-0000-2500-00000D000000}"/>
    <hyperlink ref="L438" r:id="rId15" xr:uid="{00000000-0004-0000-2500-00000E000000}"/>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9.8984375" style="1228" customWidth="1"/>
    <col min="6" max="6" width="13.3984375" style="1227" customWidth="1"/>
    <col min="7" max="7" width="12.3984375" style="1227" customWidth="1"/>
    <col min="8" max="8" width="41.69921875" style="1227" customWidth="1"/>
    <col min="9" max="9" width="9.09765625" style="1227" customWidth="1"/>
    <col min="10" max="10" width="15.69921875" style="1227" customWidth="1"/>
    <col min="11" max="11" width="15.8984375" style="1227" customWidth="1"/>
    <col min="12" max="12" width="95.59765625" style="1228" bestFit="1" customWidth="1"/>
    <col min="13" max="13" width="13.8984375" customWidth="1"/>
    <col min="16" max="16" width="10.09765625" bestFit="1" customWidth="1"/>
  </cols>
  <sheetData>
    <row r="1" spans="1:107" s="45" customFormat="1" ht="32.4">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
      <c r="A2" s="1353" t="s">
        <v>4883</v>
      </c>
      <c r="B2" s="1506"/>
      <c r="D2" s="2151" t="s">
        <v>4884</v>
      </c>
      <c r="E2" s="2151"/>
      <c r="F2" s="1551"/>
      <c r="G2" s="1551"/>
      <c r="H2" s="1551"/>
      <c r="I2" s="1551"/>
      <c r="J2" s="1551"/>
      <c r="K2" s="1551"/>
      <c r="L2" s="2151"/>
    </row>
    <row r="3" spans="1:107" s="1353" customFormat="1" ht="14.4">
      <c r="A3" s="1552"/>
      <c r="B3" s="1506" t="s">
        <v>5095</v>
      </c>
      <c r="D3" s="2150" t="s">
        <v>4886</v>
      </c>
      <c r="E3" s="2227" t="s">
        <v>4887</v>
      </c>
      <c r="F3" s="2228"/>
      <c r="G3" s="1551"/>
      <c r="H3" s="1551"/>
      <c r="I3" s="1551"/>
      <c r="J3" s="1551"/>
      <c r="K3" s="1551"/>
      <c r="L3" s="2151"/>
    </row>
    <row r="4" spans="1:107" s="1353" customFormat="1" ht="14.4">
      <c r="A4" s="1553"/>
      <c r="B4" s="1506" t="s">
        <v>5096</v>
      </c>
      <c r="D4" s="2150"/>
      <c r="E4" s="2150"/>
      <c r="F4" s="1551"/>
      <c r="G4" s="1551"/>
      <c r="H4" s="1551"/>
      <c r="I4" s="1551"/>
      <c r="J4" s="1551"/>
      <c r="K4" s="1551"/>
      <c r="L4" s="2151"/>
    </row>
    <row r="5" spans="1:107" s="1353" customFormat="1" ht="14.4">
      <c r="A5" s="1554"/>
      <c r="B5" s="1506" t="s">
        <v>5097</v>
      </c>
      <c r="D5" s="2150"/>
      <c r="E5" s="2150"/>
      <c r="F5" s="1551"/>
      <c r="G5" s="1551"/>
      <c r="H5" s="1551"/>
      <c r="I5" s="1551"/>
      <c r="J5" s="1551"/>
      <c r="K5" s="1551"/>
      <c r="L5" s="2151"/>
    </row>
    <row r="6" spans="1:107" s="1353" customFormat="1" ht="14.4">
      <c r="A6" s="1873"/>
      <c r="B6" s="1506" t="s">
        <v>4890</v>
      </c>
      <c r="D6" s="2151"/>
      <c r="E6" s="2151"/>
      <c r="F6" s="1551"/>
      <c r="G6" s="1551"/>
      <c r="H6" s="1551"/>
      <c r="I6" s="1551"/>
      <c r="J6" s="1551"/>
      <c r="K6" s="1551"/>
      <c r="L6" s="2151"/>
    </row>
    <row r="7" spans="1:107" s="1353" customFormat="1" ht="28.8">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4">
      <c r="A8" s="1621">
        <v>1</v>
      </c>
      <c r="B8" s="1622" t="s">
        <v>972</v>
      </c>
      <c r="C8" s="1623" t="s">
        <v>2071</v>
      </c>
      <c r="D8" s="1623" t="s">
        <v>4902</v>
      </c>
      <c r="E8" s="1623" t="s">
        <v>4903</v>
      </c>
      <c r="F8" s="1621" t="s">
        <v>5098</v>
      </c>
      <c r="G8" s="1621">
        <v>95</v>
      </c>
      <c r="H8" s="1621" t="s">
        <v>1859</v>
      </c>
      <c r="I8" s="1621" t="s">
        <v>985</v>
      </c>
      <c r="J8" s="1624">
        <v>2</v>
      </c>
      <c r="K8" s="1624">
        <v>1.5</v>
      </c>
      <c r="L8" s="1623" t="s">
        <v>4905</v>
      </c>
      <c r="M8" s="1625">
        <v>44287</v>
      </c>
    </row>
    <row r="9" spans="1:107" s="1353" customFormat="1" ht="14.4">
      <c r="A9" s="1621">
        <v>2</v>
      </c>
      <c r="B9" s="1622" t="s">
        <v>972</v>
      </c>
      <c r="C9" s="1623" t="s">
        <v>2071</v>
      </c>
      <c r="D9" s="1623" t="s">
        <v>4902</v>
      </c>
      <c r="E9" s="1623" t="s">
        <v>4903</v>
      </c>
      <c r="F9" s="1621" t="s">
        <v>5098</v>
      </c>
      <c r="G9" s="1621">
        <v>95</v>
      </c>
      <c r="H9" s="1621" t="s">
        <v>1859</v>
      </c>
      <c r="I9" s="1621" t="s">
        <v>958</v>
      </c>
      <c r="J9" s="1624">
        <v>2</v>
      </c>
      <c r="K9" s="1624">
        <v>1.5</v>
      </c>
      <c r="L9" s="1623" t="s">
        <v>4905</v>
      </c>
      <c r="M9" s="1625">
        <v>44287</v>
      </c>
    </row>
    <row r="10" spans="1:107" s="1353" customFormat="1" ht="14.4">
      <c r="A10" s="1621">
        <v>3</v>
      </c>
      <c r="B10" s="1622" t="s">
        <v>972</v>
      </c>
      <c r="C10" s="1623" t="s">
        <v>2071</v>
      </c>
      <c r="D10" s="1623" t="s">
        <v>4902</v>
      </c>
      <c r="E10" s="1623" t="s">
        <v>4903</v>
      </c>
      <c r="F10" s="1621" t="s">
        <v>5098</v>
      </c>
      <c r="G10" s="1621">
        <v>95</v>
      </c>
      <c r="H10" s="1621" t="s">
        <v>1859</v>
      </c>
      <c r="I10" s="1621" t="s">
        <v>970</v>
      </c>
      <c r="J10" s="1624">
        <v>2</v>
      </c>
      <c r="K10" s="1624">
        <v>1.5</v>
      </c>
      <c r="L10" s="1623" t="s">
        <v>4905</v>
      </c>
      <c r="M10" s="1625">
        <v>44287</v>
      </c>
    </row>
    <row r="11" spans="1:107" s="1353" customFormat="1" ht="14.4">
      <c r="A11" s="1621">
        <v>4</v>
      </c>
      <c r="B11" s="1622" t="s">
        <v>972</v>
      </c>
      <c r="C11" s="1623" t="s">
        <v>2078</v>
      </c>
      <c r="D11" s="1623" t="s">
        <v>629</v>
      </c>
      <c r="E11" s="1623" t="s">
        <v>4903</v>
      </c>
      <c r="F11" s="1621" t="s">
        <v>5098</v>
      </c>
      <c r="G11" s="1621">
        <v>85</v>
      </c>
      <c r="H11" s="1621" t="s">
        <v>1857</v>
      </c>
      <c r="I11" s="1621" t="s">
        <v>968</v>
      </c>
      <c r="J11" s="1624">
        <v>-109.48162685541099</v>
      </c>
      <c r="K11" s="1624" t="s">
        <v>4906</v>
      </c>
      <c r="L11" s="1623" t="s">
        <v>4907</v>
      </c>
      <c r="M11" s="1625">
        <v>44287</v>
      </c>
    </row>
    <row r="12" spans="1:107" s="1353" customFormat="1" ht="14.4">
      <c r="A12" s="1621">
        <v>5</v>
      </c>
      <c r="B12" s="1622" t="s">
        <v>972</v>
      </c>
      <c r="C12" s="1623" t="s">
        <v>2078</v>
      </c>
      <c r="D12" s="1623" t="s">
        <v>629</v>
      </c>
      <c r="E12" s="1623" t="s">
        <v>4903</v>
      </c>
      <c r="F12" s="1621" t="s">
        <v>5098</v>
      </c>
      <c r="G12" s="1621">
        <v>85</v>
      </c>
      <c r="H12" s="1621" t="s">
        <v>1857</v>
      </c>
      <c r="I12" s="1621" t="s">
        <v>980</v>
      </c>
      <c r="J12" s="1624">
        <v>-109.48162685541099</v>
      </c>
      <c r="K12" s="1624" t="s">
        <v>4906</v>
      </c>
      <c r="L12" s="1623" t="s">
        <v>4907</v>
      </c>
      <c r="M12" s="1625">
        <v>44287</v>
      </c>
    </row>
    <row r="13" spans="1:107" s="1353" customFormat="1" ht="14.4">
      <c r="A13" s="1621">
        <v>6</v>
      </c>
      <c r="B13" s="1622" t="s">
        <v>972</v>
      </c>
      <c r="C13" s="1623" t="s">
        <v>2078</v>
      </c>
      <c r="D13" s="1623" t="s">
        <v>629</v>
      </c>
      <c r="E13" s="1623" t="s">
        <v>4903</v>
      </c>
      <c r="F13" s="1621" t="s">
        <v>5098</v>
      </c>
      <c r="G13" s="1621">
        <v>85</v>
      </c>
      <c r="H13" s="1621" t="s">
        <v>1857</v>
      </c>
      <c r="I13" s="1621" t="s">
        <v>985</v>
      </c>
      <c r="J13" s="1624">
        <v>-109.48162685541099</v>
      </c>
      <c r="K13" s="1624" t="s">
        <v>4906</v>
      </c>
      <c r="L13" s="1623" t="s">
        <v>4907</v>
      </c>
      <c r="M13" s="1625">
        <v>44287</v>
      </c>
    </row>
    <row r="14" spans="1:107" s="1353" customFormat="1" ht="14.4">
      <c r="A14" s="1621">
        <v>7</v>
      </c>
      <c r="B14" s="1622" t="s">
        <v>972</v>
      </c>
      <c r="C14" s="1623" t="s">
        <v>2078</v>
      </c>
      <c r="D14" s="1623" t="s">
        <v>629</v>
      </c>
      <c r="E14" s="1623" t="s">
        <v>4903</v>
      </c>
      <c r="F14" s="1621" t="s">
        <v>5098</v>
      </c>
      <c r="G14" s="1621">
        <v>85</v>
      </c>
      <c r="H14" s="1621" t="s">
        <v>1857</v>
      </c>
      <c r="I14" s="1621" t="s">
        <v>958</v>
      </c>
      <c r="J14" s="1624">
        <v>-109.48162685541099</v>
      </c>
      <c r="K14" s="1624" t="s">
        <v>4906</v>
      </c>
      <c r="L14" s="1623" t="s">
        <v>4907</v>
      </c>
      <c r="M14" s="1625">
        <v>44287</v>
      </c>
    </row>
    <row r="15" spans="1:107" s="1353" customFormat="1" ht="14.4">
      <c r="A15" s="1621">
        <v>8</v>
      </c>
      <c r="B15" s="1622" t="s">
        <v>972</v>
      </c>
      <c r="C15" s="1623" t="s">
        <v>2078</v>
      </c>
      <c r="D15" s="1623" t="s">
        <v>629</v>
      </c>
      <c r="E15" s="1623" t="s">
        <v>4903</v>
      </c>
      <c r="F15" s="1621" t="s">
        <v>5098</v>
      </c>
      <c r="G15" s="1621">
        <v>85</v>
      </c>
      <c r="H15" s="1621" t="s">
        <v>1857</v>
      </c>
      <c r="I15" s="1621" t="s">
        <v>970</v>
      </c>
      <c r="J15" s="1624">
        <v>-109.48162685541099</v>
      </c>
      <c r="K15" s="1624" t="s">
        <v>4906</v>
      </c>
      <c r="L15" s="1623" t="s">
        <v>4907</v>
      </c>
      <c r="M15" s="1625">
        <v>44287</v>
      </c>
    </row>
    <row r="16" spans="1:107" s="1353" customFormat="1" ht="14.4">
      <c r="A16" s="1621">
        <v>9</v>
      </c>
      <c r="B16" s="1622" t="s">
        <v>972</v>
      </c>
      <c r="C16" s="1623" t="s">
        <v>2078</v>
      </c>
      <c r="D16" s="1623" t="s">
        <v>629</v>
      </c>
      <c r="E16" s="1623" t="s">
        <v>4903</v>
      </c>
      <c r="F16" s="1621" t="s">
        <v>5098</v>
      </c>
      <c r="G16" s="1621">
        <v>110</v>
      </c>
      <c r="H16" s="1621" t="s">
        <v>1862</v>
      </c>
      <c r="I16" s="1621" t="s">
        <v>968</v>
      </c>
      <c r="J16" s="1624" t="s">
        <v>4797</v>
      </c>
      <c r="K16" s="1624" t="s">
        <v>4906</v>
      </c>
      <c r="L16" s="1623" t="s">
        <v>4907</v>
      </c>
      <c r="M16" s="1625">
        <v>44287</v>
      </c>
    </row>
    <row r="17" spans="1:13" s="1353" customFormat="1" ht="14.4">
      <c r="A17" s="1621">
        <v>10</v>
      </c>
      <c r="B17" s="1622" t="s">
        <v>972</v>
      </c>
      <c r="C17" s="1623" t="s">
        <v>2078</v>
      </c>
      <c r="D17" s="1623" t="s">
        <v>629</v>
      </c>
      <c r="E17" s="1623" t="s">
        <v>4903</v>
      </c>
      <c r="F17" s="1621" t="s">
        <v>5098</v>
      </c>
      <c r="G17" s="1621">
        <v>110</v>
      </c>
      <c r="H17" s="1621" t="s">
        <v>1862</v>
      </c>
      <c r="I17" s="1621" t="s">
        <v>980</v>
      </c>
      <c r="J17" s="1624" t="s">
        <v>4797</v>
      </c>
      <c r="K17" s="1624" t="s">
        <v>4906</v>
      </c>
      <c r="L17" s="1623" t="s">
        <v>4907</v>
      </c>
      <c r="M17" s="1625">
        <v>44287</v>
      </c>
    </row>
    <row r="18" spans="1:13" s="1353" customFormat="1" ht="14.4">
      <c r="A18" s="1621">
        <v>11</v>
      </c>
      <c r="B18" s="1622" t="s">
        <v>972</v>
      </c>
      <c r="C18" s="1623" t="s">
        <v>2078</v>
      </c>
      <c r="D18" s="1623" t="s">
        <v>629</v>
      </c>
      <c r="E18" s="1623" t="s">
        <v>4903</v>
      </c>
      <c r="F18" s="1621" t="s">
        <v>5098</v>
      </c>
      <c r="G18" s="1621">
        <v>110</v>
      </c>
      <c r="H18" s="1621" t="s">
        <v>1862</v>
      </c>
      <c r="I18" s="1621" t="s">
        <v>985</v>
      </c>
      <c r="J18" s="1624" t="s">
        <v>4797</v>
      </c>
      <c r="K18" s="1624" t="s">
        <v>4906</v>
      </c>
      <c r="L18" s="1623" t="s">
        <v>4907</v>
      </c>
      <c r="M18" s="1625">
        <v>44287</v>
      </c>
    </row>
    <row r="19" spans="1:13" s="1353" customFormat="1" ht="14.4">
      <c r="A19" s="1621">
        <v>12</v>
      </c>
      <c r="B19" s="1622" t="s">
        <v>972</v>
      </c>
      <c r="C19" s="1623" t="s">
        <v>2078</v>
      </c>
      <c r="D19" s="1623" t="s">
        <v>629</v>
      </c>
      <c r="E19" s="1623" t="s">
        <v>4903</v>
      </c>
      <c r="F19" s="1621" t="s">
        <v>5098</v>
      </c>
      <c r="G19" s="1621">
        <v>110</v>
      </c>
      <c r="H19" s="1621" t="s">
        <v>1862</v>
      </c>
      <c r="I19" s="1621" t="s">
        <v>958</v>
      </c>
      <c r="J19" s="1624" t="s">
        <v>4797</v>
      </c>
      <c r="K19" s="1624" t="s">
        <v>4906</v>
      </c>
      <c r="L19" s="1623" t="s">
        <v>4907</v>
      </c>
      <c r="M19" s="1625">
        <v>44287</v>
      </c>
    </row>
    <row r="20" spans="1:13" s="1353" customFormat="1" ht="14.4">
      <c r="A20" s="1621">
        <v>13</v>
      </c>
      <c r="B20" s="1622" t="s">
        <v>972</v>
      </c>
      <c r="C20" s="1623" t="s">
        <v>2078</v>
      </c>
      <c r="D20" s="1623" t="s">
        <v>629</v>
      </c>
      <c r="E20" s="1623" t="s">
        <v>4903</v>
      </c>
      <c r="F20" s="1621" t="s">
        <v>5098</v>
      </c>
      <c r="G20" s="1621">
        <v>110</v>
      </c>
      <c r="H20" s="1621" t="s">
        <v>1862</v>
      </c>
      <c r="I20" s="1621" t="s">
        <v>970</v>
      </c>
      <c r="J20" s="1624" t="s">
        <v>4797</v>
      </c>
      <c r="K20" s="1624" t="s">
        <v>4906</v>
      </c>
      <c r="L20" s="1623" t="s">
        <v>4907</v>
      </c>
      <c r="M20" s="1625">
        <v>44287</v>
      </c>
    </row>
    <row r="21" spans="1:13" s="1353" customFormat="1" ht="43.2">
      <c r="A21" s="1621">
        <v>14</v>
      </c>
      <c r="B21" s="1622" t="s">
        <v>972</v>
      </c>
      <c r="C21" s="1623" t="s">
        <v>2078</v>
      </c>
      <c r="D21" s="1623" t="s">
        <v>629</v>
      </c>
      <c r="E21" s="1623" t="s">
        <v>4903</v>
      </c>
      <c r="F21" s="1621" t="s">
        <v>5098</v>
      </c>
      <c r="G21" s="1621">
        <v>115</v>
      </c>
      <c r="H21" s="1626" t="s">
        <v>1908</v>
      </c>
      <c r="I21" s="1621" t="s">
        <v>1037</v>
      </c>
      <c r="J21" s="1624">
        <v>-0.28038099999999999</v>
      </c>
      <c r="K21" s="1624">
        <v>-0.7</v>
      </c>
      <c r="L21" s="1623" t="s">
        <v>4908</v>
      </c>
      <c r="M21" s="1625">
        <v>44287</v>
      </c>
    </row>
    <row r="22" spans="1:13" s="1353" customFormat="1" ht="14.4">
      <c r="A22" s="1621">
        <v>15</v>
      </c>
      <c r="B22" s="1622" t="s">
        <v>972</v>
      </c>
      <c r="C22" s="1623" t="s">
        <v>2078</v>
      </c>
      <c r="D22" s="1623" t="s">
        <v>629</v>
      </c>
      <c r="E22" s="1623" t="s">
        <v>4903</v>
      </c>
      <c r="F22" s="1621" t="s">
        <v>5098</v>
      </c>
      <c r="G22" s="1621">
        <v>118</v>
      </c>
      <c r="H22" s="1621" t="s">
        <v>1910</v>
      </c>
      <c r="I22" s="1621" t="s">
        <v>1037</v>
      </c>
      <c r="J22" s="1624">
        <v>-0.78239599999999998</v>
      </c>
      <c r="K22" s="1624" t="s">
        <v>4906</v>
      </c>
      <c r="L22" s="1623" t="s">
        <v>4909</v>
      </c>
      <c r="M22" s="1625">
        <v>44287</v>
      </c>
    </row>
    <row r="23" spans="1:13" s="1353" customFormat="1" ht="14.4">
      <c r="A23" s="1621">
        <v>16</v>
      </c>
      <c r="B23" s="1622" t="s">
        <v>972</v>
      </c>
      <c r="C23" s="1623" t="s">
        <v>2078</v>
      </c>
      <c r="D23" s="1623" t="s">
        <v>629</v>
      </c>
      <c r="E23" s="1623" t="s">
        <v>4903</v>
      </c>
      <c r="F23" s="1621" t="s">
        <v>5098</v>
      </c>
      <c r="G23" s="1621">
        <v>122</v>
      </c>
      <c r="H23" s="1621" t="s">
        <v>1914</v>
      </c>
      <c r="I23" s="1621" t="s">
        <v>1037</v>
      </c>
      <c r="J23" s="1624">
        <v>0.78239599999999998</v>
      </c>
      <c r="K23" s="1624" t="s">
        <v>4906</v>
      </c>
      <c r="L23" s="1623" t="s">
        <v>4909</v>
      </c>
      <c r="M23" s="1625">
        <v>44287</v>
      </c>
    </row>
    <row r="24" spans="1:13" s="1353" customFormat="1" ht="14.4">
      <c r="A24" s="1621">
        <v>17</v>
      </c>
      <c r="B24" s="1622" t="s">
        <v>972</v>
      </c>
      <c r="C24" s="1623" t="s">
        <v>2089</v>
      </c>
      <c r="D24" s="1623" t="s">
        <v>689</v>
      </c>
      <c r="E24" s="1623" t="s">
        <v>4903</v>
      </c>
      <c r="F24" s="1621" t="s">
        <v>5098</v>
      </c>
      <c r="G24" s="1621">
        <v>90</v>
      </c>
      <c r="H24" s="1621" t="s">
        <v>1858</v>
      </c>
      <c r="I24" s="1621" t="s">
        <v>968</v>
      </c>
      <c r="J24" s="1624">
        <v>36.756999999999998</v>
      </c>
      <c r="K24" s="1624">
        <v>41.6</v>
      </c>
      <c r="L24" s="1623" t="s">
        <v>4910</v>
      </c>
      <c r="M24" s="1625">
        <v>44287</v>
      </c>
    </row>
    <row r="25" spans="1:13" s="1353" customFormat="1" ht="14.4">
      <c r="A25" s="1621">
        <v>18</v>
      </c>
      <c r="B25" s="1622" t="s">
        <v>972</v>
      </c>
      <c r="C25" s="1623" t="s">
        <v>2089</v>
      </c>
      <c r="D25" s="1623" t="s">
        <v>689</v>
      </c>
      <c r="E25" s="1623" t="s">
        <v>4903</v>
      </c>
      <c r="F25" s="1621" t="s">
        <v>5098</v>
      </c>
      <c r="G25" s="1621">
        <v>90</v>
      </c>
      <c r="H25" s="1621" t="s">
        <v>1858</v>
      </c>
      <c r="I25" s="1621" t="s">
        <v>980</v>
      </c>
      <c r="J25" s="1624">
        <v>36.756999999999998</v>
      </c>
      <c r="K25" s="1624">
        <v>41.6</v>
      </c>
      <c r="L25" s="1623" t="s">
        <v>4910</v>
      </c>
      <c r="M25" s="1625">
        <v>44287</v>
      </c>
    </row>
    <row r="26" spans="1:13" s="1353" customFormat="1" ht="14.4">
      <c r="A26" s="1621">
        <v>19</v>
      </c>
      <c r="B26" s="1622" t="s">
        <v>972</v>
      </c>
      <c r="C26" s="1623" t="s">
        <v>2089</v>
      </c>
      <c r="D26" s="1623" t="s">
        <v>689</v>
      </c>
      <c r="E26" s="1623" t="s">
        <v>4903</v>
      </c>
      <c r="F26" s="1621" t="s">
        <v>5098</v>
      </c>
      <c r="G26" s="1621">
        <v>90</v>
      </c>
      <c r="H26" s="1621" t="s">
        <v>1858</v>
      </c>
      <c r="I26" s="1621" t="s">
        <v>985</v>
      </c>
      <c r="J26" s="1624">
        <v>36.756999999999998</v>
      </c>
      <c r="K26" s="1624">
        <v>41.6</v>
      </c>
      <c r="L26" s="1623" t="s">
        <v>4910</v>
      </c>
      <c r="M26" s="1625">
        <v>44287</v>
      </c>
    </row>
    <row r="27" spans="1:13" s="1353" customFormat="1" ht="14.4">
      <c r="A27" s="1621">
        <v>20</v>
      </c>
      <c r="B27" s="1622" t="s">
        <v>972</v>
      </c>
      <c r="C27" s="1623" t="s">
        <v>2089</v>
      </c>
      <c r="D27" s="1623" t="s">
        <v>689</v>
      </c>
      <c r="E27" s="1623" t="s">
        <v>4903</v>
      </c>
      <c r="F27" s="1621" t="s">
        <v>5098</v>
      </c>
      <c r="G27" s="1621">
        <v>90</v>
      </c>
      <c r="H27" s="1621" t="s">
        <v>1858</v>
      </c>
      <c r="I27" s="1621" t="s">
        <v>958</v>
      </c>
      <c r="J27" s="1624">
        <v>36.756999999999998</v>
      </c>
      <c r="K27" s="1624">
        <v>41.6</v>
      </c>
      <c r="L27" s="1623" t="s">
        <v>4910</v>
      </c>
      <c r="M27" s="1625">
        <v>44287</v>
      </c>
    </row>
    <row r="28" spans="1:13" s="1353" customFormat="1" ht="14.4">
      <c r="A28" s="1621">
        <v>21</v>
      </c>
      <c r="B28" s="1622" t="s">
        <v>972</v>
      </c>
      <c r="C28" s="1623" t="s">
        <v>2089</v>
      </c>
      <c r="D28" s="1623" t="s">
        <v>689</v>
      </c>
      <c r="E28" s="1623" t="s">
        <v>4903</v>
      </c>
      <c r="F28" s="1621" t="s">
        <v>5098</v>
      </c>
      <c r="G28" s="1621">
        <v>90</v>
      </c>
      <c r="H28" s="1621" t="s">
        <v>1858</v>
      </c>
      <c r="I28" s="1621" t="s">
        <v>970</v>
      </c>
      <c r="J28" s="1624">
        <v>36.756999999999998</v>
      </c>
      <c r="K28" s="1624">
        <v>41.6</v>
      </c>
      <c r="L28" s="1623" t="s">
        <v>4910</v>
      </c>
      <c r="M28" s="1625">
        <v>44287</v>
      </c>
    </row>
    <row r="29" spans="1:13" s="1353" customFormat="1" ht="14.4">
      <c r="A29" s="1621">
        <v>22</v>
      </c>
      <c r="B29" s="1622" t="s">
        <v>972</v>
      </c>
      <c r="C29" s="1623" t="s">
        <v>2100</v>
      </c>
      <c r="D29" s="1623" t="s">
        <v>4911</v>
      </c>
      <c r="E29" s="1623" t="s">
        <v>4903</v>
      </c>
      <c r="F29" s="1621" t="s">
        <v>5098</v>
      </c>
      <c r="G29" s="1621">
        <v>95</v>
      </c>
      <c r="H29" s="1621" t="s">
        <v>1859</v>
      </c>
      <c r="I29" s="1621" t="s">
        <v>968</v>
      </c>
      <c r="J29" s="1624" t="s">
        <v>4906</v>
      </c>
      <c r="K29" s="1624">
        <v>150.1</v>
      </c>
      <c r="L29" s="1623" t="s">
        <v>4912</v>
      </c>
      <c r="M29" s="1625">
        <v>44287</v>
      </c>
    </row>
    <row r="30" spans="1:13" s="1353" customFormat="1" ht="14.4">
      <c r="A30" s="1621">
        <v>23</v>
      </c>
      <c r="B30" s="1622" t="s">
        <v>972</v>
      </c>
      <c r="C30" s="1623" t="s">
        <v>2100</v>
      </c>
      <c r="D30" s="1623" t="s">
        <v>4911</v>
      </c>
      <c r="E30" s="1623" t="s">
        <v>4903</v>
      </c>
      <c r="F30" s="1621" t="s">
        <v>5098</v>
      </c>
      <c r="G30" s="1621">
        <v>95</v>
      </c>
      <c r="H30" s="1621" t="s">
        <v>1859</v>
      </c>
      <c r="I30" s="1621" t="s">
        <v>980</v>
      </c>
      <c r="J30" s="1624" t="s">
        <v>4906</v>
      </c>
      <c r="K30" s="1624">
        <v>148.1</v>
      </c>
      <c r="L30" s="1623" t="s">
        <v>4912</v>
      </c>
      <c r="M30" s="1625">
        <v>44287</v>
      </c>
    </row>
    <row r="31" spans="1:13" s="1353" customFormat="1" ht="14.4">
      <c r="A31" s="1621">
        <v>24</v>
      </c>
      <c r="B31" s="1622" t="s">
        <v>972</v>
      </c>
      <c r="C31" s="1623" t="s">
        <v>2100</v>
      </c>
      <c r="D31" s="1623" t="s">
        <v>4911</v>
      </c>
      <c r="E31" s="1623" t="s">
        <v>4903</v>
      </c>
      <c r="F31" s="1621" t="s">
        <v>5098</v>
      </c>
      <c r="G31" s="1621">
        <v>95</v>
      </c>
      <c r="H31" s="1621" t="s">
        <v>1859</v>
      </c>
      <c r="I31" s="1621" t="s">
        <v>985</v>
      </c>
      <c r="J31" s="1624" t="s">
        <v>4906</v>
      </c>
      <c r="K31" s="1624">
        <v>146.19999999999999</v>
      </c>
      <c r="L31" s="1623" t="s">
        <v>4912</v>
      </c>
      <c r="M31" s="1625">
        <v>44287</v>
      </c>
    </row>
    <row r="32" spans="1:13" s="1353" customFormat="1" ht="14.4">
      <c r="A32" s="1621">
        <v>25</v>
      </c>
      <c r="B32" s="1622" t="s">
        <v>972</v>
      </c>
      <c r="C32" s="1623" t="s">
        <v>2100</v>
      </c>
      <c r="D32" s="1623" t="s">
        <v>4911</v>
      </c>
      <c r="E32" s="1623" t="s">
        <v>4903</v>
      </c>
      <c r="F32" s="1621" t="s">
        <v>5098</v>
      </c>
      <c r="G32" s="1621">
        <v>95</v>
      </c>
      <c r="H32" s="1621" t="s">
        <v>1859</v>
      </c>
      <c r="I32" s="1621" t="s">
        <v>958</v>
      </c>
      <c r="J32" s="1624" t="s">
        <v>4906</v>
      </c>
      <c r="K32" s="1624">
        <v>144.19999999999999</v>
      </c>
      <c r="L32" s="1623" t="s">
        <v>4912</v>
      </c>
      <c r="M32" s="1625">
        <v>44287</v>
      </c>
    </row>
    <row r="33" spans="1:13" s="1353" customFormat="1" ht="14.4">
      <c r="A33" s="1621">
        <v>26</v>
      </c>
      <c r="B33" s="1622" t="s">
        <v>972</v>
      </c>
      <c r="C33" s="1623" t="s">
        <v>2100</v>
      </c>
      <c r="D33" s="1623" t="s">
        <v>4911</v>
      </c>
      <c r="E33" s="1623" t="s">
        <v>4903</v>
      </c>
      <c r="F33" s="1621" t="s">
        <v>5098</v>
      </c>
      <c r="G33" s="1621">
        <v>95</v>
      </c>
      <c r="H33" s="1621" t="s">
        <v>1859</v>
      </c>
      <c r="I33" s="1621" t="s">
        <v>970</v>
      </c>
      <c r="J33" s="1624" t="s">
        <v>4906</v>
      </c>
      <c r="K33" s="1624">
        <v>142.30000000000001</v>
      </c>
      <c r="L33" s="1623" t="s">
        <v>4912</v>
      </c>
      <c r="M33" s="1625">
        <v>44287</v>
      </c>
    </row>
    <row r="34" spans="1:13" s="1353" customFormat="1" ht="14.4">
      <c r="A34" s="1621">
        <v>27</v>
      </c>
      <c r="B34" s="1622" t="s">
        <v>972</v>
      </c>
      <c r="C34" s="1623" t="s">
        <v>2105</v>
      </c>
      <c r="D34" s="1623" t="s">
        <v>4913</v>
      </c>
      <c r="E34" s="1623" t="s">
        <v>4903</v>
      </c>
      <c r="F34" s="1621" t="s">
        <v>5098</v>
      </c>
      <c r="G34" s="1621">
        <v>95</v>
      </c>
      <c r="H34" s="1621" t="s">
        <v>1859</v>
      </c>
      <c r="I34" s="1621" t="s">
        <v>968</v>
      </c>
      <c r="J34" s="1624" t="s">
        <v>4906</v>
      </c>
      <c r="K34" s="1624">
        <v>2.81</v>
      </c>
      <c r="L34" s="1623" t="s">
        <v>4914</v>
      </c>
      <c r="M34" s="1625">
        <v>44287</v>
      </c>
    </row>
    <row r="35" spans="1:13" s="1353" customFormat="1" ht="14.4">
      <c r="A35" s="1621">
        <v>28</v>
      </c>
      <c r="B35" s="1622" t="s">
        <v>972</v>
      </c>
      <c r="C35" s="1623" t="s">
        <v>2105</v>
      </c>
      <c r="D35" s="1623" t="s">
        <v>4913</v>
      </c>
      <c r="E35" s="1623" t="s">
        <v>4903</v>
      </c>
      <c r="F35" s="1621" t="s">
        <v>5098</v>
      </c>
      <c r="G35" s="1621">
        <v>95</v>
      </c>
      <c r="H35" s="1621" t="s">
        <v>1859</v>
      </c>
      <c r="I35" s="1621" t="s">
        <v>980</v>
      </c>
      <c r="J35" s="1624" t="s">
        <v>4906</v>
      </c>
      <c r="K35" s="1624">
        <v>2.81</v>
      </c>
      <c r="L35" s="1623" t="s">
        <v>4914</v>
      </c>
      <c r="M35" s="1625">
        <v>44287</v>
      </c>
    </row>
    <row r="36" spans="1:13" s="1353" customFormat="1" ht="14.4">
      <c r="A36" s="1621">
        <v>29</v>
      </c>
      <c r="B36" s="1622" t="s">
        <v>972</v>
      </c>
      <c r="C36" s="1623" t="s">
        <v>2105</v>
      </c>
      <c r="D36" s="1623" t="s">
        <v>4913</v>
      </c>
      <c r="E36" s="1623" t="s">
        <v>4903</v>
      </c>
      <c r="F36" s="1621" t="s">
        <v>5098</v>
      </c>
      <c r="G36" s="1621">
        <v>95</v>
      </c>
      <c r="H36" s="1621" t="s">
        <v>1859</v>
      </c>
      <c r="I36" s="1621" t="s">
        <v>985</v>
      </c>
      <c r="J36" s="1624" t="s">
        <v>4906</v>
      </c>
      <c r="K36" s="1624">
        <v>2.81</v>
      </c>
      <c r="L36" s="1623" t="s">
        <v>4914</v>
      </c>
      <c r="M36" s="1625">
        <v>44287</v>
      </c>
    </row>
    <row r="37" spans="1:13" s="1353" customFormat="1" ht="14.4">
      <c r="A37" s="1621">
        <v>30</v>
      </c>
      <c r="B37" s="1622" t="s">
        <v>972</v>
      </c>
      <c r="C37" s="1623" t="s">
        <v>2105</v>
      </c>
      <c r="D37" s="1623" t="s">
        <v>4913</v>
      </c>
      <c r="E37" s="1623" t="s">
        <v>4903</v>
      </c>
      <c r="F37" s="1621" t="s">
        <v>5098</v>
      </c>
      <c r="G37" s="1621">
        <v>95</v>
      </c>
      <c r="H37" s="1621" t="s">
        <v>1859</v>
      </c>
      <c r="I37" s="1621" t="s">
        <v>958</v>
      </c>
      <c r="J37" s="1624" t="s">
        <v>4906</v>
      </c>
      <c r="K37" s="1624">
        <v>2.81</v>
      </c>
      <c r="L37" s="1623" t="s">
        <v>4914</v>
      </c>
      <c r="M37" s="1625">
        <v>44287</v>
      </c>
    </row>
    <row r="38" spans="1:13" s="1353" customFormat="1" ht="14.4">
      <c r="A38" s="1621">
        <v>31</v>
      </c>
      <c r="B38" s="1622" t="s">
        <v>972</v>
      </c>
      <c r="C38" s="1623" t="s">
        <v>2105</v>
      </c>
      <c r="D38" s="1623" t="s">
        <v>4913</v>
      </c>
      <c r="E38" s="1623" t="s">
        <v>4903</v>
      </c>
      <c r="F38" s="1621" t="s">
        <v>5098</v>
      </c>
      <c r="G38" s="1621">
        <v>95</v>
      </c>
      <c r="H38" s="1621" t="s">
        <v>1859</v>
      </c>
      <c r="I38" s="1621" t="s">
        <v>970</v>
      </c>
      <c r="J38" s="1624" t="s">
        <v>4906</v>
      </c>
      <c r="K38" s="1624">
        <v>2.81</v>
      </c>
      <c r="L38" s="1623" t="s">
        <v>4914</v>
      </c>
      <c r="M38" s="1625">
        <v>44287</v>
      </c>
    </row>
    <row r="39" spans="1:13" s="1353" customFormat="1" ht="57.6">
      <c r="A39" s="1627">
        <v>32</v>
      </c>
      <c r="B39" s="1628" t="s">
        <v>972</v>
      </c>
      <c r="C39" s="1629" t="s">
        <v>2078</v>
      </c>
      <c r="D39" s="1629" t="s">
        <v>629</v>
      </c>
      <c r="E39" s="1629" t="s">
        <v>788</v>
      </c>
      <c r="F39" s="1627" t="s">
        <v>5098</v>
      </c>
      <c r="G39" s="1627">
        <v>41</v>
      </c>
      <c r="H39" s="1627" t="s">
        <v>1090</v>
      </c>
      <c r="I39" s="1627" t="s">
        <v>1037</v>
      </c>
      <c r="J39" s="1630" t="s">
        <v>978</v>
      </c>
      <c r="K39" s="1630" t="s">
        <v>966</v>
      </c>
      <c r="L39" s="1629" t="s">
        <v>5099</v>
      </c>
      <c r="M39" s="1631">
        <v>44225</v>
      </c>
    </row>
    <row r="40" spans="1:13" s="1353" customFormat="1" ht="57.6">
      <c r="A40" s="1627">
        <v>33</v>
      </c>
      <c r="B40" s="1628" t="s">
        <v>972</v>
      </c>
      <c r="C40" s="1629" t="s">
        <v>1125</v>
      </c>
      <c r="D40" s="1629" t="s">
        <v>1124</v>
      </c>
      <c r="E40" s="1629" t="s">
        <v>788</v>
      </c>
      <c r="F40" s="1627" t="s">
        <v>5098</v>
      </c>
      <c r="G40" s="1627">
        <v>41</v>
      </c>
      <c r="H40" s="1627" t="s">
        <v>1090</v>
      </c>
      <c r="I40" s="1627" t="s">
        <v>1037</v>
      </c>
      <c r="J40" s="1630" t="s">
        <v>978</v>
      </c>
      <c r="K40" s="1630" t="s">
        <v>966</v>
      </c>
      <c r="L40" s="1629" t="s">
        <v>5100</v>
      </c>
      <c r="M40" s="1631">
        <v>44225</v>
      </c>
    </row>
    <row r="41" spans="1:13" s="1353" customFormat="1" ht="14.4">
      <c r="A41" s="1621">
        <v>34</v>
      </c>
      <c r="B41" s="1622" t="s">
        <v>1022</v>
      </c>
      <c r="C41" s="1623" t="s">
        <v>2223</v>
      </c>
      <c r="D41" s="1623" t="s">
        <v>4902</v>
      </c>
      <c r="E41" s="1623" t="s">
        <v>4903</v>
      </c>
      <c r="F41" s="1621" t="s">
        <v>5098</v>
      </c>
      <c r="G41" s="1621">
        <v>95</v>
      </c>
      <c r="H41" s="1621" t="s">
        <v>1859</v>
      </c>
      <c r="I41" s="1621" t="s">
        <v>985</v>
      </c>
      <c r="J41" s="1632">
        <v>2</v>
      </c>
      <c r="K41" s="1632">
        <v>1.5</v>
      </c>
      <c r="L41" s="1623" t="s">
        <v>4905</v>
      </c>
      <c r="M41" s="1625">
        <v>44287</v>
      </c>
    </row>
    <row r="42" spans="1:13" s="1353" customFormat="1" ht="14.4">
      <c r="A42" s="1621">
        <v>35</v>
      </c>
      <c r="B42" s="1622" t="s">
        <v>1022</v>
      </c>
      <c r="C42" s="1623" t="s">
        <v>2223</v>
      </c>
      <c r="D42" s="1623" t="s">
        <v>4902</v>
      </c>
      <c r="E42" s="1623" t="s">
        <v>4903</v>
      </c>
      <c r="F42" s="1621" t="s">
        <v>5098</v>
      </c>
      <c r="G42" s="1621">
        <v>95</v>
      </c>
      <c r="H42" s="1621" t="s">
        <v>1859</v>
      </c>
      <c r="I42" s="1621" t="s">
        <v>958</v>
      </c>
      <c r="J42" s="1632">
        <v>2</v>
      </c>
      <c r="K42" s="1632">
        <v>1.5</v>
      </c>
      <c r="L42" s="1623" t="s">
        <v>4905</v>
      </c>
      <c r="M42" s="1625">
        <v>44287</v>
      </c>
    </row>
    <row r="43" spans="1:13" s="1353" customFormat="1" ht="14.4">
      <c r="A43" s="1621">
        <v>36</v>
      </c>
      <c r="B43" s="1622" t="s">
        <v>1022</v>
      </c>
      <c r="C43" s="1623" t="s">
        <v>2223</v>
      </c>
      <c r="D43" s="1623" t="s">
        <v>4902</v>
      </c>
      <c r="E43" s="1623" t="s">
        <v>4903</v>
      </c>
      <c r="F43" s="1621" t="s">
        <v>5098</v>
      </c>
      <c r="G43" s="1621">
        <v>95</v>
      </c>
      <c r="H43" s="1621" t="s">
        <v>1859</v>
      </c>
      <c r="I43" s="1621" t="s">
        <v>970</v>
      </c>
      <c r="J43" s="1632">
        <v>2</v>
      </c>
      <c r="K43" s="1632">
        <v>1.5</v>
      </c>
      <c r="L43" s="1623" t="s">
        <v>4905</v>
      </c>
      <c r="M43" s="1625">
        <v>44287</v>
      </c>
    </row>
    <row r="44" spans="1:13" s="1353" customFormat="1" ht="14.4">
      <c r="A44" s="1621">
        <v>37</v>
      </c>
      <c r="B44" s="1622" t="s">
        <v>1022</v>
      </c>
      <c r="C44" s="1623" t="s">
        <v>2231</v>
      </c>
      <c r="D44" s="1623" t="s">
        <v>4911</v>
      </c>
      <c r="E44" s="1623" t="s">
        <v>4903</v>
      </c>
      <c r="F44" s="1621" t="s">
        <v>5098</v>
      </c>
      <c r="G44" s="1621">
        <v>95</v>
      </c>
      <c r="H44" s="1621" t="s">
        <v>1859</v>
      </c>
      <c r="I44" s="1621" t="s">
        <v>968</v>
      </c>
      <c r="J44" s="1624" t="s">
        <v>4906</v>
      </c>
      <c r="K44" s="1633">
        <v>148.4</v>
      </c>
      <c r="L44" s="1623" t="s">
        <v>4912</v>
      </c>
      <c r="M44" s="1625">
        <v>44287</v>
      </c>
    </row>
    <row r="45" spans="1:13" s="1353" customFormat="1" ht="14.4">
      <c r="A45" s="1621">
        <v>38</v>
      </c>
      <c r="B45" s="1622" t="s">
        <v>1022</v>
      </c>
      <c r="C45" s="1623" t="s">
        <v>2231</v>
      </c>
      <c r="D45" s="1623" t="s">
        <v>4911</v>
      </c>
      <c r="E45" s="1623" t="s">
        <v>4903</v>
      </c>
      <c r="F45" s="1621" t="s">
        <v>5098</v>
      </c>
      <c r="G45" s="1621">
        <v>95</v>
      </c>
      <c r="H45" s="1621" t="s">
        <v>1859</v>
      </c>
      <c r="I45" s="1621" t="s">
        <v>980</v>
      </c>
      <c r="J45" s="1624" t="s">
        <v>4906</v>
      </c>
      <c r="K45" s="1633">
        <v>146.5</v>
      </c>
      <c r="L45" s="1623" t="s">
        <v>4912</v>
      </c>
      <c r="M45" s="1625">
        <v>44287</v>
      </c>
    </row>
    <row r="46" spans="1:13" s="1353" customFormat="1" ht="14.4">
      <c r="A46" s="1621">
        <v>39</v>
      </c>
      <c r="B46" s="1622" t="s">
        <v>1022</v>
      </c>
      <c r="C46" s="1623" t="s">
        <v>2231</v>
      </c>
      <c r="D46" s="1623" t="s">
        <v>4911</v>
      </c>
      <c r="E46" s="1623" t="s">
        <v>4903</v>
      </c>
      <c r="F46" s="1621" t="s">
        <v>5098</v>
      </c>
      <c r="G46" s="1621">
        <v>95</v>
      </c>
      <c r="H46" s="1621" t="s">
        <v>1859</v>
      </c>
      <c r="I46" s="1621" t="s">
        <v>985</v>
      </c>
      <c r="J46" s="1624" t="s">
        <v>4906</v>
      </c>
      <c r="K46" s="1633">
        <v>144.6</v>
      </c>
      <c r="L46" s="1623" t="s">
        <v>4912</v>
      </c>
      <c r="M46" s="1625">
        <v>44287</v>
      </c>
    </row>
    <row r="47" spans="1:13" s="1353" customFormat="1" ht="14.4">
      <c r="A47" s="1621">
        <v>40</v>
      </c>
      <c r="B47" s="1622" t="s">
        <v>1022</v>
      </c>
      <c r="C47" s="1623" t="s">
        <v>2231</v>
      </c>
      <c r="D47" s="1623" t="s">
        <v>4911</v>
      </c>
      <c r="E47" s="1623" t="s">
        <v>4903</v>
      </c>
      <c r="F47" s="1621" t="s">
        <v>5098</v>
      </c>
      <c r="G47" s="1621">
        <v>95</v>
      </c>
      <c r="H47" s="1621" t="s">
        <v>1859</v>
      </c>
      <c r="I47" s="1621" t="s">
        <v>958</v>
      </c>
      <c r="J47" s="1624" t="s">
        <v>4906</v>
      </c>
      <c r="K47" s="1633">
        <v>142.69999999999999</v>
      </c>
      <c r="L47" s="1623" t="s">
        <v>4912</v>
      </c>
      <c r="M47" s="1625">
        <v>44287</v>
      </c>
    </row>
    <row r="48" spans="1:13" s="1353" customFormat="1" ht="14.4">
      <c r="A48" s="1621">
        <v>41</v>
      </c>
      <c r="B48" s="1622" t="s">
        <v>1022</v>
      </c>
      <c r="C48" s="1623" t="s">
        <v>2231</v>
      </c>
      <c r="D48" s="1623" t="s">
        <v>4911</v>
      </c>
      <c r="E48" s="1623" t="s">
        <v>4903</v>
      </c>
      <c r="F48" s="1621" t="s">
        <v>5098</v>
      </c>
      <c r="G48" s="1621">
        <v>95</v>
      </c>
      <c r="H48" s="1621" t="s">
        <v>1859</v>
      </c>
      <c r="I48" s="1621" t="s">
        <v>970</v>
      </c>
      <c r="J48" s="1624" t="s">
        <v>4906</v>
      </c>
      <c r="K48" s="1633">
        <v>140.69999999999999</v>
      </c>
      <c r="L48" s="1623" t="s">
        <v>4912</v>
      </c>
      <c r="M48" s="1625">
        <v>44287</v>
      </c>
    </row>
    <row r="49" spans="1:13" s="1353" customFormat="1" ht="14.4">
      <c r="A49" s="1621">
        <v>42</v>
      </c>
      <c r="B49" s="1622" t="s">
        <v>1022</v>
      </c>
      <c r="C49" s="1623" t="s">
        <v>2235</v>
      </c>
      <c r="D49" s="1623" t="s">
        <v>4913</v>
      </c>
      <c r="E49" s="1623" t="s">
        <v>4903</v>
      </c>
      <c r="F49" s="1621" t="s">
        <v>5098</v>
      </c>
      <c r="G49" s="1621">
        <v>95</v>
      </c>
      <c r="H49" s="1621" t="s">
        <v>1859</v>
      </c>
      <c r="I49" s="1621" t="s">
        <v>968</v>
      </c>
      <c r="J49" s="1624" t="s">
        <v>4906</v>
      </c>
      <c r="K49" s="1632">
        <v>2.81</v>
      </c>
      <c r="L49" s="1623" t="s">
        <v>4914</v>
      </c>
      <c r="M49" s="1625">
        <v>44287</v>
      </c>
    </row>
    <row r="50" spans="1:13" s="1353" customFormat="1" ht="14.4">
      <c r="A50" s="1621">
        <v>43</v>
      </c>
      <c r="B50" s="1622" t="s">
        <v>1022</v>
      </c>
      <c r="C50" s="1623" t="s">
        <v>2235</v>
      </c>
      <c r="D50" s="1623" t="s">
        <v>4913</v>
      </c>
      <c r="E50" s="1623" t="s">
        <v>4903</v>
      </c>
      <c r="F50" s="1621" t="s">
        <v>5098</v>
      </c>
      <c r="G50" s="1621">
        <v>95</v>
      </c>
      <c r="H50" s="1621" t="s">
        <v>1859</v>
      </c>
      <c r="I50" s="1621" t="s">
        <v>980</v>
      </c>
      <c r="J50" s="1624" t="s">
        <v>4906</v>
      </c>
      <c r="K50" s="1632">
        <v>2.81</v>
      </c>
      <c r="L50" s="1623" t="s">
        <v>4914</v>
      </c>
      <c r="M50" s="1625">
        <v>44287</v>
      </c>
    </row>
    <row r="51" spans="1:13" s="1353" customFormat="1" ht="14.4">
      <c r="A51" s="1621">
        <v>44</v>
      </c>
      <c r="B51" s="1622" t="s">
        <v>1022</v>
      </c>
      <c r="C51" s="1623" t="s">
        <v>2235</v>
      </c>
      <c r="D51" s="1623" t="s">
        <v>4913</v>
      </c>
      <c r="E51" s="1623" t="s">
        <v>4903</v>
      </c>
      <c r="F51" s="1621" t="s">
        <v>5098</v>
      </c>
      <c r="G51" s="1621">
        <v>95</v>
      </c>
      <c r="H51" s="1621" t="s">
        <v>1859</v>
      </c>
      <c r="I51" s="1621" t="s">
        <v>985</v>
      </c>
      <c r="J51" s="1624" t="s">
        <v>4906</v>
      </c>
      <c r="K51" s="1632">
        <v>2.81</v>
      </c>
      <c r="L51" s="1623" t="s">
        <v>4914</v>
      </c>
      <c r="M51" s="1625">
        <v>44287</v>
      </c>
    </row>
    <row r="52" spans="1:13" s="1353" customFormat="1" ht="14.4">
      <c r="A52" s="1621">
        <v>45</v>
      </c>
      <c r="B52" s="1622" t="s">
        <v>1022</v>
      </c>
      <c r="C52" s="1623" t="s">
        <v>2235</v>
      </c>
      <c r="D52" s="1623" t="s">
        <v>4913</v>
      </c>
      <c r="E52" s="1623" t="s">
        <v>4903</v>
      </c>
      <c r="F52" s="1621" t="s">
        <v>5098</v>
      </c>
      <c r="G52" s="1621">
        <v>95</v>
      </c>
      <c r="H52" s="1621" t="s">
        <v>1859</v>
      </c>
      <c r="I52" s="1621" t="s">
        <v>958</v>
      </c>
      <c r="J52" s="1624" t="s">
        <v>4906</v>
      </c>
      <c r="K52" s="1632">
        <v>2.81</v>
      </c>
      <c r="L52" s="1623" t="s">
        <v>4914</v>
      </c>
      <c r="M52" s="1625">
        <v>44287</v>
      </c>
    </row>
    <row r="53" spans="1:13" s="1353" customFormat="1" ht="14.4">
      <c r="A53" s="1621">
        <v>46</v>
      </c>
      <c r="B53" s="1622" t="s">
        <v>1022</v>
      </c>
      <c r="C53" s="1623" t="s">
        <v>2235</v>
      </c>
      <c r="D53" s="1623" t="s">
        <v>4913</v>
      </c>
      <c r="E53" s="1623" t="s">
        <v>4903</v>
      </c>
      <c r="F53" s="1621" t="s">
        <v>5098</v>
      </c>
      <c r="G53" s="1621">
        <v>95</v>
      </c>
      <c r="H53" s="1621" t="s">
        <v>1859</v>
      </c>
      <c r="I53" s="1621" t="s">
        <v>970</v>
      </c>
      <c r="J53" s="1624" t="s">
        <v>4906</v>
      </c>
      <c r="K53" s="1632">
        <v>2.81</v>
      </c>
      <c r="L53" s="1623" t="s">
        <v>4914</v>
      </c>
      <c r="M53" s="1625">
        <v>44287</v>
      </c>
    </row>
    <row r="54" spans="1:13" s="1353" customFormat="1" ht="43.2">
      <c r="A54" s="1621">
        <v>47</v>
      </c>
      <c r="B54" s="1622" t="s">
        <v>1022</v>
      </c>
      <c r="C54" s="1623" t="s">
        <v>2293</v>
      </c>
      <c r="D54" s="1623" t="s">
        <v>629</v>
      </c>
      <c r="E54" s="1623" t="s">
        <v>4903</v>
      </c>
      <c r="F54" s="1621" t="s">
        <v>5098</v>
      </c>
      <c r="G54" s="1621">
        <v>115</v>
      </c>
      <c r="H54" s="1626" t="s">
        <v>1908</v>
      </c>
      <c r="I54" s="1621" t="s">
        <v>1037</v>
      </c>
      <c r="J54" s="1624">
        <v>-6.3549999999999995E-2</v>
      </c>
      <c r="K54" s="1624">
        <v>-0.26200000000000001</v>
      </c>
      <c r="L54" s="1623" t="s">
        <v>4922</v>
      </c>
      <c r="M54" s="1625">
        <v>44287</v>
      </c>
    </row>
    <row r="55" spans="1:13" s="1353" customFormat="1" ht="28.8">
      <c r="A55" s="1621">
        <v>48</v>
      </c>
      <c r="B55" s="1622" t="s">
        <v>1022</v>
      </c>
      <c r="C55" s="1623" t="s">
        <v>1162</v>
      </c>
      <c r="D55" s="1623" t="s">
        <v>1124</v>
      </c>
      <c r="E55" s="1623" t="s">
        <v>4903</v>
      </c>
      <c r="F55" s="1621" t="s">
        <v>5098</v>
      </c>
      <c r="G55" s="1621">
        <v>115</v>
      </c>
      <c r="H55" s="1626" t="s">
        <v>1911</v>
      </c>
      <c r="I55" s="1621" t="s">
        <v>1037</v>
      </c>
      <c r="J55" s="1624">
        <v>5.5500000000000001E-2</v>
      </c>
      <c r="K55" s="1624">
        <v>2.5000000000000001E-2</v>
      </c>
      <c r="L55" s="1623" t="s">
        <v>5101</v>
      </c>
      <c r="M55" s="1625">
        <v>44287</v>
      </c>
    </row>
    <row r="56" spans="1:13" s="1353" customFormat="1" ht="28.8">
      <c r="A56" s="1621">
        <v>49</v>
      </c>
      <c r="B56" s="1622" t="s">
        <v>1022</v>
      </c>
      <c r="C56" s="1623" t="s">
        <v>1162</v>
      </c>
      <c r="D56" s="1623" t="s">
        <v>1124</v>
      </c>
      <c r="E56" s="1623" t="s">
        <v>4903</v>
      </c>
      <c r="F56" s="1621" t="s">
        <v>5098</v>
      </c>
      <c r="G56" s="1621">
        <v>116</v>
      </c>
      <c r="H56" s="1626" t="s">
        <v>1907</v>
      </c>
      <c r="I56" s="1621" t="s">
        <v>1037</v>
      </c>
      <c r="J56" s="1624">
        <v>-6.6600000000000006E-2</v>
      </c>
      <c r="K56" s="1624">
        <v>-0.03</v>
      </c>
      <c r="L56" s="1623" t="s">
        <v>4923</v>
      </c>
      <c r="M56" s="1625">
        <v>44287</v>
      </c>
    </row>
    <row r="57" spans="1:13" s="1353" customFormat="1" ht="57.6">
      <c r="A57" s="1627">
        <v>50</v>
      </c>
      <c r="B57" s="1628" t="s">
        <v>1022</v>
      </c>
      <c r="C57" s="1629" t="s">
        <v>2293</v>
      </c>
      <c r="D57" s="1629" t="s">
        <v>629</v>
      </c>
      <c r="E57" s="1629" t="s">
        <v>788</v>
      </c>
      <c r="F57" s="1627" t="s">
        <v>5098</v>
      </c>
      <c r="G57" s="1627">
        <v>41</v>
      </c>
      <c r="H57" s="1627" t="s">
        <v>1090</v>
      </c>
      <c r="I57" s="1627" t="s">
        <v>1037</v>
      </c>
      <c r="J57" s="1630" t="s">
        <v>978</v>
      </c>
      <c r="K57" s="1630" t="s">
        <v>966</v>
      </c>
      <c r="L57" s="1629" t="s">
        <v>5099</v>
      </c>
      <c r="M57" s="1631">
        <v>44225</v>
      </c>
    </row>
    <row r="58" spans="1:13" s="1356" customFormat="1" ht="57.6">
      <c r="A58" s="1565">
        <v>51</v>
      </c>
      <c r="B58" s="1566" t="s">
        <v>1022</v>
      </c>
      <c r="C58" s="1567" t="s">
        <v>1162</v>
      </c>
      <c r="D58" s="1567" t="s">
        <v>1124</v>
      </c>
      <c r="E58" s="1567" t="s">
        <v>788</v>
      </c>
      <c r="F58" s="1565" t="s">
        <v>5098</v>
      </c>
      <c r="G58" s="1565">
        <v>41</v>
      </c>
      <c r="H58" s="1565" t="s">
        <v>1090</v>
      </c>
      <c r="I58" s="1565" t="s">
        <v>1037</v>
      </c>
      <c r="J58" s="1568" t="s">
        <v>978</v>
      </c>
      <c r="K58" s="1568" t="s">
        <v>966</v>
      </c>
      <c r="L58" s="1567" t="s">
        <v>5100</v>
      </c>
      <c r="M58" s="1569">
        <v>44225</v>
      </c>
    </row>
    <row r="59" spans="1:13" s="1353" customFormat="1" ht="14.4">
      <c r="A59" s="1621">
        <v>52</v>
      </c>
      <c r="B59" s="1622" t="s">
        <v>990</v>
      </c>
      <c r="C59" s="1623" t="s">
        <v>2502</v>
      </c>
      <c r="D59" s="1623" t="s">
        <v>4902</v>
      </c>
      <c r="E59" s="1623" t="s">
        <v>4903</v>
      </c>
      <c r="F59" s="1621" t="s">
        <v>5098</v>
      </c>
      <c r="G59" s="1621">
        <v>95</v>
      </c>
      <c r="H59" s="1621" t="s">
        <v>1859</v>
      </c>
      <c r="I59" s="1621" t="s">
        <v>985</v>
      </c>
      <c r="J59" s="1624">
        <v>2</v>
      </c>
      <c r="K59" s="1624">
        <v>1.5</v>
      </c>
      <c r="L59" s="1623" t="s">
        <v>4905</v>
      </c>
      <c r="M59" s="1625">
        <v>44287</v>
      </c>
    </row>
    <row r="60" spans="1:13" s="1353" customFormat="1" ht="14.4">
      <c r="A60" s="1621">
        <v>53</v>
      </c>
      <c r="B60" s="1622" t="s">
        <v>990</v>
      </c>
      <c r="C60" s="1623" t="s">
        <v>2502</v>
      </c>
      <c r="D60" s="1623" t="s">
        <v>4902</v>
      </c>
      <c r="E60" s="1623" t="s">
        <v>4903</v>
      </c>
      <c r="F60" s="1621" t="s">
        <v>5098</v>
      </c>
      <c r="G60" s="1621">
        <v>95</v>
      </c>
      <c r="H60" s="1621" t="s">
        <v>1859</v>
      </c>
      <c r="I60" s="1621" t="s">
        <v>958</v>
      </c>
      <c r="J60" s="1624">
        <v>2</v>
      </c>
      <c r="K60" s="1624">
        <v>1.5</v>
      </c>
      <c r="L60" s="1623" t="s">
        <v>4905</v>
      </c>
      <c r="M60" s="1625">
        <v>44287</v>
      </c>
    </row>
    <row r="61" spans="1:13" s="1353" customFormat="1" ht="14.4">
      <c r="A61" s="1621">
        <v>54</v>
      </c>
      <c r="B61" s="1622" t="s">
        <v>990</v>
      </c>
      <c r="C61" s="1623" t="s">
        <v>2502</v>
      </c>
      <c r="D61" s="1623" t="s">
        <v>4902</v>
      </c>
      <c r="E61" s="1623" t="s">
        <v>4903</v>
      </c>
      <c r="F61" s="1621" t="s">
        <v>5098</v>
      </c>
      <c r="G61" s="1621">
        <v>95</v>
      </c>
      <c r="H61" s="1621" t="s">
        <v>1859</v>
      </c>
      <c r="I61" s="1621" t="s">
        <v>970</v>
      </c>
      <c r="J61" s="1624">
        <v>2</v>
      </c>
      <c r="K61" s="1624">
        <v>1.5</v>
      </c>
      <c r="L61" s="1623" t="s">
        <v>4905</v>
      </c>
      <c r="M61" s="1625">
        <v>44287</v>
      </c>
    </row>
    <row r="62" spans="1:13" s="1353" customFormat="1" ht="14.4">
      <c r="A62" s="1621">
        <v>55</v>
      </c>
      <c r="B62" s="1622" t="s">
        <v>990</v>
      </c>
      <c r="C62" s="1623" t="s">
        <v>2511</v>
      </c>
      <c r="D62" s="1623" t="s">
        <v>4930</v>
      </c>
      <c r="E62" s="1623" t="s">
        <v>4903</v>
      </c>
      <c r="F62" s="1621" t="s">
        <v>5098</v>
      </c>
      <c r="G62" s="1621">
        <v>85</v>
      </c>
      <c r="H62" s="1621" t="s">
        <v>1857</v>
      </c>
      <c r="I62" s="1621" t="s">
        <v>968</v>
      </c>
      <c r="J62" s="1624">
        <v>-38.001194045143002</v>
      </c>
      <c r="K62" s="1624" t="s">
        <v>4906</v>
      </c>
      <c r="L62" s="1623" t="s">
        <v>4907</v>
      </c>
      <c r="M62" s="1625">
        <v>44287</v>
      </c>
    </row>
    <row r="63" spans="1:13" s="1353" customFormat="1" ht="14.4">
      <c r="A63" s="1621">
        <v>56</v>
      </c>
      <c r="B63" s="1622" t="s">
        <v>990</v>
      </c>
      <c r="C63" s="1623" t="s">
        <v>2511</v>
      </c>
      <c r="D63" s="1623" t="s">
        <v>4930</v>
      </c>
      <c r="E63" s="1623" t="s">
        <v>4903</v>
      </c>
      <c r="F63" s="1621" t="s">
        <v>5098</v>
      </c>
      <c r="G63" s="1621">
        <v>85</v>
      </c>
      <c r="H63" s="1621" t="s">
        <v>1857</v>
      </c>
      <c r="I63" s="1621" t="s">
        <v>980</v>
      </c>
      <c r="J63" s="1624">
        <v>-38.001194045143002</v>
      </c>
      <c r="K63" s="1624" t="s">
        <v>4906</v>
      </c>
      <c r="L63" s="1623" t="s">
        <v>4907</v>
      </c>
      <c r="M63" s="1625">
        <v>44287</v>
      </c>
    </row>
    <row r="64" spans="1:13" s="1353" customFormat="1" ht="14.4">
      <c r="A64" s="1621">
        <v>57</v>
      </c>
      <c r="B64" s="1622" t="s">
        <v>990</v>
      </c>
      <c r="C64" s="1623" t="s">
        <v>2511</v>
      </c>
      <c r="D64" s="1623" t="s">
        <v>4930</v>
      </c>
      <c r="E64" s="1623" t="s">
        <v>4903</v>
      </c>
      <c r="F64" s="1621" t="s">
        <v>5098</v>
      </c>
      <c r="G64" s="1621">
        <v>85</v>
      </c>
      <c r="H64" s="1621" t="s">
        <v>1857</v>
      </c>
      <c r="I64" s="1621" t="s">
        <v>985</v>
      </c>
      <c r="J64" s="1624">
        <v>-38.001194045143002</v>
      </c>
      <c r="K64" s="1624" t="s">
        <v>4906</v>
      </c>
      <c r="L64" s="1623" t="s">
        <v>4907</v>
      </c>
      <c r="M64" s="1625">
        <v>44287</v>
      </c>
    </row>
    <row r="65" spans="1:13" s="1353" customFormat="1" ht="14.4">
      <c r="A65" s="1621">
        <v>58</v>
      </c>
      <c r="B65" s="1622" t="s">
        <v>990</v>
      </c>
      <c r="C65" s="1623" t="s">
        <v>2511</v>
      </c>
      <c r="D65" s="1623" t="s">
        <v>4930</v>
      </c>
      <c r="E65" s="1623" t="s">
        <v>4903</v>
      </c>
      <c r="F65" s="1621" t="s">
        <v>5098</v>
      </c>
      <c r="G65" s="1621">
        <v>85</v>
      </c>
      <c r="H65" s="1621" t="s">
        <v>1857</v>
      </c>
      <c r="I65" s="1621" t="s">
        <v>958</v>
      </c>
      <c r="J65" s="1624">
        <v>-38.001194045143002</v>
      </c>
      <c r="K65" s="1624" t="s">
        <v>4906</v>
      </c>
      <c r="L65" s="1623" t="s">
        <v>4907</v>
      </c>
      <c r="M65" s="1625">
        <v>44287</v>
      </c>
    </row>
    <row r="66" spans="1:13" s="1353" customFormat="1" ht="14.4">
      <c r="A66" s="1621">
        <v>59</v>
      </c>
      <c r="B66" s="1622" t="s">
        <v>990</v>
      </c>
      <c r="C66" s="1623" t="s">
        <v>2511</v>
      </c>
      <c r="D66" s="1623" t="s">
        <v>4930</v>
      </c>
      <c r="E66" s="1623" t="s">
        <v>4903</v>
      </c>
      <c r="F66" s="1621" t="s">
        <v>5098</v>
      </c>
      <c r="G66" s="1621">
        <v>85</v>
      </c>
      <c r="H66" s="1621" t="s">
        <v>1857</v>
      </c>
      <c r="I66" s="1621" t="s">
        <v>970</v>
      </c>
      <c r="J66" s="1624">
        <v>-38.001194045143002</v>
      </c>
      <c r="K66" s="1624" t="s">
        <v>4906</v>
      </c>
      <c r="L66" s="1623" t="s">
        <v>4907</v>
      </c>
      <c r="M66" s="1625">
        <v>44287</v>
      </c>
    </row>
    <row r="67" spans="1:13" s="1353" customFormat="1" ht="14.4">
      <c r="A67" s="1621">
        <v>60</v>
      </c>
      <c r="B67" s="1622" t="s">
        <v>990</v>
      </c>
      <c r="C67" s="1623" t="s">
        <v>2511</v>
      </c>
      <c r="D67" s="1623" t="s">
        <v>4930</v>
      </c>
      <c r="E67" s="1623" t="s">
        <v>4903</v>
      </c>
      <c r="F67" s="1621" t="s">
        <v>5098</v>
      </c>
      <c r="G67" s="1621">
        <v>110</v>
      </c>
      <c r="H67" s="1621" t="s">
        <v>1252</v>
      </c>
      <c r="I67" s="1621" t="s">
        <v>968</v>
      </c>
      <c r="J67" s="1624" t="s">
        <v>4797</v>
      </c>
      <c r="K67" s="1624" t="s">
        <v>4906</v>
      </c>
      <c r="L67" s="1623" t="s">
        <v>4907</v>
      </c>
      <c r="M67" s="1625"/>
    </row>
    <row r="68" spans="1:13" s="1353" customFormat="1" ht="14.4">
      <c r="A68" s="1621">
        <v>61</v>
      </c>
      <c r="B68" s="1622" t="s">
        <v>990</v>
      </c>
      <c r="C68" s="1623" t="s">
        <v>2511</v>
      </c>
      <c r="D68" s="1623" t="s">
        <v>4930</v>
      </c>
      <c r="E68" s="1623" t="s">
        <v>4903</v>
      </c>
      <c r="F68" s="1621" t="s">
        <v>5098</v>
      </c>
      <c r="G68" s="1621">
        <v>110</v>
      </c>
      <c r="H68" s="1621" t="s">
        <v>1252</v>
      </c>
      <c r="I68" s="1621" t="s">
        <v>980</v>
      </c>
      <c r="J68" s="1624" t="s">
        <v>4797</v>
      </c>
      <c r="K68" s="1624" t="s">
        <v>4906</v>
      </c>
      <c r="L68" s="1623" t="s">
        <v>4907</v>
      </c>
      <c r="M68" s="1625"/>
    </row>
    <row r="69" spans="1:13" s="1353" customFormat="1" ht="14.4">
      <c r="A69" s="1621">
        <v>62</v>
      </c>
      <c r="B69" s="1622" t="s">
        <v>990</v>
      </c>
      <c r="C69" s="1623" t="s">
        <v>2511</v>
      </c>
      <c r="D69" s="1623" t="s">
        <v>4930</v>
      </c>
      <c r="E69" s="1623" t="s">
        <v>4903</v>
      </c>
      <c r="F69" s="1621" t="s">
        <v>5098</v>
      </c>
      <c r="G69" s="1621">
        <v>110</v>
      </c>
      <c r="H69" s="1621" t="s">
        <v>1252</v>
      </c>
      <c r="I69" s="1621" t="s">
        <v>985</v>
      </c>
      <c r="J69" s="1624" t="s">
        <v>4797</v>
      </c>
      <c r="K69" s="1624" t="s">
        <v>4906</v>
      </c>
      <c r="L69" s="1623" t="s">
        <v>4907</v>
      </c>
      <c r="M69" s="1625"/>
    </row>
    <row r="70" spans="1:13" s="1353" customFormat="1" ht="14.4">
      <c r="A70" s="1621">
        <v>63</v>
      </c>
      <c r="B70" s="1622" t="s">
        <v>990</v>
      </c>
      <c r="C70" s="1623" t="s">
        <v>2511</v>
      </c>
      <c r="D70" s="1623" t="s">
        <v>4930</v>
      </c>
      <c r="E70" s="1623" t="s">
        <v>4903</v>
      </c>
      <c r="F70" s="1621" t="s">
        <v>5098</v>
      </c>
      <c r="G70" s="1621">
        <v>110</v>
      </c>
      <c r="H70" s="1621" t="s">
        <v>1252</v>
      </c>
      <c r="I70" s="1621" t="s">
        <v>958</v>
      </c>
      <c r="J70" s="1624" t="s">
        <v>4797</v>
      </c>
      <c r="K70" s="1624" t="s">
        <v>4906</v>
      </c>
      <c r="L70" s="1623" t="s">
        <v>4907</v>
      </c>
      <c r="M70" s="1625"/>
    </row>
    <row r="71" spans="1:13" s="1353" customFormat="1" ht="14.4">
      <c r="A71" s="1621">
        <v>64</v>
      </c>
      <c r="B71" s="1622" t="s">
        <v>990</v>
      </c>
      <c r="C71" s="1623" t="s">
        <v>2511</v>
      </c>
      <c r="D71" s="1623" t="s">
        <v>4930</v>
      </c>
      <c r="E71" s="1623" t="s">
        <v>4903</v>
      </c>
      <c r="F71" s="1621" t="s">
        <v>5098</v>
      </c>
      <c r="G71" s="1621">
        <v>110</v>
      </c>
      <c r="H71" s="1621" t="s">
        <v>1252</v>
      </c>
      <c r="I71" s="1621" t="s">
        <v>970</v>
      </c>
      <c r="J71" s="1624" t="s">
        <v>4797</v>
      </c>
      <c r="K71" s="1624" t="s">
        <v>4906</v>
      </c>
      <c r="L71" s="1623" t="s">
        <v>4907</v>
      </c>
      <c r="M71" s="1625"/>
    </row>
    <row r="72" spans="1:13" s="1353" customFormat="1" ht="43.2">
      <c r="A72" s="1621">
        <v>65</v>
      </c>
      <c r="B72" s="1622" t="s">
        <v>990</v>
      </c>
      <c r="C72" s="1623" t="s">
        <v>2511</v>
      </c>
      <c r="D72" s="1623" t="s">
        <v>4930</v>
      </c>
      <c r="E72" s="1623" t="s">
        <v>4903</v>
      </c>
      <c r="F72" s="1621" t="s">
        <v>5098</v>
      </c>
      <c r="G72" s="1621">
        <v>115</v>
      </c>
      <c r="H72" s="1626" t="s">
        <v>1908</v>
      </c>
      <c r="I72" s="1621" t="s">
        <v>1037</v>
      </c>
      <c r="J72" s="1624" t="s">
        <v>4906</v>
      </c>
      <c r="K72" s="1624">
        <v>-0.17499999999999999</v>
      </c>
      <c r="L72" s="1623" t="s">
        <v>4933</v>
      </c>
      <c r="M72" s="1625">
        <v>44287</v>
      </c>
    </row>
    <row r="73" spans="1:13" s="1353" customFormat="1" ht="14.4">
      <c r="A73" s="1621">
        <v>66</v>
      </c>
      <c r="B73" s="1622" t="s">
        <v>990</v>
      </c>
      <c r="C73" s="1623" t="s">
        <v>2511</v>
      </c>
      <c r="D73" s="1623" t="s">
        <v>4930</v>
      </c>
      <c r="E73" s="1623" t="s">
        <v>4903</v>
      </c>
      <c r="F73" s="1621" t="s">
        <v>5098</v>
      </c>
      <c r="G73" s="1621">
        <v>118</v>
      </c>
      <c r="H73" s="1621" t="s">
        <v>1910</v>
      </c>
      <c r="I73" s="1621" t="s">
        <v>1037</v>
      </c>
      <c r="J73" s="1624">
        <v>-0.26645000000000002</v>
      </c>
      <c r="K73" s="1624" t="s">
        <v>4906</v>
      </c>
      <c r="L73" s="1623" t="s">
        <v>4907</v>
      </c>
      <c r="M73" s="1625">
        <v>44287</v>
      </c>
    </row>
    <row r="74" spans="1:13" s="1353" customFormat="1" ht="14.4">
      <c r="A74" s="1621">
        <v>67</v>
      </c>
      <c r="B74" s="1622" t="s">
        <v>990</v>
      </c>
      <c r="C74" s="1623" t="s">
        <v>2511</v>
      </c>
      <c r="D74" s="1623" t="s">
        <v>4930</v>
      </c>
      <c r="E74" s="1623" t="s">
        <v>4903</v>
      </c>
      <c r="F74" s="1621" t="s">
        <v>5098</v>
      </c>
      <c r="G74" s="1621">
        <v>122</v>
      </c>
      <c r="H74" s="1621" t="s">
        <v>1914</v>
      </c>
      <c r="I74" s="1621" t="s">
        <v>1037</v>
      </c>
      <c r="J74" s="1624">
        <v>0.26645000000000002</v>
      </c>
      <c r="K74" s="1624" t="s">
        <v>4906</v>
      </c>
      <c r="L74" s="1623" t="s">
        <v>4907</v>
      </c>
      <c r="M74" s="1625">
        <v>44287</v>
      </c>
    </row>
    <row r="75" spans="1:13" s="1353" customFormat="1" ht="14.4">
      <c r="A75" s="1621">
        <v>68</v>
      </c>
      <c r="B75" s="1622" t="s">
        <v>990</v>
      </c>
      <c r="C75" s="1623" t="s">
        <v>2516</v>
      </c>
      <c r="D75" s="1623" t="s">
        <v>4931</v>
      </c>
      <c r="E75" s="1623" t="s">
        <v>4903</v>
      </c>
      <c r="F75" s="1621" t="s">
        <v>5098</v>
      </c>
      <c r="G75" s="1621">
        <v>85</v>
      </c>
      <c r="H75" s="1621" t="s">
        <v>1857</v>
      </c>
      <c r="I75" s="1621" t="s">
        <v>968</v>
      </c>
      <c r="J75" s="1624">
        <v>-77.267989452432403</v>
      </c>
      <c r="K75" s="1624" t="s">
        <v>4906</v>
      </c>
      <c r="L75" s="1623" t="s">
        <v>4907</v>
      </c>
      <c r="M75" s="1625">
        <v>44287</v>
      </c>
    </row>
    <row r="76" spans="1:13" s="1353" customFormat="1" ht="14.4">
      <c r="A76" s="1621">
        <v>69</v>
      </c>
      <c r="B76" s="1622" t="s">
        <v>990</v>
      </c>
      <c r="C76" s="1623" t="s">
        <v>2516</v>
      </c>
      <c r="D76" s="1623" t="s">
        <v>4931</v>
      </c>
      <c r="E76" s="1623" t="s">
        <v>4903</v>
      </c>
      <c r="F76" s="1621" t="s">
        <v>5098</v>
      </c>
      <c r="G76" s="1621">
        <v>85</v>
      </c>
      <c r="H76" s="1621" t="s">
        <v>1857</v>
      </c>
      <c r="I76" s="1621" t="s">
        <v>980</v>
      </c>
      <c r="J76" s="1624">
        <v>-77.267989452432403</v>
      </c>
      <c r="K76" s="1624" t="s">
        <v>4906</v>
      </c>
      <c r="L76" s="1623" t="s">
        <v>4907</v>
      </c>
      <c r="M76" s="1625">
        <v>44287</v>
      </c>
    </row>
    <row r="77" spans="1:13" s="1353" customFormat="1" ht="14.4">
      <c r="A77" s="1621">
        <v>70</v>
      </c>
      <c r="B77" s="1622" t="s">
        <v>990</v>
      </c>
      <c r="C77" s="1623" t="s">
        <v>2516</v>
      </c>
      <c r="D77" s="1623" t="s">
        <v>4931</v>
      </c>
      <c r="E77" s="1623" t="s">
        <v>4903</v>
      </c>
      <c r="F77" s="1621" t="s">
        <v>5098</v>
      </c>
      <c r="G77" s="1621">
        <v>85</v>
      </c>
      <c r="H77" s="1621" t="s">
        <v>1857</v>
      </c>
      <c r="I77" s="1621" t="s">
        <v>985</v>
      </c>
      <c r="J77" s="1624">
        <v>-77.267989452432403</v>
      </c>
      <c r="K77" s="1624" t="s">
        <v>4906</v>
      </c>
      <c r="L77" s="1623" t="s">
        <v>4907</v>
      </c>
      <c r="M77" s="1625">
        <v>44287</v>
      </c>
    </row>
    <row r="78" spans="1:13" s="1353" customFormat="1" ht="14.4">
      <c r="A78" s="1621">
        <v>71</v>
      </c>
      <c r="B78" s="1622" t="s">
        <v>990</v>
      </c>
      <c r="C78" s="1623" t="s">
        <v>2516</v>
      </c>
      <c r="D78" s="1623" t="s">
        <v>4931</v>
      </c>
      <c r="E78" s="1623" t="s">
        <v>4903</v>
      </c>
      <c r="F78" s="1621" t="s">
        <v>5098</v>
      </c>
      <c r="G78" s="1621">
        <v>85</v>
      </c>
      <c r="H78" s="1621" t="s">
        <v>1857</v>
      </c>
      <c r="I78" s="1621" t="s">
        <v>958</v>
      </c>
      <c r="J78" s="1624">
        <v>-77.267989452432403</v>
      </c>
      <c r="K78" s="1624" t="s">
        <v>4906</v>
      </c>
      <c r="L78" s="1623" t="s">
        <v>4907</v>
      </c>
      <c r="M78" s="1625">
        <v>44287</v>
      </c>
    </row>
    <row r="79" spans="1:13" s="1353" customFormat="1" ht="14.4">
      <c r="A79" s="1621">
        <v>72</v>
      </c>
      <c r="B79" s="1622" t="s">
        <v>990</v>
      </c>
      <c r="C79" s="1623" t="s">
        <v>2516</v>
      </c>
      <c r="D79" s="1623" t="s">
        <v>4931</v>
      </c>
      <c r="E79" s="1623" t="s">
        <v>4903</v>
      </c>
      <c r="F79" s="1621" t="s">
        <v>5098</v>
      </c>
      <c r="G79" s="1621">
        <v>85</v>
      </c>
      <c r="H79" s="1621" t="s">
        <v>1857</v>
      </c>
      <c r="I79" s="1621" t="s">
        <v>970</v>
      </c>
      <c r="J79" s="1624">
        <v>-77.267989452432403</v>
      </c>
      <c r="K79" s="1624" t="s">
        <v>4906</v>
      </c>
      <c r="L79" s="1623" t="s">
        <v>4907</v>
      </c>
      <c r="M79" s="1625">
        <v>44287</v>
      </c>
    </row>
    <row r="80" spans="1:13" s="1353" customFormat="1" ht="14.4">
      <c r="A80" s="1621">
        <v>73</v>
      </c>
      <c r="B80" s="1622" t="s">
        <v>990</v>
      </c>
      <c r="C80" s="1623" t="s">
        <v>2516</v>
      </c>
      <c r="D80" s="1623" t="s">
        <v>4931</v>
      </c>
      <c r="E80" s="1623" t="s">
        <v>4903</v>
      </c>
      <c r="F80" s="1621" t="s">
        <v>5098</v>
      </c>
      <c r="G80" s="1621">
        <v>110</v>
      </c>
      <c r="H80" s="1621" t="s">
        <v>1252</v>
      </c>
      <c r="I80" s="1621" t="s">
        <v>968</v>
      </c>
      <c r="J80" s="1624" t="s">
        <v>4797</v>
      </c>
      <c r="K80" s="1624" t="s">
        <v>4906</v>
      </c>
      <c r="L80" s="1623" t="s">
        <v>4907</v>
      </c>
      <c r="M80" s="1625"/>
    </row>
    <row r="81" spans="1:13" s="1353" customFormat="1" ht="14.4">
      <c r="A81" s="1621">
        <v>74</v>
      </c>
      <c r="B81" s="1622" t="s">
        <v>990</v>
      </c>
      <c r="C81" s="1623" t="s">
        <v>2516</v>
      </c>
      <c r="D81" s="1623" t="s">
        <v>4931</v>
      </c>
      <c r="E81" s="1623" t="s">
        <v>4903</v>
      </c>
      <c r="F81" s="1621" t="s">
        <v>5098</v>
      </c>
      <c r="G81" s="1621">
        <v>110</v>
      </c>
      <c r="H81" s="1621" t="s">
        <v>1252</v>
      </c>
      <c r="I81" s="1621" t="s">
        <v>980</v>
      </c>
      <c r="J81" s="1624" t="s">
        <v>4797</v>
      </c>
      <c r="K81" s="1624" t="s">
        <v>4906</v>
      </c>
      <c r="L81" s="1623" t="s">
        <v>4907</v>
      </c>
      <c r="M81" s="1625"/>
    </row>
    <row r="82" spans="1:13" s="1353" customFormat="1" ht="14.4">
      <c r="A82" s="1621">
        <v>75</v>
      </c>
      <c r="B82" s="1622" t="s">
        <v>990</v>
      </c>
      <c r="C82" s="1623" t="s">
        <v>2516</v>
      </c>
      <c r="D82" s="1623" t="s">
        <v>4931</v>
      </c>
      <c r="E82" s="1623" t="s">
        <v>4903</v>
      </c>
      <c r="F82" s="1621" t="s">
        <v>5098</v>
      </c>
      <c r="G82" s="1621">
        <v>110</v>
      </c>
      <c r="H82" s="1621" t="s">
        <v>1252</v>
      </c>
      <c r="I82" s="1621" t="s">
        <v>985</v>
      </c>
      <c r="J82" s="1624" t="s">
        <v>4797</v>
      </c>
      <c r="K82" s="1624" t="s">
        <v>4906</v>
      </c>
      <c r="L82" s="1623" t="s">
        <v>4907</v>
      </c>
      <c r="M82" s="1625"/>
    </row>
    <row r="83" spans="1:13" s="1353" customFormat="1" ht="14.4">
      <c r="A83" s="1621">
        <v>76</v>
      </c>
      <c r="B83" s="1622" t="s">
        <v>990</v>
      </c>
      <c r="C83" s="1623" t="s">
        <v>2516</v>
      </c>
      <c r="D83" s="1623" t="s">
        <v>4931</v>
      </c>
      <c r="E83" s="1623" t="s">
        <v>4903</v>
      </c>
      <c r="F83" s="1621" t="s">
        <v>5098</v>
      </c>
      <c r="G83" s="1621">
        <v>110</v>
      </c>
      <c r="H83" s="1621" t="s">
        <v>1252</v>
      </c>
      <c r="I83" s="1621" t="s">
        <v>958</v>
      </c>
      <c r="J83" s="1624" t="s">
        <v>4797</v>
      </c>
      <c r="K83" s="1624" t="s">
        <v>4906</v>
      </c>
      <c r="L83" s="1623" t="s">
        <v>4907</v>
      </c>
      <c r="M83" s="1625"/>
    </row>
    <row r="84" spans="1:13" s="1353" customFormat="1" ht="14.4">
      <c r="A84" s="1621">
        <v>77</v>
      </c>
      <c r="B84" s="1622" t="s">
        <v>990</v>
      </c>
      <c r="C84" s="1623" t="s">
        <v>2516</v>
      </c>
      <c r="D84" s="1623" t="s">
        <v>4931</v>
      </c>
      <c r="E84" s="1623" t="s">
        <v>4903</v>
      </c>
      <c r="F84" s="1621" t="s">
        <v>5098</v>
      </c>
      <c r="G84" s="1621">
        <v>110</v>
      </c>
      <c r="H84" s="1621" t="s">
        <v>1252</v>
      </c>
      <c r="I84" s="1621" t="s">
        <v>970</v>
      </c>
      <c r="J84" s="1624" t="s">
        <v>4797</v>
      </c>
      <c r="K84" s="1624" t="s">
        <v>4906</v>
      </c>
      <c r="L84" s="1623" t="s">
        <v>4907</v>
      </c>
      <c r="M84" s="1625"/>
    </row>
    <row r="85" spans="1:13" s="1353" customFormat="1" ht="43.2">
      <c r="A85" s="1621">
        <v>78</v>
      </c>
      <c r="B85" s="1622" t="s">
        <v>990</v>
      </c>
      <c r="C85" s="1623" t="s">
        <v>2516</v>
      </c>
      <c r="D85" s="1623" t="s">
        <v>4931</v>
      </c>
      <c r="E85" s="1623" t="s">
        <v>4903</v>
      </c>
      <c r="F85" s="1621" t="s">
        <v>5098</v>
      </c>
      <c r="G85" s="1621">
        <v>115</v>
      </c>
      <c r="H85" s="1626" t="s">
        <v>1908</v>
      </c>
      <c r="I85" s="1621" t="s">
        <v>1037</v>
      </c>
      <c r="J85" s="1624" t="s">
        <v>4906</v>
      </c>
      <c r="K85" s="1624">
        <v>-0.18</v>
      </c>
      <c r="L85" s="1623" t="s">
        <v>4934</v>
      </c>
      <c r="M85" s="1625">
        <v>44287</v>
      </c>
    </row>
    <row r="86" spans="1:13" s="1353" customFormat="1" ht="14.4">
      <c r="A86" s="1621">
        <v>79</v>
      </c>
      <c r="B86" s="1622" t="s">
        <v>990</v>
      </c>
      <c r="C86" s="1623" t="s">
        <v>2516</v>
      </c>
      <c r="D86" s="1623" t="s">
        <v>4931</v>
      </c>
      <c r="E86" s="1623" t="s">
        <v>4903</v>
      </c>
      <c r="F86" s="1621" t="s">
        <v>5098</v>
      </c>
      <c r="G86" s="1621">
        <v>118</v>
      </c>
      <c r="H86" s="1621" t="s">
        <v>1910</v>
      </c>
      <c r="I86" s="1621" t="s">
        <v>1037</v>
      </c>
      <c r="J86" s="1624">
        <v>-0.48801299999999997</v>
      </c>
      <c r="K86" s="1624" t="s">
        <v>4906</v>
      </c>
      <c r="L86" s="1623" t="s">
        <v>4907</v>
      </c>
      <c r="M86" s="1625">
        <v>44287</v>
      </c>
    </row>
    <row r="87" spans="1:13" s="1353" customFormat="1" ht="14.4">
      <c r="A87" s="1621">
        <v>80</v>
      </c>
      <c r="B87" s="1622" t="s">
        <v>990</v>
      </c>
      <c r="C87" s="1623" t="s">
        <v>2516</v>
      </c>
      <c r="D87" s="1623" t="s">
        <v>4931</v>
      </c>
      <c r="E87" s="1623" t="s">
        <v>4903</v>
      </c>
      <c r="F87" s="1621" t="s">
        <v>5098</v>
      </c>
      <c r="G87" s="1621">
        <v>122</v>
      </c>
      <c r="H87" s="1621" t="s">
        <v>1914</v>
      </c>
      <c r="I87" s="1621" t="s">
        <v>1037</v>
      </c>
      <c r="J87" s="1624">
        <v>0.48801299999999997</v>
      </c>
      <c r="K87" s="1624" t="s">
        <v>4906</v>
      </c>
      <c r="L87" s="1623" t="s">
        <v>4907</v>
      </c>
      <c r="M87" s="1625">
        <v>44287</v>
      </c>
    </row>
    <row r="88" spans="1:13" s="1353" customFormat="1" ht="14.4">
      <c r="A88" s="1621">
        <v>81</v>
      </c>
      <c r="B88" s="1634" t="s">
        <v>990</v>
      </c>
      <c r="C88" s="1623" t="s">
        <v>2542</v>
      </c>
      <c r="D88" s="1623" t="s">
        <v>4911</v>
      </c>
      <c r="E88" s="1623" t="s">
        <v>4903</v>
      </c>
      <c r="F88" s="1621" t="s">
        <v>5098</v>
      </c>
      <c r="G88" s="1621">
        <v>95</v>
      </c>
      <c r="H88" s="1621" t="s">
        <v>1859</v>
      </c>
      <c r="I88" s="1621" t="s">
        <v>968</v>
      </c>
      <c r="J88" s="1624" t="s">
        <v>4906</v>
      </c>
      <c r="K88" s="1633">
        <v>151.9</v>
      </c>
      <c r="L88" s="1623" t="s">
        <v>4912</v>
      </c>
      <c r="M88" s="1625">
        <v>44287</v>
      </c>
    </row>
    <row r="89" spans="1:13" s="1353" customFormat="1" ht="14.4">
      <c r="A89" s="1621">
        <v>82</v>
      </c>
      <c r="B89" s="1634" t="s">
        <v>990</v>
      </c>
      <c r="C89" s="1623" t="s">
        <v>2542</v>
      </c>
      <c r="D89" s="1623" t="s">
        <v>4911</v>
      </c>
      <c r="E89" s="1623" t="s">
        <v>4903</v>
      </c>
      <c r="F89" s="1621" t="s">
        <v>5098</v>
      </c>
      <c r="G89" s="1621">
        <v>95</v>
      </c>
      <c r="H89" s="1621" t="s">
        <v>1859</v>
      </c>
      <c r="I89" s="1621" t="s">
        <v>980</v>
      </c>
      <c r="J89" s="1624" t="s">
        <v>4906</v>
      </c>
      <c r="K89" s="1633">
        <v>147.1</v>
      </c>
      <c r="L89" s="1623" t="s">
        <v>4912</v>
      </c>
      <c r="M89" s="1625">
        <v>44287</v>
      </c>
    </row>
    <row r="90" spans="1:13" s="1353" customFormat="1" ht="14.4">
      <c r="A90" s="1621">
        <v>83</v>
      </c>
      <c r="B90" s="1634" t="s">
        <v>990</v>
      </c>
      <c r="C90" s="1623" t="s">
        <v>2542</v>
      </c>
      <c r="D90" s="1623" t="s">
        <v>4911</v>
      </c>
      <c r="E90" s="1623" t="s">
        <v>4903</v>
      </c>
      <c r="F90" s="1621" t="s">
        <v>5098</v>
      </c>
      <c r="G90" s="1621">
        <v>95</v>
      </c>
      <c r="H90" s="1621" t="s">
        <v>1859</v>
      </c>
      <c r="I90" s="1621" t="s">
        <v>985</v>
      </c>
      <c r="J90" s="1624" t="s">
        <v>4906</v>
      </c>
      <c r="K90" s="1633">
        <v>142.4</v>
      </c>
      <c r="L90" s="1623" t="s">
        <v>4912</v>
      </c>
      <c r="M90" s="1625">
        <v>44287</v>
      </c>
    </row>
    <row r="91" spans="1:13" s="1353" customFormat="1" ht="14.4">
      <c r="A91" s="1621">
        <v>84</v>
      </c>
      <c r="B91" s="1634" t="s">
        <v>990</v>
      </c>
      <c r="C91" s="1623" t="s">
        <v>2542</v>
      </c>
      <c r="D91" s="1623" t="s">
        <v>4911</v>
      </c>
      <c r="E91" s="1623" t="s">
        <v>4903</v>
      </c>
      <c r="F91" s="1621" t="s">
        <v>5098</v>
      </c>
      <c r="G91" s="1621">
        <v>95</v>
      </c>
      <c r="H91" s="1621" t="s">
        <v>1859</v>
      </c>
      <c r="I91" s="1621" t="s">
        <v>958</v>
      </c>
      <c r="J91" s="1624" t="s">
        <v>4906</v>
      </c>
      <c r="K91" s="1633">
        <v>137.9</v>
      </c>
      <c r="L91" s="1623" t="s">
        <v>4912</v>
      </c>
      <c r="M91" s="1625">
        <v>44287</v>
      </c>
    </row>
    <row r="92" spans="1:13" s="1353" customFormat="1" ht="14.4">
      <c r="A92" s="1621">
        <v>85</v>
      </c>
      <c r="B92" s="1634" t="s">
        <v>990</v>
      </c>
      <c r="C92" s="1623" t="s">
        <v>2542</v>
      </c>
      <c r="D92" s="1623" t="s">
        <v>4911</v>
      </c>
      <c r="E92" s="1623" t="s">
        <v>4903</v>
      </c>
      <c r="F92" s="1621" t="s">
        <v>5098</v>
      </c>
      <c r="G92" s="1621">
        <v>95</v>
      </c>
      <c r="H92" s="1621" t="s">
        <v>1859</v>
      </c>
      <c r="I92" s="1621" t="s">
        <v>970</v>
      </c>
      <c r="J92" s="1624" t="s">
        <v>4906</v>
      </c>
      <c r="K92" s="1633">
        <v>133.4</v>
      </c>
      <c r="L92" s="1623" t="s">
        <v>4912</v>
      </c>
      <c r="M92" s="1625">
        <v>44287</v>
      </c>
    </row>
    <row r="93" spans="1:13" s="1353" customFormat="1" ht="14.4">
      <c r="A93" s="1621">
        <v>86</v>
      </c>
      <c r="B93" s="1634" t="s">
        <v>990</v>
      </c>
      <c r="C93" s="1623" t="s">
        <v>2546</v>
      </c>
      <c r="D93" s="1623" t="s">
        <v>4913</v>
      </c>
      <c r="E93" s="1623" t="s">
        <v>4903</v>
      </c>
      <c r="F93" s="1621" t="s">
        <v>5098</v>
      </c>
      <c r="G93" s="1621">
        <v>95</v>
      </c>
      <c r="H93" s="1621" t="s">
        <v>1859</v>
      </c>
      <c r="I93" s="1621" t="s">
        <v>968</v>
      </c>
      <c r="J93" s="1624" t="s">
        <v>4906</v>
      </c>
      <c r="K93" s="1632">
        <v>7.64</v>
      </c>
      <c r="L93" s="1623" t="s">
        <v>4932</v>
      </c>
      <c r="M93" s="1625">
        <v>44287</v>
      </c>
    </row>
    <row r="94" spans="1:13" s="1353" customFormat="1" ht="14.4">
      <c r="A94" s="1621">
        <v>87</v>
      </c>
      <c r="B94" s="1634" t="s">
        <v>990</v>
      </c>
      <c r="C94" s="1623" t="s">
        <v>2546</v>
      </c>
      <c r="D94" s="1623" t="s">
        <v>4913</v>
      </c>
      <c r="E94" s="1623" t="s">
        <v>4903</v>
      </c>
      <c r="F94" s="1621" t="s">
        <v>5098</v>
      </c>
      <c r="G94" s="1621">
        <v>95</v>
      </c>
      <c r="H94" s="1621" t="s">
        <v>1859</v>
      </c>
      <c r="I94" s="1621" t="s">
        <v>980</v>
      </c>
      <c r="J94" s="1624" t="s">
        <v>4906</v>
      </c>
      <c r="K94" s="1632">
        <v>6.43</v>
      </c>
      <c r="L94" s="1623" t="s">
        <v>4932</v>
      </c>
      <c r="M94" s="1625">
        <v>44287</v>
      </c>
    </row>
    <row r="95" spans="1:13" s="1353" customFormat="1" ht="14.4">
      <c r="A95" s="1621">
        <v>88</v>
      </c>
      <c r="B95" s="1634" t="s">
        <v>990</v>
      </c>
      <c r="C95" s="1623" t="s">
        <v>2546</v>
      </c>
      <c r="D95" s="1623" t="s">
        <v>4913</v>
      </c>
      <c r="E95" s="1623" t="s">
        <v>4903</v>
      </c>
      <c r="F95" s="1621" t="s">
        <v>5098</v>
      </c>
      <c r="G95" s="1621">
        <v>95</v>
      </c>
      <c r="H95" s="1621" t="s">
        <v>1859</v>
      </c>
      <c r="I95" s="1621" t="s">
        <v>985</v>
      </c>
      <c r="J95" s="1624" t="s">
        <v>4906</v>
      </c>
      <c r="K95" s="1632">
        <v>5.23</v>
      </c>
      <c r="L95" s="1623" t="s">
        <v>4932</v>
      </c>
      <c r="M95" s="1625">
        <v>44287</v>
      </c>
    </row>
    <row r="96" spans="1:13" s="1353" customFormat="1" ht="14.4">
      <c r="A96" s="1621">
        <v>89</v>
      </c>
      <c r="B96" s="1634" t="s">
        <v>990</v>
      </c>
      <c r="C96" s="1623" t="s">
        <v>2546</v>
      </c>
      <c r="D96" s="1623" t="s">
        <v>4913</v>
      </c>
      <c r="E96" s="1623" t="s">
        <v>4903</v>
      </c>
      <c r="F96" s="1621" t="s">
        <v>5098</v>
      </c>
      <c r="G96" s="1621">
        <v>95</v>
      </c>
      <c r="H96" s="1621" t="s">
        <v>1859</v>
      </c>
      <c r="I96" s="1621" t="s">
        <v>958</v>
      </c>
      <c r="J96" s="1624" t="s">
        <v>4906</v>
      </c>
      <c r="K96" s="1632">
        <v>4.0199999999999996</v>
      </c>
      <c r="L96" s="1623" t="s">
        <v>4932</v>
      </c>
      <c r="M96" s="1625">
        <v>44287</v>
      </c>
    </row>
    <row r="97" spans="1:13" s="1353" customFormat="1" ht="14.4">
      <c r="A97" s="1621">
        <v>90</v>
      </c>
      <c r="B97" s="1634" t="s">
        <v>990</v>
      </c>
      <c r="C97" s="1623" t="s">
        <v>2546</v>
      </c>
      <c r="D97" s="1623" t="s">
        <v>4913</v>
      </c>
      <c r="E97" s="1623" t="s">
        <v>4903</v>
      </c>
      <c r="F97" s="1621" t="s">
        <v>5098</v>
      </c>
      <c r="G97" s="1621">
        <v>95</v>
      </c>
      <c r="H97" s="1621" t="s">
        <v>1859</v>
      </c>
      <c r="I97" s="1621" t="s">
        <v>970</v>
      </c>
      <c r="J97" s="1624" t="s">
        <v>4906</v>
      </c>
      <c r="K97" s="1632">
        <v>2.81</v>
      </c>
      <c r="L97" s="1623" t="s">
        <v>4932</v>
      </c>
      <c r="M97" s="1625">
        <v>44287</v>
      </c>
    </row>
    <row r="98" spans="1:13" s="1353" customFormat="1" ht="57.6">
      <c r="A98" s="1627">
        <v>91</v>
      </c>
      <c r="B98" s="1628" t="s">
        <v>990</v>
      </c>
      <c r="C98" s="1629" t="s">
        <v>2511</v>
      </c>
      <c r="D98" s="1629" t="s">
        <v>629</v>
      </c>
      <c r="E98" s="1629" t="s">
        <v>788</v>
      </c>
      <c r="F98" s="1627" t="s">
        <v>5098</v>
      </c>
      <c r="G98" s="1627">
        <v>41</v>
      </c>
      <c r="H98" s="1627" t="s">
        <v>1090</v>
      </c>
      <c r="I98" s="1627" t="s">
        <v>1037</v>
      </c>
      <c r="J98" s="1630" t="s">
        <v>978</v>
      </c>
      <c r="K98" s="1630" t="s">
        <v>966</v>
      </c>
      <c r="L98" s="1629" t="s">
        <v>5099</v>
      </c>
      <c r="M98" s="1631">
        <v>44225</v>
      </c>
    </row>
    <row r="99" spans="1:13" s="1353" customFormat="1" ht="57.6">
      <c r="A99" s="1627">
        <v>92</v>
      </c>
      <c r="B99" s="1628" t="s">
        <v>990</v>
      </c>
      <c r="C99" s="1629" t="s">
        <v>2516</v>
      </c>
      <c r="D99" s="1629" t="s">
        <v>629</v>
      </c>
      <c r="E99" s="1629" t="s">
        <v>788</v>
      </c>
      <c r="F99" s="1627" t="s">
        <v>5098</v>
      </c>
      <c r="G99" s="1627">
        <v>41</v>
      </c>
      <c r="H99" s="1627" t="s">
        <v>1090</v>
      </c>
      <c r="I99" s="1627" t="s">
        <v>1037</v>
      </c>
      <c r="J99" s="1630" t="s">
        <v>978</v>
      </c>
      <c r="K99" s="1630" t="s">
        <v>966</v>
      </c>
      <c r="L99" s="1629" t="s">
        <v>5099</v>
      </c>
      <c r="M99" s="1631">
        <v>44225</v>
      </c>
    </row>
    <row r="100" spans="1:13" s="1353" customFormat="1" ht="57.6">
      <c r="A100" s="1627">
        <v>93</v>
      </c>
      <c r="B100" s="1628" t="s">
        <v>990</v>
      </c>
      <c r="C100" s="1629" t="s">
        <v>1134</v>
      </c>
      <c r="D100" s="1629" t="s">
        <v>1124</v>
      </c>
      <c r="E100" s="1629" t="s">
        <v>788</v>
      </c>
      <c r="F100" s="1627" t="s">
        <v>5098</v>
      </c>
      <c r="G100" s="1627">
        <v>41</v>
      </c>
      <c r="H100" s="1627" t="s">
        <v>1090</v>
      </c>
      <c r="I100" s="1627" t="s">
        <v>1037</v>
      </c>
      <c r="J100" s="1630" t="s">
        <v>978</v>
      </c>
      <c r="K100" s="1630" t="s">
        <v>966</v>
      </c>
      <c r="L100" s="1629" t="s">
        <v>5100</v>
      </c>
      <c r="M100" s="1631">
        <v>44225</v>
      </c>
    </row>
    <row r="101" spans="1:13" s="1353" customFormat="1" ht="14.4">
      <c r="A101" s="1621">
        <v>94</v>
      </c>
      <c r="B101" s="1634" t="s">
        <v>1015</v>
      </c>
      <c r="C101" s="1635" t="s">
        <v>4653</v>
      </c>
      <c r="D101" s="1635" t="s">
        <v>4902</v>
      </c>
      <c r="E101" s="1623" t="s">
        <v>4903</v>
      </c>
      <c r="F101" s="1621" t="s">
        <v>5098</v>
      </c>
      <c r="G101" s="1621">
        <v>95</v>
      </c>
      <c r="H101" s="1621" t="s">
        <v>1859</v>
      </c>
      <c r="I101" s="1621" t="s">
        <v>985</v>
      </c>
      <c r="J101" s="1624">
        <v>2</v>
      </c>
      <c r="K101" s="1624">
        <v>1.5</v>
      </c>
      <c r="L101" s="1623" t="s">
        <v>4905</v>
      </c>
      <c r="M101" s="1625">
        <v>44287</v>
      </c>
    </row>
    <row r="102" spans="1:13" s="1353" customFormat="1" ht="14.4">
      <c r="A102" s="1621">
        <v>95</v>
      </c>
      <c r="B102" s="1634" t="s">
        <v>1015</v>
      </c>
      <c r="C102" s="1635" t="s">
        <v>4653</v>
      </c>
      <c r="D102" s="1635" t="s">
        <v>4902</v>
      </c>
      <c r="E102" s="1623" t="s">
        <v>4903</v>
      </c>
      <c r="F102" s="1621" t="s">
        <v>5098</v>
      </c>
      <c r="G102" s="1621">
        <v>95</v>
      </c>
      <c r="H102" s="1621" t="s">
        <v>1859</v>
      </c>
      <c r="I102" s="1621" t="s">
        <v>958</v>
      </c>
      <c r="J102" s="1624">
        <v>2</v>
      </c>
      <c r="K102" s="1624">
        <v>1.5</v>
      </c>
      <c r="L102" s="1623" t="s">
        <v>4905</v>
      </c>
      <c r="M102" s="1625">
        <v>44287</v>
      </c>
    </row>
    <row r="103" spans="1:13" s="1353" customFormat="1" ht="14.4">
      <c r="A103" s="1621">
        <v>96</v>
      </c>
      <c r="B103" s="1634" t="s">
        <v>1015</v>
      </c>
      <c r="C103" s="1635" t="s">
        <v>4653</v>
      </c>
      <c r="D103" s="1635" t="s">
        <v>4902</v>
      </c>
      <c r="E103" s="1623" t="s">
        <v>4903</v>
      </c>
      <c r="F103" s="1621" t="s">
        <v>5098</v>
      </c>
      <c r="G103" s="1621">
        <v>95</v>
      </c>
      <c r="H103" s="1621" t="s">
        <v>1859</v>
      </c>
      <c r="I103" s="1621" t="s">
        <v>970</v>
      </c>
      <c r="J103" s="1624">
        <v>2</v>
      </c>
      <c r="K103" s="1624">
        <v>1.5</v>
      </c>
      <c r="L103" s="1623" t="s">
        <v>4905</v>
      </c>
      <c r="M103" s="1625">
        <v>44287</v>
      </c>
    </row>
    <row r="104" spans="1:13" s="1353" customFormat="1" ht="14.4">
      <c r="A104" s="1621">
        <v>97</v>
      </c>
      <c r="B104" s="1622" t="s">
        <v>1015</v>
      </c>
      <c r="C104" s="1623" t="s">
        <v>4659</v>
      </c>
      <c r="D104" s="1623" t="s">
        <v>629</v>
      </c>
      <c r="E104" s="1623" t="s">
        <v>4903</v>
      </c>
      <c r="F104" s="1621" t="s">
        <v>5098</v>
      </c>
      <c r="G104" s="1621">
        <v>85</v>
      </c>
      <c r="H104" s="1621" t="s">
        <v>1857</v>
      </c>
      <c r="I104" s="1621" t="s">
        <v>968</v>
      </c>
      <c r="J104" s="1624">
        <v>-19.975250626673098</v>
      </c>
      <c r="K104" s="1624" t="s">
        <v>4906</v>
      </c>
      <c r="L104" s="1623" t="s">
        <v>4907</v>
      </c>
      <c r="M104" s="1625">
        <v>44287</v>
      </c>
    </row>
    <row r="105" spans="1:13" s="1353" customFormat="1" ht="14.4">
      <c r="A105" s="1621">
        <v>98</v>
      </c>
      <c r="B105" s="1622" t="s">
        <v>1015</v>
      </c>
      <c r="C105" s="1623" t="s">
        <v>4659</v>
      </c>
      <c r="D105" s="1623" t="s">
        <v>629</v>
      </c>
      <c r="E105" s="1623" t="s">
        <v>4903</v>
      </c>
      <c r="F105" s="1621" t="s">
        <v>5098</v>
      </c>
      <c r="G105" s="1621">
        <v>85</v>
      </c>
      <c r="H105" s="1621" t="s">
        <v>1857</v>
      </c>
      <c r="I105" s="1621" t="s">
        <v>980</v>
      </c>
      <c r="J105" s="1624">
        <v>-19.975250626673098</v>
      </c>
      <c r="K105" s="1624" t="s">
        <v>4906</v>
      </c>
      <c r="L105" s="1623" t="s">
        <v>4907</v>
      </c>
      <c r="M105" s="1625">
        <v>44287</v>
      </c>
    </row>
    <row r="106" spans="1:13" s="1353" customFormat="1" ht="14.4">
      <c r="A106" s="1621">
        <v>99</v>
      </c>
      <c r="B106" s="1622" t="s">
        <v>1015</v>
      </c>
      <c r="C106" s="1623" t="s">
        <v>4659</v>
      </c>
      <c r="D106" s="1623" t="s">
        <v>629</v>
      </c>
      <c r="E106" s="1623" t="s">
        <v>4903</v>
      </c>
      <c r="F106" s="1621" t="s">
        <v>5098</v>
      </c>
      <c r="G106" s="1621">
        <v>85</v>
      </c>
      <c r="H106" s="1621" t="s">
        <v>1857</v>
      </c>
      <c r="I106" s="1621" t="s">
        <v>985</v>
      </c>
      <c r="J106" s="1624">
        <v>-19.975250626673098</v>
      </c>
      <c r="K106" s="1624" t="s">
        <v>4906</v>
      </c>
      <c r="L106" s="1623" t="s">
        <v>4907</v>
      </c>
      <c r="M106" s="1625">
        <v>44287</v>
      </c>
    </row>
    <row r="107" spans="1:13" s="1353" customFormat="1" ht="14.4">
      <c r="A107" s="1621">
        <v>100</v>
      </c>
      <c r="B107" s="1622" t="s">
        <v>1015</v>
      </c>
      <c r="C107" s="1623" t="s">
        <v>4659</v>
      </c>
      <c r="D107" s="1623" t="s">
        <v>629</v>
      </c>
      <c r="E107" s="1623" t="s">
        <v>4903</v>
      </c>
      <c r="F107" s="1621" t="s">
        <v>5098</v>
      </c>
      <c r="G107" s="1621">
        <v>85</v>
      </c>
      <c r="H107" s="1621" t="s">
        <v>1857</v>
      </c>
      <c r="I107" s="1621" t="s">
        <v>958</v>
      </c>
      <c r="J107" s="1624">
        <v>-19.975250626673098</v>
      </c>
      <c r="K107" s="1624" t="s">
        <v>4906</v>
      </c>
      <c r="L107" s="1623" t="s">
        <v>4907</v>
      </c>
      <c r="M107" s="1625">
        <v>44287</v>
      </c>
    </row>
    <row r="108" spans="1:13" s="1353" customFormat="1" ht="14.4">
      <c r="A108" s="1621">
        <v>101</v>
      </c>
      <c r="B108" s="1622" t="s">
        <v>1015</v>
      </c>
      <c r="C108" s="1623" t="s">
        <v>4659</v>
      </c>
      <c r="D108" s="1623" t="s">
        <v>629</v>
      </c>
      <c r="E108" s="1623" t="s">
        <v>4903</v>
      </c>
      <c r="F108" s="1621" t="s">
        <v>5098</v>
      </c>
      <c r="G108" s="1621">
        <v>85</v>
      </c>
      <c r="H108" s="1621" t="s">
        <v>1857</v>
      </c>
      <c r="I108" s="1621" t="s">
        <v>970</v>
      </c>
      <c r="J108" s="1624">
        <v>-19.975250626673098</v>
      </c>
      <c r="K108" s="1624" t="s">
        <v>4906</v>
      </c>
      <c r="L108" s="1623" t="s">
        <v>4907</v>
      </c>
      <c r="M108" s="1625">
        <v>44287</v>
      </c>
    </row>
    <row r="109" spans="1:13" s="1353" customFormat="1" ht="14.4">
      <c r="A109" s="1621">
        <v>102</v>
      </c>
      <c r="B109" s="1622" t="s">
        <v>1015</v>
      </c>
      <c r="C109" s="1623" t="s">
        <v>4659</v>
      </c>
      <c r="D109" s="1623" t="s">
        <v>629</v>
      </c>
      <c r="E109" s="1623" t="s">
        <v>4903</v>
      </c>
      <c r="F109" s="1621" t="s">
        <v>5098</v>
      </c>
      <c r="G109" s="1621">
        <v>110</v>
      </c>
      <c r="H109" s="1621" t="s">
        <v>1862</v>
      </c>
      <c r="I109" s="1621" t="s">
        <v>968</v>
      </c>
      <c r="J109" s="1624" t="s">
        <v>4797</v>
      </c>
      <c r="K109" s="1624" t="s">
        <v>4906</v>
      </c>
      <c r="L109" s="1623" t="s">
        <v>4907</v>
      </c>
      <c r="M109" s="1625">
        <v>44287</v>
      </c>
    </row>
    <row r="110" spans="1:13" s="1353" customFormat="1" ht="14.4">
      <c r="A110" s="1621">
        <v>103</v>
      </c>
      <c r="B110" s="1622" t="s">
        <v>1015</v>
      </c>
      <c r="C110" s="1623" t="s">
        <v>4659</v>
      </c>
      <c r="D110" s="1623" t="s">
        <v>629</v>
      </c>
      <c r="E110" s="1623" t="s">
        <v>4903</v>
      </c>
      <c r="F110" s="1621" t="s">
        <v>5098</v>
      </c>
      <c r="G110" s="1621">
        <v>110</v>
      </c>
      <c r="H110" s="1621" t="s">
        <v>1862</v>
      </c>
      <c r="I110" s="1621" t="s">
        <v>980</v>
      </c>
      <c r="J110" s="1624" t="s">
        <v>4797</v>
      </c>
      <c r="K110" s="1624" t="s">
        <v>4906</v>
      </c>
      <c r="L110" s="1623" t="s">
        <v>4907</v>
      </c>
      <c r="M110" s="1625">
        <v>44287</v>
      </c>
    </row>
    <row r="111" spans="1:13" s="1353" customFormat="1" ht="14.4">
      <c r="A111" s="1621">
        <v>104</v>
      </c>
      <c r="B111" s="1622" t="s">
        <v>1015</v>
      </c>
      <c r="C111" s="1623" t="s">
        <v>4659</v>
      </c>
      <c r="D111" s="1623" t="s">
        <v>629</v>
      </c>
      <c r="E111" s="1623" t="s">
        <v>4903</v>
      </c>
      <c r="F111" s="1621" t="s">
        <v>5098</v>
      </c>
      <c r="G111" s="1621">
        <v>110</v>
      </c>
      <c r="H111" s="1621" t="s">
        <v>1862</v>
      </c>
      <c r="I111" s="1621" t="s">
        <v>985</v>
      </c>
      <c r="J111" s="1624" t="s">
        <v>4797</v>
      </c>
      <c r="K111" s="1624" t="s">
        <v>4906</v>
      </c>
      <c r="L111" s="1623" t="s">
        <v>4907</v>
      </c>
      <c r="M111" s="1625">
        <v>44287</v>
      </c>
    </row>
    <row r="112" spans="1:13" s="1353" customFormat="1" ht="14.4">
      <c r="A112" s="1621">
        <v>105</v>
      </c>
      <c r="B112" s="1622" t="s">
        <v>1015</v>
      </c>
      <c r="C112" s="1623" t="s">
        <v>4659</v>
      </c>
      <c r="D112" s="1623" t="s">
        <v>629</v>
      </c>
      <c r="E112" s="1623" t="s">
        <v>4903</v>
      </c>
      <c r="F112" s="1621" t="s">
        <v>5098</v>
      </c>
      <c r="G112" s="1621">
        <v>110</v>
      </c>
      <c r="H112" s="1621" t="s">
        <v>1862</v>
      </c>
      <c r="I112" s="1621" t="s">
        <v>958</v>
      </c>
      <c r="J112" s="1624" t="s">
        <v>4797</v>
      </c>
      <c r="K112" s="1624" t="s">
        <v>4906</v>
      </c>
      <c r="L112" s="1623" t="s">
        <v>4907</v>
      </c>
      <c r="M112" s="1625">
        <v>44287</v>
      </c>
    </row>
    <row r="113" spans="1:13" s="1353" customFormat="1" ht="14.4">
      <c r="A113" s="1621">
        <v>106</v>
      </c>
      <c r="B113" s="1622" t="s">
        <v>1015</v>
      </c>
      <c r="C113" s="1623" t="s">
        <v>4659</v>
      </c>
      <c r="D113" s="1623" t="s">
        <v>629</v>
      </c>
      <c r="E113" s="1623" t="s">
        <v>4903</v>
      </c>
      <c r="F113" s="1621" t="s">
        <v>5098</v>
      </c>
      <c r="G113" s="1621">
        <v>110</v>
      </c>
      <c r="H113" s="1621" t="s">
        <v>1862</v>
      </c>
      <c r="I113" s="1621" t="s">
        <v>970</v>
      </c>
      <c r="J113" s="1624" t="s">
        <v>4797</v>
      </c>
      <c r="K113" s="1624" t="s">
        <v>4906</v>
      </c>
      <c r="L113" s="1623" t="s">
        <v>4907</v>
      </c>
      <c r="M113" s="1625">
        <v>44287</v>
      </c>
    </row>
    <row r="114" spans="1:13" s="1353" customFormat="1" ht="14.4">
      <c r="A114" s="1621">
        <v>107</v>
      </c>
      <c r="B114" s="1622" t="s">
        <v>1015</v>
      </c>
      <c r="C114" s="1623" t="s">
        <v>4659</v>
      </c>
      <c r="D114" s="1623" t="s">
        <v>629</v>
      </c>
      <c r="E114" s="1623" t="s">
        <v>4903</v>
      </c>
      <c r="F114" s="1621" t="s">
        <v>5098</v>
      </c>
      <c r="G114" s="1621">
        <v>118</v>
      </c>
      <c r="H114" s="1621" t="s">
        <v>1910</v>
      </c>
      <c r="I114" s="1621" t="s">
        <v>1037</v>
      </c>
      <c r="J114" s="1624">
        <v>-0.70199387493371368</v>
      </c>
      <c r="K114" s="1624" t="s">
        <v>4906</v>
      </c>
      <c r="L114" s="1623" t="s">
        <v>4907</v>
      </c>
      <c r="M114" s="1625">
        <v>44287</v>
      </c>
    </row>
    <row r="115" spans="1:13" s="1353" customFormat="1" ht="14.4">
      <c r="A115" s="1621">
        <v>108</v>
      </c>
      <c r="B115" s="1622" t="s">
        <v>1015</v>
      </c>
      <c r="C115" s="1623" t="s">
        <v>4659</v>
      </c>
      <c r="D115" s="1623" t="s">
        <v>629</v>
      </c>
      <c r="E115" s="1623" t="s">
        <v>4903</v>
      </c>
      <c r="F115" s="1621" t="s">
        <v>5098</v>
      </c>
      <c r="G115" s="1621">
        <v>122</v>
      </c>
      <c r="H115" s="1621" t="s">
        <v>1914</v>
      </c>
      <c r="I115" s="1621" t="s">
        <v>1037</v>
      </c>
      <c r="J115" s="1624">
        <v>0.70199387493371368</v>
      </c>
      <c r="K115" s="1624" t="s">
        <v>4906</v>
      </c>
      <c r="L115" s="1623" t="s">
        <v>4907</v>
      </c>
      <c r="M115" s="1625">
        <v>44287</v>
      </c>
    </row>
    <row r="116" spans="1:13" s="1353" customFormat="1" ht="43.2">
      <c r="A116" s="1621">
        <v>109</v>
      </c>
      <c r="B116" s="1622" t="s">
        <v>1015</v>
      </c>
      <c r="C116" s="1623" t="s">
        <v>4659</v>
      </c>
      <c r="D116" s="1623" t="s">
        <v>629</v>
      </c>
      <c r="E116" s="1623" t="s">
        <v>4903</v>
      </c>
      <c r="F116" s="1621" t="s">
        <v>5098</v>
      </c>
      <c r="G116" s="1621">
        <v>115</v>
      </c>
      <c r="H116" s="1626" t="s">
        <v>1908</v>
      </c>
      <c r="I116" s="1621" t="s">
        <v>1037</v>
      </c>
      <c r="J116" s="1624" t="s">
        <v>4906</v>
      </c>
      <c r="K116" s="1624">
        <v>-0.253</v>
      </c>
      <c r="L116" s="1623" t="s">
        <v>5102</v>
      </c>
      <c r="M116" s="1625">
        <v>44287</v>
      </c>
    </row>
    <row r="117" spans="1:13" s="1353" customFormat="1" ht="14.4">
      <c r="A117" s="1621">
        <v>110</v>
      </c>
      <c r="B117" s="1622" t="s">
        <v>1015</v>
      </c>
      <c r="C117" s="1623" t="s">
        <v>4662</v>
      </c>
      <c r="D117" s="1623" t="s">
        <v>4913</v>
      </c>
      <c r="E117" s="1623" t="s">
        <v>4903</v>
      </c>
      <c r="F117" s="1621" t="s">
        <v>5098</v>
      </c>
      <c r="G117" s="1621">
        <v>95</v>
      </c>
      <c r="H117" s="1621" t="s">
        <v>1859</v>
      </c>
      <c r="I117" s="1621" t="s">
        <v>968</v>
      </c>
      <c r="J117" s="1624" t="s">
        <v>4906</v>
      </c>
      <c r="K117" s="1624">
        <v>6.14</v>
      </c>
      <c r="L117" s="1623" t="s">
        <v>4932</v>
      </c>
      <c r="M117" s="1625">
        <v>44287</v>
      </c>
    </row>
    <row r="118" spans="1:13" s="1353" customFormat="1" ht="14.4">
      <c r="A118" s="1621">
        <v>111</v>
      </c>
      <c r="B118" s="1622" t="s">
        <v>1015</v>
      </c>
      <c r="C118" s="1623" t="s">
        <v>4662</v>
      </c>
      <c r="D118" s="1623" t="s">
        <v>4913</v>
      </c>
      <c r="E118" s="1623" t="s">
        <v>4903</v>
      </c>
      <c r="F118" s="1621" t="s">
        <v>5098</v>
      </c>
      <c r="G118" s="1621">
        <v>95</v>
      </c>
      <c r="H118" s="1621" t="s">
        <v>1859</v>
      </c>
      <c r="I118" s="1621" t="s">
        <v>980</v>
      </c>
      <c r="J118" s="1624" t="s">
        <v>4906</v>
      </c>
      <c r="K118" s="1624">
        <v>5.3</v>
      </c>
      <c r="L118" s="1623" t="s">
        <v>4932</v>
      </c>
      <c r="M118" s="1625">
        <v>44287</v>
      </c>
    </row>
    <row r="119" spans="1:13" s="1353" customFormat="1" ht="14.4">
      <c r="A119" s="1621">
        <v>112</v>
      </c>
      <c r="B119" s="1622" t="s">
        <v>1015</v>
      </c>
      <c r="C119" s="1623" t="s">
        <v>4662</v>
      </c>
      <c r="D119" s="1623" t="s">
        <v>4913</v>
      </c>
      <c r="E119" s="1623" t="s">
        <v>4903</v>
      </c>
      <c r="F119" s="1621" t="s">
        <v>5098</v>
      </c>
      <c r="G119" s="1621">
        <v>95</v>
      </c>
      <c r="H119" s="1621" t="s">
        <v>1859</v>
      </c>
      <c r="I119" s="1621" t="s">
        <v>985</v>
      </c>
      <c r="J119" s="1624" t="s">
        <v>4906</v>
      </c>
      <c r="K119" s="1624">
        <v>4.4800000000000004</v>
      </c>
      <c r="L119" s="1623" t="s">
        <v>4932</v>
      </c>
      <c r="M119" s="1625">
        <v>44287</v>
      </c>
    </row>
    <row r="120" spans="1:13" s="1353" customFormat="1" ht="14.4">
      <c r="A120" s="1621">
        <v>113</v>
      </c>
      <c r="B120" s="1622" t="s">
        <v>1015</v>
      </c>
      <c r="C120" s="1623" t="s">
        <v>4662</v>
      </c>
      <c r="D120" s="1623" t="s">
        <v>4913</v>
      </c>
      <c r="E120" s="1623" t="s">
        <v>4903</v>
      </c>
      <c r="F120" s="1621" t="s">
        <v>5098</v>
      </c>
      <c r="G120" s="1621">
        <v>95</v>
      </c>
      <c r="H120" s="1621" t="s">
        <v>1859</v>
      </c>
      <c r="I120" s="1621" t="s">
        <v>958</v>
      </c>
      <c r="J120" s="1624" t="s">
        <v>4906</v>
      </c>
      <c r="K120" s="1624">
        <v>3.64</v>
      </c>
      <c r="L120" s="1623" t="s">
        <v>4932</v>
      </c>
      <c r="M120" s="1625">
        <v>44287</v>
      </c>
    </row>
    <row r="121" spans="1:13" s="1353" customFormat="1" ht="14.4">
      <c r="A121" s="1621">
        <v>114</v>
      </c>
      <c r="B121" s="1622" t="s">
        <v>1015</v>
      </c>
      <c r="C121" s="1623" t="s">
        <v>4662</v>
      </c>
      <c r="D121" s="1623" t="s">
        <v>4913</v>
      </c>
      <c r="E121" s="1623" t="s">
        <v>4903</v>
      </c>
      <c r="F121" s="1621" t="s">
        <v>5098</v>
      </c>
      <c r="G121" s="1621">
        <v>95</v>
      </c>
      <c r="H121" s="1621" t="s">
        <v>1859</v>
      </c>
      <c r="I121" s="1621" t="s">
        <v>970</v>
      </c>
      <c r="J121" s="1624" t="s">
        <v>4906</v>
      </c>
      <c r="K121" s="1624">
        <v>2.81</v>
      </c>
      <c r="L121" s="1623" t="s">
        <v>4932</v>
      </c>
      <c r="M121" s="1625">
        <v>44287</v>
      </c>
    </row>
    <row r="122" spans="1:13" s="1353" customFormat="1" ht="14.4">
      <c r="A122" s="1621">
        <v>115</v>
      </c>
      <c r="B122" s="1622" t="s">
        <v>1015</v>
      </c>
      <c r="C122" s="1623" t="s">
        <v>4665</v>
      </c>
      <c r="D122" s="1623" t="s">
        <v>4911</v>
      </c>
      <c r="E122" s="1623" t="s">
        <v>4903</v>
      </c>
      <c r="F122" s="1621" t="s">
        <v>5098</v>
      </c>
      <c r="G122" s="1621">
        <v>95</v>
      </c>
      <c r="H122" s="1621" t="s">
        <v>1859</v>
      </c>
      <c r="I122" s="1621" t="s">
        <v>968</v>
      </c>
      <c r="J122" s="1624" t="s">
        <v>4906</v>
      </c>
      <c r="K122" s="1624">
        <v>196.1</v>
      </c>
      <c r="L122" s="1623" t="s">
        <v>4912</v>
      </c>
      <c r="M122" s="1625">
        <v>44287</v>
      </c>
    </row>
    <row r="123" spans="1:13" s="1353" customFormat="1" ht="14.4">
      <c r="A123" s="1621">
        <v>116</v>
      </c>
      <c r="B123" s="1622" t="s">
        <v>1015</v>
      </c>
      <c r="C123" s="1623" t="s">
        <v>4665</v>
      </c>
      <c r="D123" s="1623" t="s">
        <v>4911</v>
      </c>
      <c r="E123" s="1623" t="s">
        <v>4903</v>
      </c>
      <c r="F123" s="1621" t="s">
        <v>5098</v>
      </c>
      <c r="G123" s="1621">
        <v>95</v>
      </c>
      <c r="H123" s="1621" t="s">
        <v>1859</v>
      </c>
      <c r="I123" s="1621" t="s">
        <v>980</v>
      </c>
      <c r="J123" s="1624" t="s">
        <v>4906</v>
      </c>
      <c r="K123" s="1624">
        <v>193.6</v>
      </c>
      <c r="L123" s="1623" t="s">
        <v>4912</v>
      </c>
      <c r="M123" s="1625">
        <v>44287</v>
      </c>
    </row>
    <row r="124" spans="1:13" s="1353" customFormat="1" ht="14.4">
      <c r="A124" s="1621">
        <v>117</v>
      </c>
      <c r="B124" s="1622" t="s">
        <v>1015</v>
      </c>
      <c r="C124" s="1623" t="s">
        <v>4665</v>
      </c>
      <c r="D124" s="1623" t="s">
        <v>4911</v>
      </c>
      <c r="E124" s="1623" t="s">
        <v>4903</v>
      </c>
      <c r="F124" s="1621" t="s">
        <v>5098</v>
      </c>
      <c r="G124" s="1621">
        <v>95</v>
      </c>
      <c r="H124" s="1621" t="s">
        <v>1859</v>
      </c>
      <c r="I124" s="1621" t="s">
        <v>985</v>
      </c>
      <c r="J124" s="1624" t="s">
        <v>4906</v>
      </c>
      <c r="K124" s="1624">
        <v>191</v>
      </c>
      <c r="L124" s="1623" t="s">
        <v>4912</v>
      </c>
      <c r="M124" s="1625">
        <v>44287</v>
      </c>
    </row>
    <row r="125" spans="1:13" s="1353" customFormat="1" ht="14.4">
      <c r="A125" s="1621">
        <v>118</v>
      </c>
      <c r="B125" s="1622" t="s">
        <v>1015</v>
      </c>
      <c r="C125" s="1623" t="s">
        <v>4665</v>
      </c>
      <c r="D125" s="1623" t="s">
        <v>4911</v>
      </c>
      <c r="E125" s="1623" t="s">
        <v>4903</v>
      </c>
      <c r="F125" s="1621" t="s">
        <v>5098</v>
      </c>
      <c r="G125" s="1621">
        <v>95</v>
      </c>
      <c r="H125" s="1621" t="s">
        <v>1859</v>
      </c>
      <c r="I125" s="1621" t="s">
        <v>958</v>
      </c>
      <c r="J125" s="1624" t="s">
        <v>4906</v>
      </c>
      <c r="K125" s="1624">
        <v>188.4</v>
      </c>
      <c r="L125" s="1623" t="s">
        <v>4912</v>
      </c>
      <c r="M125" s="1625">
        <v>44287</v>
      </c>
    </row>
    <row r="126" spans="1:13" s="1353" customFormat="1" ht="14.4">
      <c r="A126" s="1621">
        <v>119</v>
      </c>
      <c r="B126" s="1622" t="s">
        <v>1015</v>
      </c>
      <c r="C126" s="1623" t="s">
        <v>4665</v>
      </c>
      <c r="D126" s="1623" t="s">
        <v>4911</v>
      </c>
      <c r="E126" s="1623" t="s">
        <v>4903</v>
      </c>
      <c r="F126" s="1621" t="s">
        <v>5098</v>
      </c>
      <c r="G126" s="1621">
        <v>95</v>
      </c>
      <c r="H126" s="1621" t="s">
        <v>1859</v>
      </c>
      <c r="I126" s="1621" t="s">
        <v>970</v>
      </c>
      <c r="J126" s="1624" t="s">
        <v>4906</v>
      </c>
      <c r="K126" s="1624">
        <v>185.8</v>
      </c>
      <c r="L126" s="1623" t="s">
        <v>4912</v>
      </c>
      <c r="M126" s="1625">
        <v>44287</v>
      </c>
    </row>
    <row r="127" spans="1:13" s="1353" customFormat="1" ht="14.4">
      <c r="A127" s="1621">
        <v>120</v>
      </c>
      <c r="B127" s="1622" t="s">
        <v>1015</v>
      </c>
      <c r="C127" s="1623" t="s">
        <v>4688</v>
      </c>
      <c r="D127" s="1623" t="s">
        <v>687</v>
      </c>
      <c r="E127" s="1623" t="s">
        <v>4903</v>
      </c>
      <c r="F127" s="1621" t="s">
        <v>5098</v>
      </c>
      <c r="G127" s="1621">
        <v>90</v>
      </c>
      <c r="H127" s="1621" t="s">
        <v>1858</v>
      </c>
      <c r="I127" s="1621" t="s">
        <v>968</v>
      </c>
      <c r="J127" s="1632">
        <v>2.75</v>
      </c>
      <c r="K127" s="1632">
        <v>2.75</v>
      </c>
      <c r="L127" s="1623" t="s">
        <v>5103</v>
      </c>
      <c r="M127" s="1625">
        <v>44287</v>
      </c>
    </row>
    <row r="128" spans="1:13" s="1353" customFormat="1" ht="14.4">
      <c r="A128" s="1621">
        <v>121</v>
      </c>
      <c r="B128" s="1622" t="s">
        <v>1015</v>
      </c>
      <c r="C128" s="1623" t="s">
        <v>4688</v>
      </c>
      <c r="D128" s="1623" t="s">
        <v>687</v>
      </c>
      <c r="E128" s="1623" t="s">
        <v>4903</v>
      </c>
      <c r="F128" s="1621" t="s">
        <v>5098</v>
      </c>
      <c r="G128" s="1621">
        <v>90</v>
      </c>
      <c r="H128" s="1621" t="s">
        <v>1858</v>
      </c>
      <c r="I128" s="1621" t="s">
        <v>980</v>
      </c>
      <c r="J128" s="1632">
        <v>3</v>
      </c>
      <c r="K128" s="1632">
        <v>3.2</v>
      </c>
      <c r="L128" s="1623" t="s">
        <v>5103</v>
      </c>
      <c r="M128" s="1625">
        <v>44287</v>
      </c>
    </row>
    <row r="129" spans="1:13" s="1353" customFormat="1" ht="14.4">
      <c r="A129" s="1621">
        <v>122</v>
      </c>
      <c r="B129" s="1622" t="s">
        <v>1015</v>
      </c>
      <c r="C129" s="1623" t="s">
        <v>4688</v>
      </c>
      <c r="D129" s="1623" t="s">
        <v>687</v>
      </c>
      <c r="E129" s="1623" t="s">
        <v>4903</v>
      </c>
      <c r="F129" s="1621" t="s">
        <v>5098</v>
      </c>
      <c r="G129" s="1621">
        <v>90</v>
      </c>
      <c r="H129" s="1621" t="s">
        <v>1858</v>
      </c>
      <c r="I129" s="1621" t="s">
        <v>985</v>
      </c>
      <c r="J129" s="1632">
        <v>3.4</v>
      </c>
      <c r="K129" s="1632">
        <v>3.8</v>
      </c>
      <c r="L129" s="1623" t="s">
        <v>5103</v>
      </c>
      <c r="M129" s="1625">
        <v>44287</v>
      </c>
    </row>
    <row r="130" spans="1:13" s="1353" customFormat="1" ht="14.4">
      <c r="A130" s="1621">
        <v>123</v>
      </c>
      <c r="B130" s="1622" t="s">
        <v>1015</v>
      </c>
      <c r="C130" s="1623" t="s">
        <v>4688</v>
      </c>
      <c r="D130" s="1623" t="s">
        <v>687</v>
      </c>
      <c r="E130" s="1623" t="s">
        <v>4903</v>
      </c>
      <c r="F130" s="1621" t="s">
        <v>5098</v>
      </c>
      <c r="G130" s="1621">
        <v>90</v>
      </c>
      <c r="H130" s="1621" t="s">
        <v>1858</v>
      </c>
      <c r="I130" s="1621" t="s">
        <v>958</v>
      </c>
      <c r="J130" s="1632">
        <v>3.6</v>
      </c>
      <c r="K130" s="1632">
        <v>4.3</v>
      </c>
      <c r="L130" s="1623" t="s">
        <v>5103</v>
      </c>
      <c r="M130" s="1625">
        <v>44287</v>
      </c>
    </row>
    <row r="131" spans="1:13" s="1353" customFormat="1" ht="14.4">
      <c r="A131" s="1621">
        <v>124</v>
      </c>
      <c r="B131" s="1622" t="s">
        <v>1015</v>
      </c>
      <c r="C131" s="1623" t="s">
        <v>4688</v>
      </c>
      <c r="D131" s="1623" t="s">
        <v>687</v>
      </c>
      <c r="E131" s="1623" t="s">
        <v>4903</v>
      </c>
      <c r="F131" s="1621" t="s">
        <v>5098</v>
      </c>
      <c r="G131" s="1621">
        <v>90</v>
      </c>
      <c r="H131" s="1621" t="s">
        <v>1858</v>
      </c>
      <c r="I131" s="1621" t="s">
        <v>970</v>
      </c>
      <c r="J131" s="1632">
        <v>4</v>
      </c>
      <c r="K131" s="1632">
        <v>4.9000000000000004</v>
      </c>
      <c r="L131" s="1623" t="s">
        <v>5103</v>
      </c>
      <c r="M131" s="1625">
        <v>44287</v>
      </c>
    </row>
    <row r="132" spans="1:13" s="1353" customFormat="1" ht="57.6">
      <c r="A132" s="1627">
        <v>125</v>
      </c>
      <c r="B132" s="1628" t="s">
        <v>1015</v>
      </c>
      <c r="C132" s="1629" t="s">
        <v>4659</v>
      </c>
      <c r="D132" s="1629" t="s">
        <v>629</v>
      </c>
      <c r="E132" s="1629" t="s">
        <v>788</v>
      </c>
      <c r="F132" s="1627" t="s">
        <v>5098</v>
      </c>
      <c r="G132" s="1627">
        <v>41</v>
      </c>
      <c r="H132" s="1627" t="s">
        <v>1090</v>
      </c>
      <c r="I132" s="1627" t="s">
        <v>1037</v>
      </c>
      <c r="J132" s="1630" t="s">
        <v>978</v>
      </c>
      <c r="K132" s="1630" t="s">
        <v>966</v>
      </c>
      <c r="L132" s="1629" t="s">
        <v>5099</v>
      </c>
      <c r="M132" s="1631">
        <v>44225</v>
      </c>
    </row>
    <row r="133" spans="1:13" s="1353" customFormat="1" ht="57.6">
      <c r="A133" s="1627">
        <v>126</v>
      </c>
      <c r="B133" s="1628" t="s">
        <v>1015</v>
      </c>
      <c r="C133" s="1629" t="s">
        <v>1156</v>
      </c>
      <c r="D133" s="1629" t="s">
        <v>1124</v>
      </c>
      <c r="E133" s="1629" t="s">
        <v>788</v>
      </c>
      <c r="F133" s="1627" t="s">
        <v>5098</v>
      </c>
      <c r="G133" s="1627">
        <v>41</v>
      </c>
      <c r="H133" s="1627" t="s">
        <v>1090</v>
      </c>
      <c r="I133" s="1627" t="s">
        <v>1037</v>
      </c>
      <c r="J133" s="1630" t="s">
        <v>978</v>
      </c>
      <c r="K133" s="1630" t="s">
        <v>966</v>
      </c>
      <c r="L133" s="1629" t="s">
        <v>5100</v>
      </c>
      <c r="M133" s="1631">
        <v>44225</v>
      </c>
    </row>
    <row r="134" spans="1:13" s="1353" customFormat="1" ht="57.6">
      <c r="A134" s="1627">
        <v>127</v>
      </c>
      <c r="B134" s="1628" t="s">
        <v>1018</v>
      </c>
      <c r="C134" s="1629" t="s">
        <v>1925</v>
      </c>
      <c r="D134" s="1629" t="s">
        <v>629</v>
      </c>
      <c r="E134" s="1629" t="s">
        <v>788</v>
      </c>
      <c r="F134" s="1627" t="s">
        <v>5098</v>
      </c>
      <c r="G134" s="1627">
        <v>41</v>
      </c>
      <c r="H134" s="1627" t="s">
        <v>1090</v>
      </c>
      <c r="I134" s="1627" t="s">
        <v>1037</v>
      </c>
      <c r="J134" s="1630" t="s">
        <v>978</v>
      </c>
      <c r="K134" s="1630" t="s">
        <v>966</v>
      </c>
      <c r="L134" s="1629" t="s">
        <v>5099</v>
      </c>
      <c r="M134" s="1631">
        <v>44225</v>
      </c>
    </row>
    <row r="135" spans="1:13" s="1353" customFormat="1" ht="57.6">
      <c r="A135" s="1627">
        <v>128</v>
      </c>
      <c r="B135" s="1628" t="s">
        <v>1018</v>
      </c>
      <c r="C135" s="1629" t="s">
        <v>1159</v>
      </c>
      <c r="D135" s="1629" t="s">
        <v>1124</v>
      </c>
      <c r="E135" s="1629" t="s">
        <v>788</v>
      </c>
      <c r="F135" s="1627" t="s">
        <v>5098</v>
      </c>
      <c r="G135" s="1627">
        <v>41</v>
      </c>
      <c r="H135" s="1627" t="s">
        <v>1090</v>
      </c>
      <c r="I135" s="1627" t="s">
        <v>1037</v>
      </c>
      <c r="J135" s="1630" t="s">
        <v>978</v>
      </c>
      <c r="K135" s="1630" t="s">
        <v>966</v>
      </c>
      <c r="L135" s="1629" t="s">
        <v>5100</v>
      </c>
      <c r="M135" s="1631">
        <v>44225</v>
      </c>
    </row>
    <row r="136" spans="1:13" s="1353" customFormat="1" ht="57.6">
      <c r="A136" s="1627">
        <v>129</v>
      </c>
      <c r="B136" s="1628" t="s">
        <v>969</v>
      </c>
      <c r="C136" s="1629" t="s">
        <v>2378</v>
      </c>
      <c r="D136" s="1629" t="s">
        <v>629</v>
      </c>
      <c r="E136" s="1629" t="s">
        <v>788</v>
      </c>
      <c r="F136" s="1627" t="s">
        <v>5098</v>
      </c>
      <c r="G136" s="1627">
        <v>41</v>
      </c>
      <c r="H136" s="1627" t="s">
        <v>1090</v>
      </c>
      <c r="I136" s="1627" t="s">
        <v>1037</v>
      </c>
      <c r="J136" s="1630" t="s">
        <v>978</v>
      </c>
      <c r="K136" s="1630" t="s">
        <v>966</v>
      </c>
      <c r="L136" s="1629" t="s">
        <v>5099</v>
      </c>
      <c r="M136" s="1631">
        <v>44225</v>
      </c>
    </row>
    <row r="137" spans="1:13" s="1353" customFormat="1" ht="57.6">
      <c r="A137" s="1627">
        <v>130</v>
      </c>
      <c r="B137" s="1628" t="s">
        <v>969</v>
      </c>
      <c r="C137" s="1629" t="s">
        <v>1131</v>
      </c>
      <c r="D137" s="1629" t="s">
        <v>1124</v>
      </c>
      <c r="E137" s="1629" t="s">
        <v>788</v>
      </c>
      <c r="F137" s="1627" t="s">
        <v>5098</v>
      </c>
      <c r="G137" s="1627">
        <v>41</v>
      </c>
      <c r="H137" s="1627" t="s">
        <v>1090</v>
      </c>
      <c r="I137" s="1627" t="s">
        <v>1037</v>
      </c>
      <c r="J137" s="1630" t="s">
        <v>978</v>
      </c>
      <c r="K137" s="1630" t="s">
        <v>966</v>
      </c>
      <c r="L137" s="1629" t="s">
        <v>5100</v>
      </c>
      <c r="M137" s="1631">
        <v>44225</v>
      </c>
    </row>
    <row r="138" spans="1:13" s="1353" customFormat="1" ht="57.6">
      <c r="A138" s="1627">
        <v>131</v>
      </c>
      <c r="B138" s="1628" t="s">
        <v>1026</v>
      </c>
      <c r="C138" s="1629" t="s">
        <v>2723</v>
      </c>
      <c r="D138" s="1629" t="s">
        <v>629</v>
      </c>
      <c r="E138" s="1629" t="s">
        <v>788</v>
      </c>
      <c r="F138" s="1627" t="s">
        <v>5098</v>
      </c>
      <c r="G138" s="1627">
        <v>41</v>
      </c>
      <c r="H138" s="1627" t="s">
        <v>1090</v>
      </c>
      <c r="I138" s="1627" t="s">
        <v>1037</v>
      </c>
      <c r="J138" s="1630" t="s">
        <v>978</v>
      </c>
      <c r="K138" s="1630" t="s">
        <v>966</v>
      </c>
      <c r="L138" s="1629" t="s">
        <v>5099</v>
      </c>
      <c r="M138" s="1631">
        <v>44225</v>
      </c>
    </row>
    <row r="139" spans="1:13" s="1353" customFormat="1" ht="57.6">
      <c r="A139" s="1627">
        <v>132</v>
      </c>
      <c r="B139" s="1628" t="s">
        <v>1026</v>
      </c>
      <c r="C139" s="1629" t="s">
        <v>1165</v>
      </c>
      <c r="D139" s="1629" t="s">
        <v>1124</v>
      </c>
      <c r="E139" s="1629" t="s">
        <v>788</v>
      </c>
      <c r="F139" s="1627" t="s">
        <v>5098</v>
      </c>
      <c r="G139" s="1627">
        <v>41</v>
      </c>
      <c r="H139" s="1627" t="s">
        <v>1090</v>
      </c>
      <c r="I139" s="1627" t="s">
        <v>1037</v>
      </c>
      <c r="J139" s="1630" t="s">
        <v>978</v>
      </c>
      <c r="K139" s="1630" t="s">
        <v>966</v>
      </c>
      <c r="L139" s="1629" t="s">
        <v>5100</v>
      </c>
      <c r="M139" s="1631">
        <v>44225</v>
      </c>
    </row>
    <row r="140" spans="1:13" s="1353" customFormat="1" ht="57.6">
      <c r="A140" s="1627">
        <v>133</v>
      </c>
      <c r="B140" s="1628" t="s">
        <v>1029</v>
      </c>
      <c r="C140" s="1629" t="s">
        <v>2880</v>
      </c>
      <c r="D140" s="1629" t="s">
        <v>629</v>
      </c>
      <c r="E140" s="1629" t="s">
        <v>788</v>
      </c>
      <c r="F140" s="1627" t="s">
        <v>5098</v>
      </c>
      <c r="G140" s="1627">
        <v>41</v>
      </c>
      <c r="H140" s="1627" t="s">
        <v>1090</v>
      </c>
      <c r="I140" s="1627" t="s">
        <v>1037</v>
      </c>
      <c r="J140" s="1630" t="s">
        <v>978</v>
      </c>
      <c r="K140" s="1630" t="s">
        <v>966</v>
      </c>
      <c r="L140" s="1629" t="s">
        <v>5099</v>
      </c>
      <c r="M140" s="1631">
        <v>44225</v>
      </c>
    </row>
    <row r="141" spans="1:13" s="1353" customFormat="1" ht="57.6">
      <c r="A141" s="1627">
        <v>134</v>
      </c>
      <c r="B141" s="1628" t="s">
        <v>1029</v>
      </c>
      <c r="C141" s="1629" t="s">
        <v>1171</v>
      </c>
      <c r="D141" s="1629" t="s">
        <v>1124</v>
      </c>
      <c r="E141" s="1629" t="s">
        <v>788</v>
      </c>
      <c r="F141" s="1627" t="s">
        <v>5098</v>
      </c>
      <c r="G141" s="1627">
        <v>41</v>
      </c>
      <c r="H141" s="1627" t="s">
        <v>1090</v>
      </c>
      <c r="I141" s="1627" t="s">
        <v>1037</v>
      </c>
      <c r="J141" s="1630" t="s">
        <v>978</v>
      </c>
      <c r="K141" s="1630" t="s">
        <v>966</v>
      </c>
      <c r="L141" s="1629" t="s">
        <v>5100</v>
      </c>
      <c r="M141" s="1631">
        <v>44225</v>
      </c>
    </row>
    <row r="142" spans="1:13" s="1353" customFormat="1" ht="57.6">
      <c r="A142" s="1627">
        <v>135</v>
      </c>
      <c r="B142" s="1628" t="s">
        <v>1033</v>
      </c>
      <c r="C142" s="1629" t="s">
        <v>2950</v>
      </c>
      <c r="D142" s="1629" t="s">
        <v>629</v>
      </c>
      <c r="E142" s="1629" t="s">
        <v>788</v>
      </c>
      <c r="F142" s="1627" t="s">
        <v>5098</v>
      </c>
      <c r="G142" s="1627">
        <v>41</v>
      </c>
      <c r="H142" s="1627" t="s">
        <v>1090</v>
      </c>
      <c r="I142" s="1627" t="s">
        <v>1037</v>
      </c>
      <c r="J142" s="1630" t="s">
        <v>978</v>
      </c>
      <c r="K142" s="1630" t="s">
        <v>966</v>
      </c>
      <c r="L142" s="1629" t="s">
        <v>5099</v>
      </c>
      <c r="M142" s="1631">
        <v>44225</v>
      </c>
    </row>
    <row r="143" spans="1:13" s="1353" customFormat="1" ht="57.6">
      <c r="A143" s="1627">
        <v>136</v>
      </c>
      <c r="B143" s="1628" t="s">
        <v>1033</v>
      </c>
      <c r="C143" s="1629" t="s">
        <v>1166</v>
      </c>
      <c r="D143" s="1629" t="s">
        <v>1124</v>
      </c>
      <c r="E143" s="1629" t="s">
        <v>788</v>
      </c>
      <c r="F143" s="1627" t="s">
        <v>5098</v>
      </c>
      <c r="G143" s="1627">
        <v>41</v>
      </c>
      <c r="H143" s="1627" t="s">
        <v>1090</v>
      </c>
      <c r="I143" s="1627" t="s">
        <v>1037</v>
      </c>
      <c r="J143" s="1630" t="s">
        <v>978</v>
      </c>
      <c r="K143" s="1630" t="s">
        <v>966</v>
      </c>
      <c r="L143" s="1629" t="s">
        <v>5100</v>
      </c>
      <c r="M143" s="1631">
        <v>44225</v>
      </c>
    </row>
    <row r="144" spans="1:13" s="1353" customFormat="1" ht="57.6">
      <c r="A144" s="1627">
        <v>137</v>
      </c>
      <c r="B144" s="1628" t="s">
        <v>996</v>
      </c>
      <c r="C144" s="1629" t="s">
        <v>3089</v>
      </c>
      <c r="D144" s="1629" t="s">
        <v>629</v>
      </c>
      <c r="E144" s="1629" t="s">
        <v>788</v>
      </c>
      <c r="F144" s="1627" t="s">
        <v>5098</v>
      </c>
      <c r="G144" s="1627">
        <v>41</v>
      </c>
      <c r="H144" s="1627" t="s">
        <v>1090</v>
      </c>
      <c r="I144" s="1627" t="s">
        <v>1037</v>
      </c>
      <c r="J144" s="1630" t="s">
        <v>978</v>
      </c>
      <c r="K144" s="1630" t="s">
        <v>966</v>
      </c>
      <c r="L144" s="1629" t="s">
        <v>5099</v>
      </c>
      <c r="M144" s="1631">
        <v>44225</v>
      </c>
    </row>
    <row r="145" spans="1:13" s="1353" customFormat="1" ht="57.6">
      <c r="A145" s="1627">
        <v>138</v>
      </c>
      <c r="B145" s="1628" t="s">
        <v>996</v>
      </c>
      <c r="C145" s="1629" t="s">
        <v>1143</v>
      </c>
      <c r="D145" s="1629" t="s">
        <v>1124</v>
      </c>
      <c r="E145" s="1629" t="s">
        <v>788</v>
      </c>
      <c r="F145" s="1627" t="s">
        <v>5098</v>
      </c>
      <c r="G145" s="1627">
        <v>41</v>
      </c>
      <c r="H145" s="1627" t="s">
        <v>1090</v>
      </c>
      <c r="I145" s="1627" t="s">
        <v>1037</v>
      </c>
      <c r="J145" s="1630" t="s">
        <v>978</v>
      </c>
      <c r="K145" s="1630" t="s">
        <v>966</v>
      </c>
      <c r="L145" s="1629" t="s">
        <v>5100</v>
      </c>
      <c r="M145" s="1631">
        <v>44225</v>
      </c>
    </row>
    <row r="146" spans="1:13" s="1353" customFormat="1" ht="28.8">
      <c r="A146" s="1627">
        <v>139</v>
      </c>
      <c r="B146" s="1628" t="s">
        <v>1036</v>
      </c>
      <c r="C146" s="1629" t="s">
        <v>3358</v>
      </c>
      <c r="D146" s="1629" t="s">
        <v>3360</v>
      </c>
      <c r="E146" s="1629" t="s">
        <v>788</v>
      </c>
      <c r="F146" s="1627" t="s">
        <v>5098</v>
      </c>
      <c r="G146" s="1627">
        <v>38</v>
      </c>
      <c r="H146" s="1627" t="s">
        <v>1873</v>
      </c>
      <c r="I146" s="1627" t="s">
        <v>1037</v>
      </c>
      <c r="J146" s="1630" t="s">
        <v>1039</v>
      </c>
      <c r="K146" s="1630" t="s">
        <v>2204</v>
      </c>
      <c r="L146" s="1629" t="s">
        <v>4949</v>
      </c>
      <c r="M146" s="1631">
        <v>44225</v>
      </c>
    </row>
    <row r="147" spans="1:13" s="1353" customFormat="1" ht="57.6">
      <c r="A147" s="1627">
        <v>140</v>
      </c>
      <c r="B147" s="1628" t="s">
        <v>1036</v>
      </c>
      <c r="C147" s="1629" t="s">
        <v>3347</v>
      </c>
      <c r="D147" s="1629" t="s">
        <v>629</v>
      </c>
      <c r="E147" s="1629" t="s">
        <v>788</v>
      </c>
      <c r="F147" s="1627" t="s">
        <v>5098</v>
      </c>
      <c r="G147" s="1627">
        <v>41</v>
      </c>
      <c r="H147" s="1627" t="s">
        <v>1090</v>
      </c>
      <c r="I147" s="1627" t="s">
        <v>1037</v>
      </c>
      <c r="J147" s="1630" t="s">
        <v>978</v>
      </c>
      <c r="K147" s="1630" t="s">
        <v>966</v>
      </c>
      <c r="L147" s="1629" t="s">
        <v>5099</v>
      </c>
      <c r="M147" s="1631">
        <v>44225</v>
      </c>
    </row>
    <row r="148" spans="1:13" s="1353" customFormat="1" ht="57.6">
      <c r="A148" s="1627">
        <v>141</v>
      </c>
      <c r="B148" s="1628" t="s">
        <v>1036</v>
      </c>
      <c r="C148" s="1629" t="s">
        <v>3352</v>
      </c>
      <c r="D148" s="1629" t="s">
        <v>629</v>
      </c>
      <c r="E148" s="1629" t="s">
        <v>788</v>
      </c>
      <c r="F148" s="1627" t="s">
        <v>5098</v>
      </c>
      <c r="G148" s="1627">
        <v>41</v>
      </c>
      <c r="H148" s="1627" t="s">
        <v>1090</v>
      </c>
      <c r="I148" s="1627" t="s">
        <v>1037</v>
      </c>
      <c r="J148" s="1630" t="s">
        <v>978</v>
      </c>
      <c r="K148" s="1630" t="s">
        <v>966</v>
      </c>
      <c r="L148" s="1629" t="s">
        <v>5099</v>
      </c>
      <c r="M148" s="1631">
        <v>44225</v>
      </c>
    </row>
    <row r="149" spans="1:13" s="1353" customFormat="1" ht="57.6">
      <c r="A149" s="1627">
        <v>142</v>
      </c>
      <c r="B149" s="1628" t="s">
        <v>1036</v>
      </c>
      <c r="C149" s="1629" t="s">
        <v>1168</v>
      </c>
      <c r="D149" s="1629" t="s">
        <v>1124</v>
      </c>
      <c r="E149" s="1629" t="s">
        <v>788</v>
      </c>
      <c r="F149" s="1627" t="s">
        <v>5098</v>
      </c>
      <c r="G149" s="1627">
        <v>41</v>
      </c>
      <c r="H149" s="1627" t="s">
        <v>1090</v>
      </c>
      <c r="I149" s="1627" t="s">
        <v>1037</v>
      </c>
      <c r="J149" s="1630" t="s">
        <v>978</v>
      </c>
      <c r="K149" s="1630" t="s">
        <v>966</v>
      </c>
      <c r="L149" s="1629" t="s">
        <v>5100</v>
      </c>
      <c r="M149" s="1631">
        <v>44225</v>
      </c>
    </row>
    <row r="150" spans="1:13" s="1353" customFormat="1" ht="57.6">
      <c r="A150" s="1627">
        <v>143</v>
      </c>
      <c r="B150" s="1628" t="s">
        <v>1036</v>
      </c>
      <c r="C150" s="1629" t="s">
        <v>1170</v>
      </c>
      <c r="D150" s="1629" t="s">
        <v>1124</v>
      </c>
      <c r="E150" s="1629" t="s">
        <v>788</v>
      </c>
      <c r="F150" s="1627" t="s">
        <v>5098</v>
      </c>
      <c r="G150" s="1627">
        <v>41</v>
      </c>
      <c r="H150" s="1627" t="s">
        <v>1090</v>
      </c>
      <c r="I150" s="1627" t="s">
        <v>1037</v>
      </c>
      <c r="J150" s="1630" t="s">
        <v>978</v>
      </c>
      <c r="K150" s="1630" t="s">
        <v>966</v>
      </c>
      <c r="L150" s="1629" t="s">
        <v>5100</v>
      </c>
      <c r="M150" s="1631">
        <v>44225</v>
      </c>
    </row>
    <row r="151" spans="1:13" s="1353" customFormat="1" ht="57.6">
      <c r="A151" s="1627">
        <v>144</v>
      </c>
      <c r="B151" s="1628" t="s">
        <v>993</v>
      </c>
      <c r="C151" s="1629" t="s">
        <v>3524</v>
      </c>
      <c r="D151" s="1629" t="s">
        <v>629</v>
      </c>
      <c r="E151" s="1629" t="s">
        <v>788</v>
      </c>
      <c r="F151" s="1627" t="s">
        <v>5098</v>
      </c>
      <c r="G151" s="1627">
        <v>41</v>
      </c>
      <c r="H151" s="1627" t="s">
        <v>1090</v>
      </c>
      <c r="I151" s="1627" t="s">
        <v>1037</v>
      </c>
      <c r="J151" s="1630" t="s">
        <v>978</v>
      </c>
      <c r="K151" s="1630" t="s">
        <v>966</v>
      </c>
      <c r="L151" s="1629" t="s">
        <v>5099</v>
      </c>
      <c r="M151" s="1631">
        <v>44225</v>
      </c>
    </row>
    <row r="152" spans="1:13" s="1353" customFormat="1" ht="57.6">
      <c r="A152" s="1627">
        <v>145</v>
      </c>
      <c r="B152" s="1628" t="s">
        <v>993</v>
      </c>
      <c r="C152" s="1629" t="s">
        <v>1137</v>
      </c>
      <c r="D152" s="1629" t="s">
        <v>1124</v>
      </c>
      <c r="E152" s="1629" t="s">
        <v>788</v>
      </c>
      <c r="F152" s="1627" t="s">
        <v>5098</v>
      </c>
      <c r="G152" s="1627">
        <v>41</v>
      </c>
      <c r="H152" s="1627" t="s">
        <v>1090</v>
      </c>
      <c r="I152" s="1627" t="s">
        <v>1037</v>
      </c>
      <c r="J152" s="1630" t="s">
        <v>978</v>
      </c>
      <c r="K152" s="1630" t="s">
        <v>966</v>
      </c>
      <c r="L152" s="1629" t="s">
        <v>5100</v>
      </c>
      <c r="M152" s="1631">
        <v>44225</v>
      </c>
    </row>
    <row r="153" spans="1:13" s="1353" customFormat="1" ht="57.6">
      <c r="A153" s="1627">
        <v>146</v>
      </c>
      <c r="B153" s="1628" t="s">
        <v>999</v>
      </c>
      <c r="C153" s="1629" t="s">
        <v>1140</v>
      </c>
      <c r="D153" s="1629" t="s">
        <v>1124</v>
      </c>
      <c r="E153" s="1629" t="s">
        <v>788</v>
      </c>
      <c r="F153" s="1627" t="s">
        <v>5098</v>
      </c>
      <c r="G153" s="1627">
        <v>41</v>
      </c>
      <c r="H153" s="1627" t="s">
        <v>1090</v>
      </c>
      <c r="I153" s="1627" t="s">
        <v>1037</v>
      </c>
      <c r="J153" s="1630" t="s">
        <v>978</v>
      </c>
      <c r="K153" s="1630" t="s">
        <v>966</v>
      </c>
      <c r="L153" s="1629" t="s">
        <v>5100</v>
      </c>
      <c r="M153" s="1631">
        <v>44225</v>
      </c>
    </row>
    <row r="154" spans="1:13" s="1353" customFormat="1" ht="57.6">
      <c r="A154" s="1627">
        <v>147</v>
      </c>
      <c r="B154" s="1628" t="s">
        <v>1003</v>
      </c>
      <c r="C154" s="1629" t="s">
        <v>3791</v>
      </c>
      <c r="D154" s="1629" t="s">
        <v>629</v>
      </c>
      <c r="E154" s="1629" t="s">
        <v>788</v>
      </c>
      <c r="F154" s="1627" t="s">
        <v>5098</v>
      </c>
      <c r="G154" s="1627">
        <v>41</v>
      </c>
      <c r="H154" s="1627" t="s">
        <v>1090</v>
      </c>
      <c r="I154" s="1627" t="s">
        <v>1037</v>
      </c>
      <c r="J154" s="1630" t="s">
        <v>978</v>
      </c>
      <c r="K154" s="1630" t="s">
        <v>966</v>
      </c>
      <c r="L154" s="1629" t="s">
        <v>5099</v>
      </c>
      <c r="M154" s="1631">
        <v>44225</v>
      </c>
    </row>
    <row r="155" spans="1:13" s="1353" customFormat="1" ht="57.6">
      <c r="A155" s="1627">
        <v>148</v>
      </c>
      <c r="B155" s="1628" t="s">
        <v>1003</v>
      </c>
      <c r="C155" s="1629" t="s">
        <v>1147</v>
      </c>
      <c r="D155" s="1629" t="s">
        <v>1124</v>
      </c>
      <c r="E155" s="1629" t="s">
        <v>788</v>
      </c>
      <c r="F155" s="1627" t="s">
        <v>5098</v>
      </c>
      <c r="G155" s="1627">
        <v>41</v>
      </c>
      <c r="H155" s="1627" t="s">
        <v>1090</v>
      </c>
      <c r="I155" s="1627" t="s">
        <v>1037</v>
      </c>
      <c r="J155" s="1630" t="s">
        <v>978</v>
      </c>
      <c r="K155" s="1630" t="s">
        <v>966</v>
      </c>
      <c r="L155" s="1629" t="s">
        <v>5100</v>
      </c>
      <c r="M155" s="1631">
        <v>44225</v>
      </c>
    </row>
    <row r="156" spans="1:13" s="1353" customFormat="1" ht="14.4">
      <c r="A156" s="1627">
        <v>149</v>
      </c>
      <c r="B156" s="1628" t="s">
        <v>1003</v>
      </c>
      <c r="C156" s="1629" t="s">
        <v>3899</v>
      </c>
      <c r="D156" s="1629" t="s">
        <v>3901</v>
      </c>
      <c r="E156" s="1629" t="s">
        <v>788</v>
      </c>
      <c r="F156" s="1627" t="s">
        <v>5098</v>
      </c>
      <c r="G156" s="1627">
        <v>80</v>
      </c>
      <c r="H156" s="1627" t="s">
        <v>956</v>
      </c>
      <c r="I156" s="1627" t="s">
        <v>968</v>
      </c>
      <c r="J156" s="1630" t="s">
        <v>4906</v>
      </c>
      <c r="K156" s="1630" t="s">
        <v>961</v>
      </c>
      <c r="L156" s="1629" t="s">
        <v>5104</v>
      </c>
      <c r="M156" s="1631">
        <v>44225</v>
      </c>
    </row>
    <row r="157" spans="1:13" s="1353" customFormat="1" ht="14.4">
      <c r="A157" s="1627">
        <v>150</v>
      </c>
      <c r="B157" s="1628" t="s">
        <v>1003</v>
      </c>
      <c r="C157" s="1629" t="s">
        <v>3899</v>
      </c>
      <c r="D157" s="1629" t="s">
        <v>3901</v>
      </c>
      <c r="E157" s="1629" t="s">
        <v>788</v>
      </c>
      <c r="F157" s="1627" t="s">
        <v>5098</v>
      </c>
      <c r="G157" s="1627">
        <v>80</v>
      </c>
      <c r="H157" s="1627" t="s">
        <v>956</v>
      </c>
      <c r="I157" s="1627" t="s">
        <v>980</v>
      </c>
      <c r="J157" s="1630" t="s">
        <v>4906</v>
      </c>
      <c r="K157" s="1630" t="s">
        <v>961</v>
      </c>
      <c r="L157" s="1629" t="s">
        <v>5104</v>
      </c>
      <c r="M157" s="1631">
        <v>44225</v>
      </c>
    </row>
    <row r="158" spans="1:13" s="1353" customFormat="1" ht="14.4">
      <c r="A158" s="1627">
        <v>151</v>
      </c>
      <c r="B158" s="1628" t="s">
        <v>1003</v>
      </c>
      <c r="C158" s="1629" t="s">
        <v>3899</v>
      </c>
      <c r="D158" s="1629" t="s">
        <v>3901</v>
      </c>
      <c r="E158" s="1629" t="s">
        <v>788</v>
      </c>
      <c r="F158" s="1627" t="s">
        <v>5098</v>
      </c>
      <c r="G158" s="1627">
        <v>80</v>
      </c>
      <c r="H158" s="1627" t="s">
        <v>956</v>
      </c>
      <c r="I158" s="1627" t="s">
        <v>985</v>
      </c>
      <c r="J158" s="1630" t="s">
        <v>4906</v>
      </c>
      <c r="K158" s="1630" t="s">
        <v>961</v>
      </c>
      <c r="L158" s="1629" t="s">
        <v>5104</v>
      </c>
      <c r="M158" s="1631">
        <v>44225</v>
      </c>
    </row>
    <row r="159" spans="1:13" s="1353" customFormat="1" ht="14.4">
      <c r="A159" s="1627">
        <v>152</v>
      </c>
      <c r="B159" s="1628" t="s">
        <v>1003</v>
      </c>
      <c r="C159" s="1629" t="s">
        <v>3899</v>
      </c>
      <c r="D159" s="1629" t="s">
        <v>3901</v>
      </c>
      <c r="E159" s="1629" t="s">
        <v>788</v>
      </c>
      <c r="F159" s="1627" t="s">
        <v>5098</v>
      </c>
      <c r="G159" s="1627">
        <v>80</v>
      </c>
      <c r="H159" s="1627" t="s">
        <v>956</v>
      </c>
      <c r="I159" s="1627" t="s">
        <v>958</v>
      </c>
      <c r="J159" s="1630" t="s">
        <v>4906</v>
      </c>
      <c r="K159" s="1630" t="s">
        <v>961</v>
      </c>
      <c r="L159" s="1629" t="s">
        <v>5104</v>
      </c>
      <c r="M159" s="1631">
        <v>44225</v>
      </c>
    </row>
    <row r="160" spans="1:13" s="1353" customFormat="1" ht="57.6">
      <c r="A160" s="1627">
        <v>153</v>
      </c>
      <c r="B160" s="1628" t="s">
        <v>1008</v>
      </c>
      <c r="C160" s="1629" t="s">
        <v>4007</v>
      </c>
      <c r="D160" s="1629" t="s">
        <v>629</v>
      </c>
      <c r="E160" s="1629" t="s">
        <v>788</v>
      </c>
      <c r="F160" s="1627" t="s">
        <v>5098</v>
      </c>
      <c r="G160" s="1627">
        <v>41</v>
      </c>
      <c r="H160" s="1627" t="s">
        <v>1090</v>
      </c>
      <c r="I160" s="1627" t="s">
        <v>1037</v>
      </c>
      <c r="J160" s="1630" t="s">
        <v>978</v>
      </c>
      <c r="K160" s="1630" t="s">
        <v>966</v>
      </c>
      <c r="L160" s="1629" t="s">
        <v>5099</v>
      </c>
      <c r="M160" s="1631">
        <v>44225</v>
      </c>
    </row>
    <row r="161" spans="1:13" s="1353" customFormat="1" ht="57.6">
      <c r="A161" s="1627">
        <v>154</v>
      </c>
      <c r="B161" s="1628" t="s">
        <v>1008</v>
      </c>
      <c r="C161" s="1629" t="s">
        <v>1150</v>
      </c>
      <c r="D161" s="1629" t="s">
        <v>1124</v>
      </c>
      <c r="E161" s="1629" t="s">
        <v>788</v>
      </c>
      <c r="F161" s="1627" t="s">
        <v>5098</v>
      </c>
      <c r="G161" s="1627">
        <v>41</v>
      </c>
      <c r="H161" s="1627" t="s">
        <v>1090</v>
      </c>
      <c r="I161" s="1627" t="s">
        <v>1037</v>
      </c>
      <c r="J161" s="1630" t="s">
        <v>978</v>
      </c>
      <c r="K161" s="1630" t="s">
        <v>966</v>
      </c>
      <c r="L161" s="1629" t="s">
        <v>5100</v>
      </c>
      <c r="M161" s="1631">
        <v>44225</v>
      </c>
    </row>
    <row r="162" spans="1:13" s="1353" customFormat="1" ht="57.6">
      <c r="A162" s="1627">
        <v>155</v>
      </c>
      <c r="B162" s="1628" t="s">
        <v>982</v>
      </c>
      <c r="C162" s="1629" t="s">
        <v>4221</v>
      </c>
      <c r="D162" s="1629" t="s">
        <v>629</v>
      </c>
      <c r="E162" s="1629" t="s">
        <v>788</v>
      </c>
      <c r="F162" s="1627" t="s">
        <v>5098</v>
      </c>
      <c r="G162" s="1627">
        <v>41</v>
      </c>
      <c r="H162" s="1627" t="s">
        <v>1090</v>
      </c>
      <c r="I162" s="1627" t="s">
        <v>1037</v>
      </c>
      <c r="J162" s="1630" t="s">
        <v>978</v>
      </c>
      <c r="K162" s="1630" t="s">
        <v>966</v>
      </c>
      <c r="L162" s="1629" t="s">
        <v>5099</v>
      </c>
      <c r="M162" s="1631">
        <v>44225</v>
      </c>
    </row>
    <row r="163" spans="1:13" s="1353" customFormat="1" ht="57.6">
      <c r="A163" s="1627">
        <v>156</v>
      </c>
      <c r="B163" s="1628" t="s">
        <v>982</v>
      </c>
      <c r="C163" s="1629" t="s">
        <v>1128</v>
      </c>
      <c r="D163" s="1629" t="s">
        <v>1124</v>
      </c>
      <c r="E163" s="1629" t="s">
        <v>788</v>
      </c>
      <c r="F163" s="1627" t="s">
        <v>5098</v>
      </c>
      <c r="G163" s="1627">
        <v>41</v>
      </c>
      <c r="H163" s="1627" t="s">
        <v>1090</v>
      </c>
      <c r="I163" s="1627" t="s">
        <v>1037</v>
      </c>
      <c r="J163" s="1630" t="s">
        <v>978</v>
      </c>
      <c r="K163" s="1630" t="s">
        <v>966</v>
      </c>
      <c r="L163" s="1629" t="s">
        <v>5100</v>
      </c>
      <c r="M163" s="1631">
        <v>44225</v>
      </c>
    </row>
    <row r="164" spans="1:13" s="1353" customFormat="1" ht="57.6">
      <c r="A164" s="1627">
        <v>157</v>
      </c>
      <c r="B164" s="1628" t="s">
        <v>1012</v>
      </c>
      <c r="C164" s="1629" t="s">
        <v>1153</v>
      </c>
      <c r="D164" s="1629" t="s">
        <v>1124</v>
      </c>
      <c r="E164" s="1629" t="s">
        <v>788</v>
      </c>
      <c r="F164" s="1627" t="s">
        <v>5098</v>
      </c>
      <c r="G164" s="1627">
        <v>41</v>
      </c>
      <c r="H164" s="1627" t="s">
        <v>1090</v>
      </c>
      <c r="I164" s="1627" t="s">
        <v>1037</v>
      </c>
      <c r="J164" s="1630" t="s">
        <v>978</v>
      </c>
      <c r="K164" s="1630" t="s">
        <v>966</v>
      </c>
      <c r="L164" s="1629" t="s">
        <v>5100</v>
      </c>
      <c r="M164" s="1631">
        <v>44225</v>
      </c>
    </row>
    <row r="165" spans="1:13" s="1353" customFormat="1" ht="43.2">
      <c r="A165" s="1627">
        <v>158</v>
      </c>
      <c r="B165" s="1628" t="s">
        <v>4952</v>
      </c>
      <c r="C165" s="1629" t="s">
        <v>1037</v>
      </c>
      <c r="D165" s="1629" t="s">
        <v>4953</v>
      </c>
      <c r="E165" s="1629" t="s">
        <v>4954</v>
      </c>
      <c r="F165" s="1627" t="s">
        <v>5098</v>
      </c>
      <c r="G165" s="1627">
        <v>40</v>
      </c>
      <c r="H165" s="1636" t="s">
        <v>4956</v>
      </c>
      <c r="I165" s="1627" t="s">
        <v>1037</v>
      </c>
      <c r="J165" s="1630" t="s">
        <v>4906</v>
      </c>
      <c r="K165" s="1637">
        <v>0</v>
      </c>
      <c r="L165" s="1629" t="s">
        <v>5105</v>
      </c>
      <c r="M165" s="1631">
        <v>44327</v>
      </c>
    </row>
    <row r="166" spans="1:13" s="1353" customFormat="1" ht="28.8">
      <c r="A166" s="1627">
        <v>159</v>
      </c>
      <c r="B166" s="1628" t="s">
        <v>4952</v>
      </c>
      <c r="C166" s="1629" t="s">
        <v>1037</v>
      </c>
      <c r="D166" s="1629" t="s">
        <v>5106</v>
      </c>
      <c r="E166" s="1629" t="s">
        <v>788</v>
      </c>
      <c r="F166" s="1627" t="s">
        <v>5098</v>
      </c>
      <c r="G166" s="1636" t="s">
        <v>5107</v>
      </c>
      <c r="H166" s="1627" t="s">
        <v>4972</v>
      </c>
      <c r="I166" s="1627" t="s">
        <v>1037</v>
      </c>
      <c r="J166" s="1638" t="s">
        <v>4973</v>
      </c>
      <c r="K166" s="1638" t="s">
        <v>4974</v>
      </c>
      <c r="L166" s="1629" t="s">
        <v>4975</v>
      </c>
      <c r="M166" s="1631">
        <v>44329</v>
      </c>
    </row>
    <row r="167" spans="1:13" s="1353" customFormat="1" ht="43.2">
      <c r="A167" s="1627">
        <v>160</v>
      </c>
      <c r="B167" s="1628" t="s">
        <v>982</v>
      </c>
      <c r="C167" s="1629" t="s">
        <v>4183</v>
      </c>
      <c r="D167" s="1629" t="s">
        <v>4976</v>
      </c>
      <c r="E167" s="1629" t="s">
        <v>4954</v>
      </c>
      <c r="F167" s="1627" t="s">
        <v>5098</v>
      </c>
      <c r="G167" s="1627">
        <v>105</v>
      </c>
      <c r="H167" s="1627" t="s">
        <v>1861</v>
      </c>
      <c r="I167" s="1627" t="s">
        <v>968</v>
      </c>
      <c r="J167" s="1639">
        <v>1.1805555555555564E-3</v>
      </c>
      <c r="K167" s="1639">
        <v>3.4606481481481485E-3</v>
      </c>
      <c r="L167" s="1629" t="s">
        <v>4977</v>
      </c>
      <c r="M167" s="1631">
        <v>44334</v>
      </c>
    </row>
    <row r="168" spans="1:13" s="1353" customFormat="1" ht="43.2">
      <c r="A168" s="1627">
        <v>161</v>
      </c>
      <c r="B168" s="1628" t="s">
        <v>982</v>
      </c>
      <c r="C168" s="1629" t="s">
        <v>4183</v>
      </c>
      <c r="D168" s="1629" t="s">
        <v>4976</v>
      </c>
      <c r="E168" s="1629" t="s">
        <v>4954</v>
      </c>
      <c r="F168" s="1627" t="s">
        <v>5098</v>
      </c>
      <c r="G168" s="1627">
        <v>105</v>
      </c>
      <c r="H168" s="1627" t="s">
        <v>1861</v>
      </c>
      <c r="I168" s="1627" t="s">
        <v>980</v>
      </c>
      <c r="J168" s="1639">
        <v>1.2037037037037038E-3</v>
      </c>
      <c r="K168" s="1639">
        <v>3.0092592592592588E-3</v>
      </c>
      <c r="L168" s="1629" t="s">
        <v>4977</v>
      </c>
      <c r="M168" s="1631">
        <v>44334</v>
      </c>
    </row>
    <row r="169" spans="1:13" s="1353" customFormat="1" ht="43.2">
      <c r="A169" s="1627">
        <v>162</v>
      </c>
      <c r="B169" s="1628" t="s">
        <v>982</v>
      </c>
      <c r="C169" s="1629" t="s">
        <v>4183</v>
      </c>
      <c r="D169" s="1629" t="s">
        <v>4976</v>
      </c>
      <c r="E169" s="1629" t="s">
        <v>4954</v>
      </c>
      <c r="F169" s="1627" t="s">
        <v>5098</v>
      </c>
      <c r="G169" s="1627">
        <v>105</v>
      </c>
      <c r="H169" s="1627" t="s">
        <v>1861</v>
      </c>
      <c r="I169" s="1627" t="s">
        <v>985</v>
      </c>
      <c r="J169" s="1639">
        <v>1.1458333333333342E-3</v>
      </c>
      <c r="K169" s="1639">
        <v>2.615740740740741E-3</v>
      </c>
      <c r="L169" s="1629" t="s">
        <v>4977</v>
      </c>
      <c r="M169" s="1631">
        <v>44334</v>
      </c>
    </row>
    <row r="170" spans="1:13" s="1353" customFormat="1" ht="43.2">
      <c r="A170" s="1627">
        <v>163</v>
      </c>
      <c r="B170" s="1628" t="s">
        <v>982</v>
      </c>
      <c r="C170" s="1629" t="s">
        <v>4183</v>
      </c>
      <c r="D170" s="1629" t="s">
        <v>4976</v>
      </c>
      <c r="E170" s="1629" t="s">
        <v>4954</v>
      </c>
      <c r="F170" s="1627" t="s">
        <v>5098</v>
      </c>
      <c r="G170" s="1627">
        <v>105</v>
      </c>
      <c r="H170" s="1627" t="s">
        <v>1861</v>
      </c>
      <c r="I170" s="1627" t="s">
        <v>958</v>
      </c>
      <c r="J170" s="1639">
        <v>1.3773148148148147E-3</v>
      </c>
      <c r="K170" s="1639">
        <v>2.1990740740740742E-3</v>
      </c>
      <c r="L170" s="1629" t="s">
        <v>4977</v>
      </c>
      <c r="M170" s="1631">
        <v>44334</v>
      </c>
    </row>
    <row r="171" spans="1:13" s="1353" customFormat="1" ht="43.2">
      <c r="A171" s="1627">
        <v>164</v>
      </c>
      <c r="B171" s="1628" t="s">
        <v>982</v>
      </c>
      <c r="C171" s="1629" t="s">
        <v>4183</v>
      </c>
      <c r="D171" s="1629" t="s">
        <v>4976</v>
      </c>
      <c r="E171" s="1629" t="s">
        <v>4954</v>
      </c>
      <c r="F171" s="1627" t="s">
        <v>5098</v>
      </c>
      <c r="G171" s="1627">
        <v>105</v>
      </c>
      <c r="H171" s="1627" t="s">
        <v>1861</v>
      </c>
      <c r="I171" s="1627" t="s">
        <v>970</v>
      </c>
      <c r="J171" s="1639">
        <v>1.3888888888888889E-3</v>
      </c>
      <c r="K171" s="1639">
        <v>1.8865740740740742E-3</v>
      </c>
      <c r="L171" s="1629" t="s">
        <v>4977</v>
      </c>
      <c r="M171" s="1631">
        <v>44334</v>
      </c>
    </row>
    <row r="172" spans="1:13" s="1353" customFormat="1" ht="43.2">
      <c r="A172" s="1627">
        <v>165</v>
      </c>
      <c r="B172" s="1628" t="s">
        <v>1015</v>
      </c>
      <c r="C172" s="1629" t="s">
        <v>4685</v>
      </c>
      <c r="D172" s="1629" t="s">
        <v>689</v>
      </c>
      <c r="E172" s="1629" t="s">
        <v>4954</v>
      </c>
      <c r="F172" s="1627" t="s">
        <v>5098</v>
      </c>
      <c r="G172" s="1627">
        <v>118</v>
      </c>
      <c r="H172" s="1627" t="s">
        <v>1100</v>
      </c>
      <c r="I172" s="1627" t="s">
        <v>1037</v>
      </c>
      <c r="J172" s="1630">
        <v>-1.224</v>
      </c>
      <c r="K172" s="1630">
        <v>-1.1950000000000001</v>
      </c>
      <c r="L172" s="1629" t="s">
        <v>5108</v>
      </c>
      <c r="M172" s="1631">
        <v>44335</v>
      </c>
    </row>
    <row r="173" spans="1:13" s="1353" customFormat="1" ht="43.2">
      <c r="A173" s="1627">
        <v>166</v>
      </c>
      <c r="B173" s="1628" t="s">
        <v>1015</v>
      </c>
      <c r="C173" s="1629" t="s">
        <v>4688</v>
      </c>
      <c r="D173" s="1629" t="s">
        <v>689</v>
      </c>
      <c r="E173" s="1629" t="s">
        <v>4954</v>
      </c>
      <c r="F173" s="1627" t="s">
        <v>5098</v>
      </c>
      <c r="G173" s="1627">
        <v>122</v>
      </c>
      <c r="H173" s="1627" t="s">
        <v>1099</v>
      </c>
      <c r="I173" s="1627" t="s">
        <v>1037</v>
      </c>
      <c r="J173" s="1630">
        <v>0.61399999999999999</v>
      </c>
      <c r="K173" s="1630">
        <v>0.6</v>
      </c>
      <c r="L173" s="1629" t="s">
        <v>5108</v>
      </c>
      <c r="M173" s="1631">
        <v>44335</v>
      </c>
    </row>
    <row r="174" spans="1:13" s="1353" customFormat="1" ht="43.2">
      <c r="A174" s="1627">
        <v>167</v>
      </c>
      <c r="B174" s="1629" t="s">
        <v>4980</v>
      </c>
      <c r="C174" s="1629" t="s">
        <v>1037</v>
      </c>
      <c r="D174" s="1629" t="s">
        <v>4953</v>
      </c>
      <c r="E174" s="1629" t="s">
        <v>4954</v>
      </c>
      <c r="F174" s="1627" t="s">
        <v>5098</v>
      </c>
      <c r="G174" s="1627">
        <v>40</v>
      </c>
      <c r="H174" s="1627" t="s">
        <v>5109</v>
      </c>
      <c r="I174" s="1627" t="s">
        <v>1037</v>
      </c>
      <c r="J174" s="1636" t="s">
        <v>4973</v>
      </c>
      <c r="K174" s="1627" t="s">
        <v>4982</v>
      </c>
      <c r="L174" s="1629" t="s">
        <v>4983</v>
      </c>
      <c r="M174" s="1631">
        <v>44335</v>
      </c>
    </row>
    <row r="175" spans="1:13" s="1353" customFormat="1" ht="57.6">
      <c r="A175" s="1627">
        <v>168</v>
      </c>
      <c r="B175" s="1629" t="s">
        <v>4984</v>
      </c>
      <c r="C175" s="1629" t="s">
        <v>1037</v>
      </c>
      <c r="D175" s="1629" t="s">
        <v>4953</v>
      </c>
      <c r="E175" s="1629" t="s">
        <v>4954</v>
      </c>
      <c r="F175" s="1627" t="s">
        <v>5098</v>
      </c>
      <c r="G175" s="1627">
        <v>40</v>
      </c>
      <c r="H175" s="1627" t="s">
        <v>5109</v>
      </c>
      <c r="I175" s="1627" t="s">
        <v>1037</v>
      </c>
      <c r="J175" s="1636" t="s">
        <v>4973</v>
      </c>
      <c r="K175" s="1627" t="s">
        <v>4982</v>
      </c>
      <c r="L175" s="1629" t="s">
        <v>4983</v>
      </c>
      <c r="M175" s="1631">
        <v>44335</v>
      </c>
    </row>
    <row r="176" spans="1:13" s="1353" customFormat="1" ht="43.2">
      <c r="A176" s="1627">
        <v>169</v>
      </c>
      <c r="B176" s="1628" t="s">
        <v>1022</v>
      </c>
      <c r="C176" s="1629" t="s">
        <v>2228</v>
      </c>
      <c r="D176" s="1629" t="s">
        <v>1923</v>
      </c>
      <c r="E176" s="1629" t="s">
        <v>4954</v>
      </c>
      <c r="F176" s="1627" t="s">
        <v>5098</v>
      </c>
      <c r="G176" s="1627">
        <v>87</v>
      </c>
      <c r="H176" s="1627" t="s">
        <v>1861</v>
      </c>
      <c r="I176" s="1627" t="s">
        <v>968</v>
      </c>
      <c r="J176" s="1639">
        <v>2.58101851875E-3</v>
      </c>
      <c r="K176" s="1639">
        <v>1.8171296296296297E-3</v>
      </c>
      <c r="L176" s="1629" t="s">
        <v>4985</v>
      </c>
      <c r="M176" s="1631">
        <v>44335</v>
      </c>
    </row>
    <row r="177" spans="1:13" s="1353" customFormat="1" ht="43.2">
      <c r="A177" s="1627">
        <v>170</v>
      </c>
      <c r="B177" s="1628" t="s">
        <v>1022</v>
      </c>
      <c r="C177" s="1629" t="s">
        <v>2231</v>
      </c>
      <c r="D177" s="1629" t="s">
        <v>1923</v>
      </c>
      <c r="E177" s="1629" t="s">
        <v>4954</v>
      </c>
      <c r="F177" s="1627" t="s">
        <v>5098</v>
      </c>
      <c r="G177" s="1627">
        <v>87</v>
      </c>
      <c r="H177" s="1627" t="s">
        <v>1861</v>
      </c>
      <c r="I177" s="1627" t="s">
        <v>980</v>
      </c>
      <c r="J177" s="1639">
        <v>2.546296296064815E-3</v>
      </c>
      <c r="K177" s="1639">
        <v>1.6203703703703703E-3</v>
      </c>
      <c r="L177" s="1629" t="s">
        <v>4985</v>
      </c>
      <c r="M177" s="1631">
        <v>44335</v>
      </c>
    </row>
    <row r="178" spans="1:13" s="1353" customFormat="1" ht="43.2">
      <c r="A178" s="1627">
        <v>171</v>
      </c>
      <c r="B178" s="1628" t="s">
        <v>1022</v>
      </c>
      <c r="C178" s="1629" t="s">
        <v>2235</v>
      </c>
      <c r="D178" s="1629" t="s">
        <v>1923</v>
      </c>
      <c r="E178" s="1629" t="s">
        <v>4954</v>
      </c>
      <c r="F178" s="1627" t="s">
        <v>5098</v>
      </c>
      <c r="G178" s="1627">
        <v>87</v>
      </c>
      <c r="H178" s="1627" t="s">
        <v>1861</v>
      </c>
      <c r="I178" s="1627" t="s">
        <v>985</v>
      </c>
      <c r="J178" s="1639">
        <v>2.488425925694445E-3</v>
      </c>
      <c r="K178" s="1639">
        <v>1.0416666666666667E-3</v>
      </c>
      <c r="L178" s="1629" t="s">
        <v>4985</v>
      </c>
      <c r="M178" s="1631">
        <v>44335</v>
      </c>
    </row>
    <row r="179" spans="1:13" s="1353" customFormat="1" ht="43.2">
      <c r="A179" s="1627">
        <v>172</v>
      </c>
      <c r="B179" s="1628" t="s">
        <v>1022</v>
      </c>
      <c r="C179" s="1629" t="s">
        <v>2238</v>
      </c>
      <c r="D179" s="1629" t="s">
        <v>1923</v>
      </c>
      <c r="E179" s="1629" t="s">
        <v>4954</v>
      </c>
      <c r="F179" s="1627" t="s">
        <v>5098</v>
      </c>
      <c r="G179" s="1627">
        <v>87</v>
      </c>
      <c r="H179" s="1627" t="s">
        <v>1861</v>
      </c>
      <c r="I179" s="1627" t="s">
        <v>958</v>
      </c>
      <c r="J179" s="1639">
        <v>2.4421296293981485E-3</v>
      </c>
      <c r="K179" s="1639">
        <v>1.0416666666666667E-3</v>
      </c>
      <c r="L179" s="1629" t="s">
        <v>4985</v>
      </c>
      <c r="M179" s="1631">
        <v>44335</v>
      </c>
    </row>
    <row r="180" spans="1:13" s="1353" customFormat="1" ht="43.2">
      <c r="A180" s="1627">
        <v>173</v>
      </c>
      <c r="B180" s="1628" t="s">
        <v>1022</v>
      </c>
      <c r="C180" s="1629" t="s">
        <v>2242</v>
      </c>
      <c r="D180" s="1629" t="s">
        <v>1923</v>
      </c>
      <c r="E180" s="1629" t="s">
        <v>4954</v>
      </c>
      <c r="F180" s="1627" t="s">
        <v>5098</v>
      </c>
      <c r="G180" s="1627">
        <v>87</v>
      </c>
      <c r="H180" s="1627" t="s">
        <v>1861</v>
      </c>
      <c r="I180" s="1627" t="s">
        <v>970</v>
      </c>
      <c r="J180" s="1639">
        <v>2.4305555555555556E-3</v>
      </c>
      <c r="K180" s="1639">
        <v>1.0416666666666667E-3</v>
      </c>
      <c r="L180" s="1629" t="s">
        <v>4985</v>
      </c>
      <c r="M180" s="1631">
        <v>44335</v>
      </c>
    </row>
    <row r="181" spans="1:13" s="1353" customFormat="1" ht="43.2">
      <c r="A181" s="1627">
        <v>174</v>
      </c>
      <c r="B181" s="1628" t="s">
        <v>1022</v>
      </c>
      <c r="C181" s="1640" t="s">
        <v>2343</v>
      </c>
      <c r="D181" s="1640" t="s">
        <v>2345</v>
      </c>
      <c r="E181" s="1629" t="s">
        <v>4954</v>
      </c>
      <c r="F181" s="1627" t="s">
        <v>5098</v>
      </c>
      <c r="G181" s="1627">
        <v>41</v>
      </c>
      <c r="H181" s="1627" t="s">
        <v>1090</v>
      </c>
      <c r="I181" s="1627" t="s">
        <v>4986</v>
      </c>
      <c r="J181" s="1630" t="s">
        <v>966</v>
      </c>
      <c r="K181" s="1630" t="s">
        <v>978</v>
      </c>
      <c r="L181" s="1629" t="s">
        <v>4985</v>
      </c>
      <c r="M181" s="1631">
        <v>44335</v>
      </c>
    </row>
    <row r="182" spans="1:13" s="1353" customFormat="1" ht="43.2">
      <c r="A182" s="1627">
        <v>175</v>
      </c>
      <c r="B182" s="1628" t="s">
        <v>4952</v>
      </c>
      <c r="C182" s="1629" t="s">
        <v>4952</v>
      </c>
      <c r="D182" s="1629" t="s">
        <v>4952</v>
      </c>
      <c r="E182" s="1629" t="s">
        <v>4954</v>
      </c>
      <c r="F182" s="1627" t="s">
        <v>5098</v>
      </c>
      <c r="G182" s="1627">
        <v>40</v>
      </c>
      <c r="H182" s="1627" t="s">
        <v>132</v>
      </c>
      <c r="I182" s="1627" t="s">
        <v>1037</v>
      </c>
      <c r="J182" s="1638" t="s">
        <v>4973</v>
      </c>
      <c r="K182" s="1638" t="s">
        <v>4974</v>
      </c>
      <c r="L182" s="1629" t="s">
        <v>4987</v>
      </c>
      <c r="M182" s="1631">
        <v>44336</v>
      </c>
    </row>
    <row r="183" spans="1:13" s="1353" customFormat="1" ht="43.2">
      <c r="A183" s="1627">
        <v>176</v>
      </c>
      <c r="B183" s="1628" t="s">
        <v>1022</v>
      </c>
      <c r="C183" s="1640" t="s">
        <v>2343</v>
      </c>
      <c r="D183" s="1640" t="s">
        <v>2345</v>
      </c>
      <c r="E183" s="1629" t="s">
        <v>4954</v>
      </c>
      <c r="F183" s="1627" t="s">
        <v>5098</v>
      </c>
      <c r="G183" s="1627">
        <v>38</v>
      </c>
      <c r="H183" s="1627" t="s">
        <v>1873</v>
      </c>
      <c r="I183" s="1627" t="s">
        <v>4986</v>
      </c>
      <c r="J183" s="1638" t="s">
        <v>293</v>
      </c>
      <c r="K183" s="1638" t="s">
        <v>991</v>
      </c>
      <c r="L183" s="1629" t="s">
        <v>4985</v>
      </c>
      <c r="M183" s="1631">
        <v>44336</v>
      </c>
    </row>
    <row r="184" spans="1:13" s="1353" customFormat="1" ht="43.2">
      <c r="A184" s="1627">
        <v>177</v>
      </c>
      <c r="B184" s="1628" t="s">
        <v>1033</v>
      </c>
      <c r="C184" s="1640" t="s">
        <v>2998</v>
      </c>
      <c r="D184" s="1640" t="s">
        <v>3000</v>
      </c>
      <c r="E184" s="1629" t="s">
        <v>4954</v>
      </c>
      <c r="F184" s="1627" t="s">
        <v>5098</v>
      </c>
      <c r="G184" s="1627">
        <v>39</v>
      </c>
      <c r="H184" s="1627" t="s">
        <v>1874</v>
      </c>
      <c r="I184" s="1627" t="s">
        <v>4986</v>
      </c>
      <c r="J184" s="1638" t="s">
        <v>4992</v>
      </c>
      <c r="K184" s="1638" t="s">
        <v>3002</v>
      </c>
      <c r="L184" s="1629" t="s">
        <v>4993</v>
      </c>
      <c r="M184" s="1631">
        <v>44340</v>
      </c>
    </row>
    <row r="185" spans="1:13" s="1353" customFormat="1" ht="43.2">
      <c r="A185" s="1627">
        <v>178</v>
      </c>
      <c r="B185" s="1628" t="s">
        <v>1033</v>
      </c>
      <c r="C185" s="1640" t="s">
        <v>3020</v>
      </c>
      <c r="D185" s="1640" t="s">
        <v>3022</v>
      </c>
      <c r="E185" s="1629" t="s">
        <v>4954</v>
      </c>
      <c r="F185" s="1627" t="s">
        <v>5098</v>
      </c>
      <c r="G185" s="1627">
        <v>39</v>
      </c>
      <c r="H185" s="1627" t="s">
        <v>1874</v>
      </c>
      <c r="I185" s="1627" t="s">
        <v>4986</v>
      </c>
      <c r="J185" s="1638" t="s">
        <v>4992</v>
      </c>
      <c r="K185" s="1638" t="s">
        <v>3002</v>
      </c>
      <c r="L185" s="1629" t="s">
        <v>4993</v>
      </c>
      <c r="M185" s="1631">
        <v>44340</v>
      </c>
    </row>
    <row r="186" spans="1:13" s="1353" customFormat="1" ht="43.2">
      <c r="A186" s="1627">
        <v>179</v>
      </c>
      <c r="B186" s="1628" t="s">
        <v>1033</v>
      </c>
      <c r="C186" s="1640" t="s">
        <v>2998</v>
      </c>
      <c r="D186" s="1640" t="s">
        <v>3000</v>
      </c>
      <c r="E186" s="1629" t="s">
        <v>4954</v>
      </c>
      <c r="F186" s="1627" t="s">
        <v>5098</v>
      </c>
      <c r="G186" s="1627">
        <v>38</v>
      </c>
      <c r="H186" s="1627" t="s">
        <v>4994</v>
      </c>
      <c r="I186" s="1627" t="s">
        <v>4986</v>
      </c>
      <c r="J186" s="1638" t="s">
        <v>293</v>
      </c>
      <c r="K186" s="1638" t="s">
        <v>1039</v>
      </c>
      <c r="L186" s="1629" t="s">
        <v>4993</v>
      </c>
      <c r="M186" s="1631">
        <v>44340</v>
      </c>
    </row>
    <row r="187" spans="1:13" s="1353" customFormat="1" ht="43.2">
      <c r="A187" s="1627">
        <v>180</v>
      </c>
      <c r="B187" s="1628" t="s">
        <v>1033</v>
      </c>
      <c r="C187" s="1640" t="s">
        <v>3020</v>
      </c>
      <c r="D187" s="1640" t="s">
        <v>3022</v>
      </c>
      <c r="E187" s="1629" t="s">
        <v>4954</v>
      </c>
      <c r="F187" s="1627" t="s">
        <v>5098</v>
      </c>
      <c r="G187" s="1627">
        <v>38</v>
      </c>
      <c r="H187" s="1627" t="s">
        <v>4994</v>
      </c>
      <c r="I187" s="1627" t="s">
        <v>4986</v>
      </c>
      <c r="J187" s="1638" t="s">
        <v>293</v>
      </c>
      <c r="K187" s="1638" t="s">
        <v>1039</v>
      </c>
      <c r="L187" s="1629" t="s">
        <v>4993</v>
      </c>
      <c r="M187" s="1631">
        <v>44340</v>
      </c>
    </row>
    <row r="188" spans="1:13" s="1353" customFormat="1" ht="14.4">
      <c r="A188" s="1621">
        <v>181</v>
      </c>
      <c r="B188" s="1622" t="s">
        <v>1015</v>
      </c>
      <c r="C188" s="1623" t="s">
        <v>4659</v>
      </c>
      <c r="D188" s="1623" t="s">
        <v>629</v>
      </c>
      <c r="E188" s="1623" t="s">
        <v>4903</v>
      </c>
      <c r="F188" s="1621" t="s">
        <v>5098</v>
      </c>
      <c r="G188" s="1621">
        <v>90</v>
      </c>
      <c r="H188" s="1621" t="s">
        <v>1858</v>
      </c>
      <c r="I188" s="1621" t="s">
        <v>968</v>
      </c>
      <c r="J188" s="1633">
        <v>-4.7</v>
      </c>
      <c r="K188" s="1633">
        <v>-20</v>
      </c>
      <c r="L188" s="1623" t="s">
        <v>4907</v>
      </c>
      <c r="M188" s="1625">
        <v>44341</v>
      </c>
    </row>
    <row r="189" spans="1:13" s="1353" customFormat="1" ht="14.4">
      <c r="A189" s="1621">
        <v>182</v>
      </c>
      <c r="B189" s="1622" t="s">
        <v>1015</v>
      </c>
      <c r="C189" s="1623" t="s">
        <v>4659</v>
      </c>
      <c r="D189" s="1623" t="s">
        <v>629</v>
      </c>
      <c r="E189" s="1623" t="s">
        <v>4903</v>
      </c>
      <c r="F189" s="1621" t="s">
        <v>5098</v>
      </c>
      <c r="G189" s="1621">
        <v>90</v>
      </c>
      <c r="H189" s="1621" t="s">
        <v>1858</v>
      </c>
      <c r="I189" s="1621" t="s">
        <v>980</v>
      </c>
      <c r="J189" s="1633">
        <v>-4.7</v>
      </c>
      <c r="K189" s="1633">
        <v>-20</v>
      </c>
      <c r="L189" s="1623" t="s">
        <v>4907</v>
      </c>
      <c r="M189" s="1625">
        <v>44341</v>
      </c>
    </row>
    <row r="190" spans="1:13" s="1353" customFormat="1" ht="14.4">
      <c r="A190" s="1621">
        <v>183</v>
      </c>
      <c r="B190" s="1622" t="s">
        <v>1015</v>
      </c>
      <c r="C190" s="1623" t="s">
        <v>4659</v>
      </c>
      <c r="D190" s="1623" t="s">
        <v>629</v>
      </c>
      <c r="E190" s="1623" t="s">
        <v>4903</v>
      </c>
      <c r="F190" s="1621" t="s">
        <v>5098</v>
      </c>
      <c r="G190" s="1621">
        <v>90</v>
      </c>
      <c r="H190" s="1621" t="s">
        <v>1858</v>
      </c>
      <c r="I190" s="1621" t="s">
        <v>985</v>
      </c>
      <c r="J190" s="1633">
        <v>-4.7</v>
      </c>
      <c r="K190" s="1633">
        <v>-20</v>
      </c>
      <c r="L190" s="1623" t="s">
        <v>4907</v>
      </c>
      <c r="M190" s="1625">
        <v>44341</v>
      </c>
    </row>
    <row r="191" spans="1:13" s="1353" customFormat="1" ht="14.4">
      <c r="A191" s="1621">
        <v>184</v>
      </c>
      <c r="B191" s="1622" t="s">
        <v>1015</v>
      </c>
      <c r="C191" s="1623" t="s">
        <v>4659</v>
      </c>
      <c r="D191" s="1623" t="s">
        <v>629</v>
      </c>
      <c r="E191" s="1623" t="s">
        <v>4903</v>
      </c>
      <c r="F191" s="1621" t="s">
        <v>5098</v>
      </c>
      <c r="G191" s="1621">
        <v>90</v>
      </c>
      <c r="H191" s="1621" t="s">
        <v>1858</v>
      </c>
      <c r="I191" s="1621" t="s">
        <v>958</v>
      </c>
      <c r="J191" s="1633">
        <v>-4.7</v>
      </c>
      <c r="K191" s="1633">
        <v>-20</v>
      </c>
      <c r="L191" s="1623" t="s">
        <v>4907</v>
      </c>
      <c r="M191" s="1625">
        <v>44341</v>
      </c>
    </row>
    <row r="192" spans="1:13" s="1353" customFormat="1" ht="14.4">
      <c r="A192" s="1621">
        <v>185</v>
      </c>
      <c r="B192" s="1622" t="s">
        <v>1015</v>
      </c>
      <c r="C192" s="1623" t="s">
        <v>4659</v>
      </c>
      <c r="D192" s="1623" t="s">
        <v>629</v>
      </c>
      <c r="E192" s="1623" t="s">
        <v>4903</v>
      </c>
      <c r="F192" s="1621" t="s">
        <v>5098</v>
      </c>
      <c r="G192" s="1621">
        <v>90</v>
      </c>
      <c r="H192" s="1621" t="s">
        <v>1858</v>
      </c>
      <c r="I192" s="1621" t="s">
        <v>970</v>
      </c>
      <c r="J192" s="1633">
        <v>-4.7</v>
      </c>
      <c r="K192" s="1633">
        <v>-20</v>
      </c>
      <c r="L192" s="1623" t="s">
        <v>4907</v>
      </c>
      <c r="M192" s="1625">
        <v>44341</v>
      </c>
    </row>
    <row r="193" spans="1:13" s="1353" customFormat="1" ht="14.4">
      <c r="A193" s="1621">
        <v>186</v>
      </c>
      <c r="B193" s="1622" t="s">
        <v>990</v>
      </c>
      <c r="C193" s="1623" t="s">
        <v>2511</v>
      </c>
      <c r="D193" s="1623" t="s">
        <v>5031</v>
      </c>
      <c r="E193" s="1623" t="s">
        <v>4903</v>
      </c>
      <c r="F193" s="1621" t="s">
        <v>5098</v>
      </c>
      <c r="G193" s="1621">
        <v>90</v>
      </c>
      <c r="H193" s="1621" t="s">
        <v>1858</v>
      </c>
      <c r="I193" s="1621" t="s">
        <v>968</v>
      </c>
      <c r="J193" s="1633">
        <v>-20.2</v>
      </c>
      <c r="K193" s="1633">
        <v>-38</v>
      </c>
      <c r="L193" s="1623" t="s">
        <v>4907</v>
      </c>
      <c r="M193" s="1625">
        <v>44341</v>
      </c>
    </row>
    <row r="194" spans="1:13" s="1353" customFormat="1" ht="14.4">
      <c r="A194" s="1621">
        <v>187</v>
      </c>
      <c r="B194" s="1622" t="s">
        <v>990</v>
      </c>
      <c r="C194" s="1623" t="s">
        <v>2511</v>
      </c>
      <c r="D194" s="1623" t="s">
        <v>5031</v>
      </c>
      <c r="E194" s="1623" t="s">
        <v>4903</v>
      </c>
      <c r="F194" s="1621" t="s">
        <v>5098</v>
      </c>
      <c r="G194" s="1621">
        <v>90</v>
      </c>
      <c r="H194" s="1621" t="s">
        <v>1858</v>
      </c>
      <c r="I194" s="1621" t="s">
        <v>980</v>
      </c>
      <c r="J194" s="1633">
        <v>-20.2</v>
      </c>
      <c r="K194" s="1633">
        <v>-38</v>
      </c>
      <c r="L194" s="1623" t="s">
        <v>4907</v>
      </c>
      <c r="M194" s="1625">
        <v>44341</v>
      </c>
    </row>
    <row r="195" spans="1:13" s="1353" customFormat="1" ht="14.4">
      <c r="A195" s="1621">
        <v>188</v>
      </c>
      <c r="B195" s="1622" t="s">
        <v>990</v>
      </c>
      <c r="C195" s="1623" t="s">
        <v>2511</v>
      </c>
      <c r="D195" s="1623" t="s">
        <v>5031</v>
      </c>
      <c r="E195" s="1623" t="s">
        <v>4903</v>
      </c>
      <c r="F195" s="1621" t="s">
        <v>5098</v>
      </c>
      <c r="G195" s="1621">
        <v>90</v>
      </c>
      <c r="H195" s="1621" t="s">
        <v>1858</v>
      </c>
      <c r="I195" s="1621" t="s">
        <v>985</v>
      </c>
      <c r="J195" s="1633">
        <v>-20.2</v>
      </c>
      <c r="K195" s="1633">
        <v>-38</v>
      </c>
      <c r="L195" s="1623" t="s">
        <v>4907</v>
      </c>
      <c r="M195" s="1625">
        <v>44341</v>
      </c>
    </row>
    <row r="196" spans="1:13" s="1353" customFormat="1" ht="14.4">
      <c r="A196" s="1621">
        <v>189</v>
      </c>
      <c r="B196" s="1622" t="s">
        <v>990</v>
      </c>
      <c r="C196" s="1623" t="s">
        <v>2511</v>
      </c>
      <c r="D196" s="1623" t="s">
        <v>5031</v>
      </c>
      <c r="E196" s="1623" t="s">
        <v>4903</v>
      </c>
      <c r="F196" s="1621" t="s">
        <v>5098</v>
      </c>
      <c r="G196" s="1621">
        <v>90</v>
      </c>
      <c r="H196" s="1621" t="s">
        <v>1858</v>
      </c>
      <c r="I196" s="1621" t="s">
        <v>958</v>
      </c>
      <c r="J196" s="1633">
        <v>-20.2</v>
      </c>
      <c r="K196" s="1633">
        <v>-38</v>
      </c>
      <c r="L196" s="1623" t="s">
        <v>4907</v>
      </c>
      <c r="M196" s="1625">
        <v>44341</v>
      </c>
    </row>
    <row r="197" spans="1:13" s="1353" customFormat="1" ht="14.4">
      <c r="A197" s="1621">
        <v>190</v>
      </c>
      <c r="B197" s="1622" t="s">
        <v>990</v>
      </c>
      <c r="C197" s="1623" t="s">
        <v>2511</v>
      </c>
      <c r="D197" s="1623" t="s">
        <v>5031</v>
      </c>
      <c r="E197" s="1623" t="s">
        <v>4903</v>
      </c>
      <c r="F197" s="1621" t="s">
        <v>5098</v>
      </c>
      <c r="G197" s="1621">
        <v>90</v>
      </c>
      <c r="H197" s="1621" t="s">
        <v>1858</v>
      </c>
      <c r="I197" s="1621" t="s">
        <v>970</v>
      </c>
      <c r="J197" s="1633">
        <v>-20.2</v>
      </c>
      <c r="K197" s="1633">
        <v>-38</v>
      </c>
      <c r="L197" s="1623" t="s">
        <v>4907</v>
      </c>
      <c r="M197" s="1625">
        <v>44341</v>
      </c>
    </row>
    <row r="198" spans="1:13" s="1353" customFormat="1" ht="14.4">
      <c r="A198" s="1621">
        <v>191</v>
      </c>
      <c r="B198" s="1622" t="s">
        <v>990</v>
      </c>
      <c r="C198" s="1623" t="s">
        <v>2516</v>
      </c>
      <c r="D198" s="1623" t="s">
        <v>5110</v>
      </c>
      <c r="E198" s="1623" t="s">
        <v>4903</v>
      </c>
      <c r="F198" s="1621" t="s">
        <v>5098</v>
      </c>
      <c r="G198" s="1621">
        <v>90</v>
      </c>
      <c r="H198" s="1621" t="s">
        <v>1858</v>
      </c>
      <c r="I198" s="1621" t="s">
        <v>968</v>
      </c>
      <c r="J198" s="1633">
        <v>-56.6</v>
      </c>
      <c r="K198" s="1633">
        <v>-77.3</v>
      </c>
      <c r="L198" s="1623" t="s">
        <v>4907</v>
      </c>
      <c r="M198" s="1625">
        <v>44341</v>
      </c>
    </row>
    <row r="199" spans="1:13" s="1353" customFormat="1" ht="14.4">
      <c r="A199" s="1621">
        <v>192</v>
      </c>
      <c r="B199" s="1622" t="s">
        <v>990</v>
      </c>
      <c r="C199" s="1623" t="s">
        <v>2516</v>
      </c>
      <c r="D199" s="1623" t="s">
        <v>5110</v>
      </c>
      <c r="E199" s="1623" t="s">
        <v>4903</v>
      </c>
      <c r="F199" s="1621" t="s">
        <v>5098</v>
      </c>
      <c r="G199" s="1621">
        <v>90</v>
      </c>
      <c r="H199" s="1621" t="s">
        <v>1858</v>
      </c>
      <c r="I199" s="1621" t="s">
        <v>980</v>
      </c>
      <c r="J199" s="1633">
        <v>-56.6</v>
      </c>
      <c r="K199" s="1633">
        <v>-77.3</v>
      </c>
      <c r="L199" s="1623" t="s">
        <v>4907</v>
      </c>
      <c r="M199" s="1625">
        <v>44341</v>
      </c>
    </row>
    <row r="200" spans="1:13" s="1353" customFormat="1" ht="14.4">
      <c r="A200" s="1621">
        <v>193</v>
      </c>
      <c r="B200" s="1622" t="s">
        <v>990</v>
      </c>
      <c r="C200" s="1623" t="s">
        <v>2516</v>
      </c>
      <c r="D200" s="1623" t="s">
        <v>5110</v>
      </c>
      <c r="E200" s="1623" t="s">
        <v>4903</v>
      </c>
      <c r="F200" s="1621" t="s">
        <v>5098</v>
      </c>
      <c r="G200" s="1621">
        <v>90</v>
      </c>
      <c r="H200" s="1621" t="s">
        <v>1858</v>
      </c>
      <c r="I200" s="1621" t="s">
        <v>985</v>
      </c>
      <c r="J200" s="1633">
        <v>-56.6</v>
      </c>
      <c r="K200" s="1633">
        <v>-77.3</v>
      </c>
      <c r="L200" s="1623" t="s">
        <v>4907</v>
      </c>
      <c r="M200" s="1625">
        <v>44341</v>
      </c>
    </row>
    <row r="201" spans="1:13" s="1353" customFormat="1" ht="14.4">
      <c r="A201" s="1621">
        <v>194</v>
      </c>
      <c r="B201" s="1622" t="s">
        <v>990</v>
      </c>
      <c r="C201" s="1623" t="s">
        <v>2516</v>
      </c>
      <c r="D201" s="1623" t="s">
        <v>5110</v>
      </c>
      <c r="E201" s="1623" t="s">
        <v>4903</v>
      </c>
      <c r="F201" s="1621" t="s">
        <v>5098</v>
      </c>
      <c r="G201" s="1621">
        <v>90</v>
      </c>
      <c r="H201" s="1621" t="s">
        <v>1858</v>
      </c>
      <c r="I201" s="1621" t="s">
        <v>958</v>
      </c>
      <c r="J201" s="1633">
        <v>-56.6</v>
      </c>
      <c r="K201" s="1633">
        <v>-77.3</v>
      </c>
      <c r="L201" s="1623" t="s">
        <v>4907</v>
      </c>
      <c r="M201" s="1625">
        <v>44341</v>
      </c>
    </row>
    <row r="202" spans="1:13" s="1353" customFormat="1" ht="14.4">
      <c r="A202" s="1621">
        <v>195</v>
      </c>
      <c r="B202" s="1622" t="s">
        <v>990</v>
      </c>
      <c r="C202" s="1623" t="s">
        <v>2516</v>
      </c>
      <c r="D202" s="1623" t="s">
        <v>5110</v>
      </c>
      <c r="E202" s="1623" t="s">
        <v>4903</v>
      </c>
      <c r="F202" s="1621" t="s">
        <v>5098</v>
      </c>
      <c r="G202" s="1621">
        <v>90</v>
      </c>
      <c r="H202" s="1621" t="s">
        <v>1858</v>
      </c>
      <c r="I202" s="1621" t="s">
        <v>970</v>
      </c>
      <c r="J202" s="1633">
        <v>-56.6</v>
      </c>
      <c r="K202" s="1633">
        <v>-77.3</v>
      </c>
      <c r="L202" s="1623" t="s">
        <v>4907</v>
      </c>
      <c r="M202" s="1625">
        <v>44341</v>
      </c>
    </row>
    <row r="203" spans="1:13" s="1353" customFormat="1" ht="14.4">
      <c r="A203" s="1621">
        <v>196</v>
      </c>
      <c r="B203" s="1622" t="s">
        <v>990</v>
      </c>
      <c r="C203" s="1623" t="s">
        <v>2511</v>
      </c>
      <c r="D203" s="1623" t="s">
        <v>2513</v>
      </c>
      <c r="E203" s="1623" t="s">
        <v>4903</v>
      </c>
      <c r="F203" s="1621" t="s">
        <v>5098</v>
      </c>
      <c r="G203" s="1621">
        <v>59</v>
      </c>
      <c r="H203" s="1621" t="s">
        <v>4915</v>
      </c>
      <c r="I203" s="1621" t="s">
        <v>968</v>
      </c>
      <c r="J203" s="1633">
        <v>0.9</v>
      </c>
      <c r="K203" s="1633">
        <v>1</v>
      </c>
      <c r="L203" s="1623" t="s">
        <v>4996</v>
      </c>
      <c r="M203" s="1625">
        <v>44341</v>
      </c>
    </row>
    <row r="204" spans="1:13" s="1353" customFormat="1" ht="14.4">
      <c r="A204" s="1621">
        <v>197</v>
      </c>
      <c r="B204" s="1622" t="s">
        <v>990</v>
      </c>
      <c r="C204" s="1623" t="s">
        <v>2511</v>
      </c>
      <c r="D204" s="1623" t="s">
        <v>2513</v>
      </c>
      <c r="E204" s="1623" t="s">
        <v>4903</v>
      </c>
      <c r="F204" s="1621" t="s">
        <v>5098</v>
      </c>
      <c r="G204" s="1621">
        <v>59</v>
      </c>
      <c r="H204" s="1621" t="s">
        <v>4915</v>
      </c>
      <c r="I204" s="1621" t="s">
        <v>980</v>
      </c>
      <c r="J204" s="1633">
        <v>1.9</v>
      </c>
      <c r="K204" s="1633">
        <v>3</v>
      </c>
      <c r="L204" s="1623" t="s">
        <v>4996</v>
      </c>
      <c r="M204" s="1625">
        <v>44341</v>
      </c>
    </row>
    <row r="205" spans="1:13" s="1353" customFormat="1" ht="14.4">
      <c r="A205" s="1621">
        <v>198</v>
      </c>
      <c r="B205" s="1622" t="s">
        <v>990</v>
      </c>
      <c r="C205" s="1623" t="s">
        <v>2511</v>
      </c>
      <c r="D205" s="1623" t="s">
        <v>2513</v>
      </c>
      <c r="E205" s="1623" t="s">
        <v>4903</v>
      </c>
      <c r="F205" s="1621" t="s">
        <v>5098</v>
      </c>
      <c r="G205" s="1621">
        <v>59</v>
      </c>
      <c r="H205" s="1621" t="s">
        <v>4915</v>
      </c>
      <c r="I205" s="1621" t="s">
        <v>985</v>
      </c>
      <c r="J205" s="1633">
        <v>5</v>
      </c>
      <c r="K205" s="1633">
        <v>6</v>
      </c>
      <c r="L205" s="1623" t="s">
        <v>4996</v>
      </c>
      <c r="M205" s="1625">
        <v>44341</v>
      </c>
    </row>
    <row r="206" spans="1:13" s="1353" customFormat="1" ht="14.4">
      <c r="A206" s="1621">
        <v>199</v>
      </c>
      <c r="B206" s="1622" t="s">
        <v>990</v>
      </c>
      <c r="C206" s="1623" t="s">
        <v>2511</v>
      </c>
      <c r="D206" s="1623" t="s">
        <v>2513</v>
      </c>
      <c r="E206" s="1623" t="s">
        <v>4903</v>
      </c>
      <c r="F206" s="1621" t="s">
        <v>5098</v>
      </c>
      <c r="G206" s="1621">
        <v>59</v>
      </c>
      <c r="H206" s="1621" t="s">
        <v>4915</v>
      </c>
      <c r="I206" s="1621" t="s">
        <v>958</v>
      </c>
      <c r="J206" s="1633">
        <v>8</v>
      </c>
      <c r="K206" s="1633">
        <v>9</v>
      </c>
      <c r="L206" s="1623" t="s">
        <v>4996</v>
      </c>
      <c r="M206" s="1625">
        <v>44341</v>
      </c>
    </row>
    <row r="207" spans="1:13" s="1353" customFormat="1" ht="14.4">
      <c r="A207" s="1621">
        <v>200</v>
      </c>
      <c r="B207" s="1622" t="s">
        <v>990</v>
      </c>
      <c r="C207" s="1623" t="s">
        <v>2511</v>
      </c>
      <c r="D207" s="1623" t="s">
        <v>2513</v>
      </c>
      <c r="E207" s="1623" t="s">
        <v>4903</v>
      </c>
      <c r="F207" s="1621" t="s">
        <v>5098</v>
      </c>
      <c r="G207" s="1621">
        <v>59</v>
      </c>
      <c r="H207" s="1621" t="s">
        <v>4915</v>
      </c>
      <c r="I207" s="1621" t="s">
        <v>970</v>
      </c>
      <c r="J207" s="1633">
        <v>11</v>
      </c>
      <c r="K207" s="1633">
        <v>12</v>
      </c>
      <c r="L207" s="1623" t="s">
        <v>4996</v>
      </c>
      <c r="M207" s="1625">
        <v>44341</v>
      </c>
    </row>
    <row r="208" spans="1:13" s="1353" customFormat="1" ht="14.4">
      <c r="A208" s="1621">
        <v>201</v>
      </c>
      <c r="B208" s="1622" t="s">
        <v>990</v>
      </c>
      <c r="C208" s="1623" t="s">
        <v>2516</v>
      </c>
      <c r="D208" s="1623" t="s">
        <v>2518</v>
      </c>
      <c r="E208" s="1623" t="s">
        <v>4903</v>
      </c>
      <c r="F208" s="1621" t="s">
        <v>5098</v>
      </c>
      <c r="G208" s="1621">
        <v>59</v>
      </c>
      <c r="H208" s="1621" t="s">
        <v>4915</v>
      </c>
      <c r="I208" s="1621" t="s">
        <v>968</v>
      </c>
      <c r="J208" s="1633">
        <v>6.2</v>
      </c>
      <c r="K208" s="1633">
        <v>1.3</v>
      </c>
      <c r="L208" s="1623" t="s">
        <v>4996</v>
      </c>
      <c r="M208" s="1625">
        <v>44341</v>
      </c>
    </row>
    <row r="209" spans="1:13" s="1353" customFormat="1" ht="14.4">
      <c r="A209" s="1621">
        <v>202</v>
      </c>
      <c r="B209" s="1622" t="s">
        <v>990</v>
      </c>
      <c r="C209" s="1623" t="s">
        <v>2516</v>
      </c>
      <c r="D209" s="1623" t="s">
        <v>2518</v>
      </c>
      <c r="E209" s="1623" t="s">
        <v>4903</v>
      </c>
      <c r="F209" s="1621" t="s">
        <v>5098</v>
      </c>
      <c r="G209" s="1621">
        <v>59</v>
      </c>
      <c r="H209" s="1621" t="s">
        <v>4915</v>
      </c>
      <c r="I209" s="1621" t="s">
        <v>980</v>
      </c>
      <c r="J209" s="1633">
        <v>8.5</v>
      </c>
      <c r="K209" s="1633">
        <v>3.7</v>
      </c>
      <c r="L209" s="1623" t="s">
        <v>4996</v>
      </c>
      <c r="M209" s="1625">
        <v>44341</v>
      </c>
    </row>
    <row r="210" spans="1:13" s="1353" customFormat="1" ht="14.4">
      <c r="A210" s="1621">
        <v>203</v>
      </c>
      <c r="B210" s="1622" t="s">
        <v>990</v>
      </c>
      <c r="C210" s="1623" t="s">
        <v>2516</v>
      </c>
      <c r="D210" s="1623" t="s">
        <v>2518</v>
      </c>
      <c r="E210" s="1623" t="s">
        <v>4903</v>
      </c>
      <c r="F210" s="1621" t="s">
        <v>5098</v>
      </c>
      <c r="G210" s="1621">
        <v>59</v>
      </c>
      <c r="H210" s="1621" t="s">
        <v>4915</v>
      </c>
      <c r="I210" s="1621" t="s">
        <v>985</v>
      </c>
      <c r="J210" s="1633">
        <v>11.8</v>
      </c>
      <c r="K210" s="1633">
        <v>7.2</v>
      </c>
      <c r="L210" s="1623" t="s">
        <v>4996</v>
      </c>
      <c r="M210" s="1625">
        <v>44341</v>
      </c>
    </row>
    <row r="211" spans="1:13" s="1353" customFormat="1" ht="14.4">
      <c r="A211" s="1621">
        <v>204</v>
      </c>
      <c r="B211" s="1622" t="s">
        <v>990</v>
      </c>
      <c r="C211" s="1623" t="s">
        <v>2516</v>
      </c>
      <c r="D211" s="1623" t="s">
        <v>2518</v>
      </c>
      <c r="E211" s="1623" t="s">
        <v>4903</v>
      </c>
      <c r="F211" s="1621" t="s">
        <v>5098</v>
      </c>
      <c r="G211" s="1621">
        <v>59</v>
      </c>
      <c r="H211" s="1621" t="s">
        <v>4915</v>
      </c>
      <c r="I211" s="1621" t="s">
        <v>958</v>
      </c>
      <c r="J211" s="1633">
        <v>15.2</v>
      </c>
      <c r="K211" s="1633">
        <v>10.5</v>
      </c>
      <c r="L211" s="1623" t="s">
        <v>4996</v>
      </c>
      <c r="M211" s="1625">
        <v>44341</v>
      </c>
    </row>
    <row r="212" spans="1:13" s="1353" customFormat="1" ht="14.4">
      <c r="A212" s="1621">
        <v>205</v>
      </c>
      <c r="B212" s="1622" t="s">
        <v>990</v>
      </c>
      <c r="C212" s="1623" t="s">
        <v>2516</v>
      </c>
      <c r="D212" s="1623" t="s">
        <v>2518</v>
      </c>
      <c r="E212" s="1623" t="s">
        <v>4903</v>
      </c>
      <c r="F212" s="1621" t="s">
        <v>5098</v>
      </c>
      <c r="G212" s="1621">
        <v>59</v>
      </c>
      <c r="H212" s="1621" t="s">
        <v>4915</v>
      </c>
      <c r="I212" s="1621" t="s">
        <v>970</v>
      </c>
      <c r="J212" s="1633">
        <v>18.5</v>
      </c>
      <c r="K212" s="1633">
        <v>14.1</v>
      </c>
      <c r="L212" s="1623" t="s">
        <v>4996</v>
      </c>
      <c r="M212" s="1625">
        <v>44341</v>
      </c>
    </row>
    <row r="213" spans="1:13" s="1353" customFormat="1" ht="14.4">
      <c r="A213" s="1621">
        <v>206</v>
      </c>
      <c r="B213" s="1622" t="s">
        <v>972</v>
      </c>
      <c r="C213" s="1623" t="s">
        <v>2078</v>
      </c>
      <c r="D213" s="1623" t="s">
        <v>629</v>
      </c>
      <c r="E213" s="1623" t="s">
        <v>4903</v>
      </c>
      <c r="F213" s="1621" t="s">
        <v>5098</v>
      </c>
      <c r="G213" s="1621">
        <v>90</v>
      </c>
      <c r="H213" s="1621" t="s">
        <v>1858</v>
      </c>
      <c r="I213" s="1621" t="s">
        <v>968</v>
      </c>
      <c r="J213" s="1633">
        <v>-80.8</v>
      </c>
      <c r="K213" s="1633">
        <v>-109.5</v>
      </c>
      <c r="L213" s="1623" t="s">
        <v>4997</v>
      </c>
      <c r="M213" s="1625">
        <v>44342</v>
      </c>
    </row>
    <row r="214" spans="1:13" s="1353" customFormat="1" ht="14.4">
      <c r="A214" s="1621">
        <v>207</v>
      </c>
      <c r="B214" s="1622" t="s">
        <v>972</v>
      </c>
      <c r="C214" s="1623" t="s">
        <v>2078</v>
      </c>
      <c r="D214" s="1623" t="s">
        <v>629</v>
      </c>
      <c r="E214" s="1623" t="s">
        <v>4903</v>
      </c>
      <c r="F214" s="1621" t="s">
        <v>5098</v>
      </c>
      <c r="G214" s="1621">
        <v>90</v>
      </c>
      <c r="H214" s="1621" t="s">
        <v>1858</v>
      </c>
      <c r="I214" s="1621" t="s">
        <v>980</v>
      </c>
      <c r="J214" s="1633">
        <v>-80.8</v>
      </c>
      <c r="K214" s="1633">
        <v>-109.5</v>
      </c>
      <c r="L214" s="1623" t="s">
        <v>4997</v>
      </c>
      <c r="M214" s="1625">
        <v>44342</v>
      </c>
    </row>
    <row r="215" spans="1:13" s="1353" customFormat="1" ht="14.4">
      <c r="A215" s="1621">
        <v>208</v>
      </c>
      <c r="B215" s="1622" t="s">
        <v>972</v>
      </c>
      <c r="C215" s="1623" t="s">
        <v>2078</v>
      </c>
      <c r="D215" s="1623" t="s">
        <v>629</v>
      </c>
      <c r="E215" s="1623" t="s">
        <v>4903</v>
      </c>
      <c r="F215" s="1621" t="s">
        <v>5098</v>
      </c>
      <c r="G215" s="1621">
        <v>90</v>
      </c>
      <c r="H215" s="1621" t="s">
        <v>1858</v>
      </c>
      <c r="I215" s="1621" t="s">
        <v>985</v>
      </c>
      <c r="J215" s="1633">
        <v>-80.8</v>
      </c>
      <c r="K215" s="1633">
        <v>-109.5</v>
      </c>
      <c r="L215" s="1623" t="s">
        <v>4997</v>
      </c>
      <c r="M215" s="1625">
        <v>44342</v>
      </c>
    </row>
    <row r="216" spans="1:13" s="1353" customFormat="1" ht="14.4">
      <c r="A216" s="1621">
        <v>209</v>
      </c>
      <c r="B216" s="1622" t="s">
        <v>972</v>
      </c>
      <c r="C216" s="1623" t="s">
        <v>2078</v>
      </c>
      <c r="D216" s="1623" t="s">
        <v>629</v>
      </c>
      <c r="E216" s="1623" t="s">
        <v>4903</v>
      </c>
      <c r="F216" s="1621" t="s">
        <v>5098</v>
      </c>
      <c r="G216" s="1621">
        <v>90</v>
      </c>
      <c r="H216" s="1621" t="s">
        <v>1858</v>
      </c>
      <c r="I216" s="1621" t="s">
        <v>958</v>
      </c>
      <c r="J216" s="1633">
        <v>-80.8</v>
      </c>
      <c r="K216" s="1633">
        <v>-109.5</v>
      </c>
      <c r="L216" s="1623" t="s">
        <v>4997</v>
      </c>
      <c r="M216" s="1625">
        <v>44342</v>
      </c>
    </row>
    <row r="217" spans="1:13" s="1353" customFormat="1" ht="14.4">
      <c r="A217" s="1621">
        <v>210</v>
      </c>
      <c r="B217" s="1622" t="s">
        <v>972</v>
      </c>
      <c r="C217" s="1623" t="s">
        <v>2078</v>
      </c>
      <c r="D217" s="1623" t="s">
        <v>629</v>
      </c>
      <c r="E217" s="1623" t="s">
        <v>4903</v>
      </c>
      <c r="F217" s="1621" t="s">
        <v>5098</v>
      </c>
      <c r="G217" s="1621">
        <v>90</v>
      </c>
      <c r="H217" s="1621" t="s">
        <v>1858</v>
      </c>
      <c r="I217" s="1621" t="s">
        <v>970</v>
      </c>
      <c r="J217" s="1633">
        <v>-80.8</v>
      </c>
      <c r="K217" s="1633">
        <v>-109.5</v>
      </c>
      <c r="L217" s="1623" t="s">
        <v>4997</v>
      </c>
      <c r="M217" s="1625">
        <v>44342</v>
      </c>
    </row>
    <row r="218" spans="1:13" s="1353" customFormat="1" ht="28.8">
      <c r="A218" s="1627">
        <v>211</v>
      </c>
      <c r="B218" s="1628" t="s">
        <v>1026</v>
      </c>
      <c r="C218" s="1629" t="s">
        <v>2800</v>
      </c>
      <c r="D218" s="1629" t="s">
        <v>499</v>
      </c>
      <c r="E218" s="1629" t="s">
        <v>788</v>
      </c>
      <c r="F218" s="1627" t="s">
        <v>5098</v>
      </c>
      <c r="G218" s="1627">
        <v>59</v>
      </c>
      <c r="H218" s="1627" t="s">
        <v>4915</v>
      </c>
      <c r="I218" s="1627" t="s">
        <v>968</v>
      </c>
      <c r="J218" s="1627">
        <v>0.8</v>
      </c>
      <c r="K218" s="1641">
        <v>0.84</v>
      </c>
      <c r="L218" s="1629" t="s">
        <v>5012</v>
      </c>
      <c r="M218" s="1631">
        <v>44342</v>
      </c>
    </row>
    <row r="219" spans="1:13" s="1353" customFormat="1" ht="28.8">
      <c r="A219" s="1627">
        <v>212</v>
      </c>
      <c r="B219" s="1628" t="s">
        <v>1026</v>
      </c>
      <c r="C219" s="1629" t="s">
        <v>2800</v>
      </c>
      <c r="D219" s="1629" t="s">
        <v>499</v>
      </c>
      <c r="E219" s="1629" t="s">
        <v>788</v>
      </c>
      <c r="F219" s="1627" t="s">
        <v>5098</v>
      </c>
      <c r="G219" s="1627">
        <v>59</v>
      </c>
      <c r="H219" s="1627" t="s">
        <v>4915</v>
      </c>
      <c r="I219" s="1627" t="s">
        <v>980</v>
      </c>
      <c r="J219" s="1627">
        <v>0.8</v>
      </c>
      <c r="K219" s="1641">
        <v>0.84</v>
      </c>
      <c r="L219" s="1629" t="s">
        <v>5012</v>
      </c>
      <c r="M219" s="1631">
        <v>44342</v>
      </c>
    </row>
    <row r="220" spans="1:13" s="1353" customFormat="1" ht="28.8">
      <c r="A220" s="1627">
        <v>213</v>
      </c>
      <c r="B220" s="1628" t="s">
        <v>1026</v>
      </c>
      <c r="C220" s="1629" t="s">
        <v>2800</v>
      </c>
      <c r="D220" s="1629" t="s">
        <v>499</v>
      </c>
      <c r="E220" s="1629" t="s">
        <v>788</v>
      </c>
      <c r="F220" s="1627" t="s">
        <v>5098</v>
      </c>
      <c r="G220" s="1627">
        <v>59</v>
      </c>
      <c r="H220" s="1627" t="s">
        <v>4915</v>
      </c>
      <c r="I220" s="1627" t="s">
        <v>985</v>
      </c>
      <c r="J220" s="1627">
        <v>0.8</v>
      </c>
      <c r="K220" s="1641">
        <v>0.76</v>
      </c>
      <c r="L220" s="1629" t="s">
        <v>5012</v>
      </c>
      <c r="M220" s="1631">
        <v>44342</v>
      </c>
    </row>
    <row r="221" spans="1:13" s="1353" customFormat="1" ht="28.8">
      <c r="A221" s="1627">
        <v>214</v>
      </c>
      <c r="B221" s="1628" t="s">
        <v>1026</v>
      </c>
      <c r="C221" s="1629" t="s">
        <v>2800</v>
      </c>
      <c r="D221" s="1629" t="s">
        <v>499</v>
      </c>
      <c r="E221" s="1629" t="s">
        <v>788</v>
      </c>
      <c r="F221" s="1627" t="s">
        <v>5098</v>
      </c>
      <c r="G221" s="1627">
        <v>59</v>
      </c>
      <c r="H221" s="1627" t="s">
        <v>4915</v>
      </c>
      <c r="I221" s="1627" t="s">
        <v>958</v>
      </c>
      <c r="J221" s="1627">
        <v>0.7</v>
      </c>
      <c r="K221" s="1641">
        <v>0.68</v>
      </c>
      <c r="L221" s="1629" t="s">
        <v>5012</v>
      </c>
      <c r="M221" s="1631">
        <v>44342</v>
      </c>
    </row>
    <row r="222" spans="1:13" s="1353" customFormat="1" ht="28.8">
      <c r="A222" s="1627">
        <v>215</v>
      </c>
      <c r="B222" s="1628" t="s">
        <v>1026</v>
      </c>
      <c r="C222" s="1629" t="s">
        <v>2800</v>
      </c>
      <c r="D222" s="1629" t="s">
        <v>499</v>
      </c>
      <c r="E222" s="1629" t="s">
        <v>788</v>
      </c>
      <c r="F222" s="1627" t="s">
        <v>5098</v>
      </c>
      <c r="G222" s="1627">
        <v>59</v>
      </c>
      <c r="H222" s="1627" t="s">
        <v>4915</v>
      </c>
      <c r="I222" s="1627" t="s">
        <v>970</v>
      </c>
      <c r="J222" s="1627">
        <v>0.3</v>
      </c>
      <c r="K222" s="1641">
        <v>0.32</v>
      </c>
      <c r="L222" s="1629" t="s">
        <v>5012</v>
      </c>
      <c r="M222" s="1631">
        <v>44342</v>
      </c>
    </row>
    <row r="223" spans="1:13" s="1353" customFormat="1" ht="14.4">
      <c r="A223" s="1627">
        <v>216</v>
      </c>
      <c r="B223" s="1628" t="s">
        <v>1012</v>
      </c>
      <c r="C223" s="1629" t="s">
        <v>1153</v>
      </c>
      <c r="D223" s="1629" t="s">
        <v>1124</v>
      </c>
      <c r="E223" s="1629" t="s">
        <v>788</v>
      </c>
      <c r="F223" s="1627" t="s">
        <v>5098</v>
      </c>
      <c r="G223" s="1627">
        <v>90</v>
      </c>
      <c r="H223" s="1627" t="s">
        <v>1858</v>
      </c>
      <c r="I223" s="1627" t="s">
        <v>968</v>
      </c>
      <c r="J223" s="1630" t="s">
        <v>4906</v>
      </c>
      <c r="K223" s="1630">
        <v>-12.7</v>
      </c>
      <c r="L223" s="1629" t="s">
        <v>5111</v>
      </c>
      <c r="M223" s="1631">
        <v>44343</v>
      </c>
    </row>
    <row r="224" spans="1:13" s="1353" customFormat="1" ht="14.4">
      <c r="A224" s="1627">
        <v>217</v>
      </c>
      <c r="B224" s="1628" t="s">
        <v>1012</v>
      </c>
      <c r="C224" s="1629" t="s">
        <v>4441</v>
      </c>
      <c r="D224" s="1629" t="s">
        <v>1124</v>
      </c>
      <c r="E224" s="1629" t="s">
        <v>788</v>
      </c>
      <c r="F224" s="1627" t="s">
        <v>5098</v>
      </c>
      <c r="G224" s="1627">
        <v>90</v>
      </c>
      <c r="H224" s="1627" t="s">
        <v>1858</v>
      </c>
      <c r="I224" s="1627" t="s">
        <v>980</v>
      </c>
      <c r="J224" s="1630" t="s">
        <v>4906</v>
      </c>
      <c r="K224" s="1630">
        <v>-12.7</v>
      </c>
      <c r="L224" s="1629" t="s">
        <v>5111</v>
      </c>
      <c r="M224" s="1631">
        <v>44342</v>
      </c>
    </row>
    <row r="225" spans="1:13" s="1353" customFormat="1" ht="14.4">
      <c r="A225" s="1627">
        <v>218</v>
      </c>
      <c r="B225" s="1628" t="s">
        <v>1012</v>
      </c>
      <c r="C225" s="1629" t="s">
        <v>4446</v>
      </c>
      <c r="D225" s="1629" t="s">
        <v>1124</v>
      </c>
      <c r="E225" s="1629" t="s">
        <v>788</v>
      </c>
      <c r="F225" s="1627" t="s">
        <v>5098</v>
      </c>
      <c r="G225" s="1627">
        <v>90</v>
      </c>
      <c r="H225" s="1627" t="s">
        <v>1858</v>
      </c>
      <c r="I225" s="1627" t="s">
        <v>985</v>
      </c>
      <c r="J225" s="1630" t="s">
        <v>4906</v>
      </c>
      <c r="K225" s="1630">
        <v>-12.7</v>
      </c>
      <c r="L225" s="1629" t="s">
        <v>5111</v>
      </c>
      <c r="M225" s="1631">
        <v>44342</v>
      </c>
    </row>
    <row r="226" spans="1:13" s="1353" customFormat="1" ht="14.4">
      <c r="A226" s="1627">
        <v>219</v>
      </c>
      <c r="B226" s="1628" t="s">
        <v>1012</v>
      </c>
      <c r="C226" s="1629" t="s">
        <v>5112</v>
      </c>
      <c r="D226" s="1629" t="s">
        <v>1124</v>
      </c>
      <c r="E226" s="1629" t="s">
        <v>788</v>
      </c>
      <c r="F226" s="1627" t="s">
        <v>5098</v>
      </c>
      <c r="G226" s="1627">
        <v>90</v>
      </c>
      <c r="H226" s="1627" t="s">
        <v>1858</v>
      </c>
      <c r="I226" s="1627" t="s">
        <v>958</v>
      </c>
      <c r="J226" s="1630" t="s">
        <v>4906</v>
      </c>
      <c r="K226" s="1630">
        <v>-12.7</v>
      </c>
      <c r="L226" s="1629" t="s">
        <v>5111</v>
      </c>
      <c r="M226" s="1631">
        <v>44342</v>
      </c>
    </row>
    <row r="227" spans="1:13" s="1353" customFormat="1" ht="14.4">
      <c r="A227" s="1627">
        <v>220</v>
      </c>
      <c r="B227" s="1628" t="s">
        <v>1012</v>
      </c>
      <c r="C227" s="1629" t="s">
        <v>5113</v>
      </c>
      <c r="D227" s="1629" t="s">
        <v>1124</v>
      </c>
      <c r="E227" s="1629" t="s">
        <v>788</v>
      </c>
      <c r="F227" s="1627" t="s">
        <v>5098</v>
      </c>
      <c r="G227" s="1627">
        <v>90</v>
      </c>
      <c r="H227" s="1627" t="s">
        <v>1858</v>
      </c>
      <c r="I227" s="1627" t="s">
        <v>970</v>
      </c>
      <c r="J227" s="1630" t="s">
        <v>4906</v>
      </c>
      <c r="K227" s="1630">
        <v>-12.7</v>
      </c>
      <c r="L227" s="1629" t="s">
        <v>5111</v>
      </c>
      <c r="M227" s="1631">
        <v>44342</v>
      </c>
    </row>
    <row r="228" spans="1:13" s="1353" customFormat="1" ht="14.4">
      <c r="A228" s="1627">
        <v>221</v>
      </c>
      <c r="B228" s="1628" t="s">
        <v>982</v>
      </c>
      <c r="C228" s="1629" t="s">
        <v>4221</v>
      </c>
      <c r="D228" s="1629" t="s">
        <v>629</v>
      </c>
      <c r="E228" s="1629" t="s">
        <v>788</v>
      </c>
      <c r="F228" s="1627" t="s">
        <v>5098</v>
      </c>
      <c r="G228" s="1627">
        <v>105</v>
      </c>
      <c r="H228" s="1627" t="s">
        <v>1861</v>
      </c>
      <c r="I228" s="1627" t="s">
        <v>968</v>
      </c>
      <c r="J228" s="1630">
        <v>4</v>
      </c>
      <c r="K228" s="1630">
        <v>11.5</v>
      </c>
      <c r="L228" s="1629" t="s">
        <v>5114</v>
      </c>
      <c r="M228" s="1631">
        <v>44344</v>
      </c>
    </row>
    <row r="229" spans="1:13" s="1353" customFormat="1" ht="14.4">
      <c r="A229" s="1627">
        <v>222</v>
      </c>
      <c r="B229" s="1628" t="s">
        <v>982</v>
      </c>
      <c r="C229" s="1629" t="s">
        <v>1128</v>
      </c>
      <c r="D229" s="1629" t="s">
        <v>629</v>
      </c>
      <c r="E229" s="1629" t="s">
        <v>788</v>
      </c>
      <c r="F229" s="1627" t="s">
        <v>5098</v>
      </c>
      <c r="G229" s="1627">
        <v>105</v>
      </c>
      <c r="H229" s="1627" t="s">
        <v>1861</v>
      </c>
      <c r="I229" s="1627" t="s">
        <v>980</v>
      </c>
      <c r="J229" s="1630">
        <v>6.4</v>
      </c>
      <c r="K229" s="1630">
        <v>13.7</v>
      </c>
      <c r="L229" s="1629" t="s">
        <v>5114</v>
      </c>
      <c r="M229" s="1631">
        <v>44344</v>
      </c>
    </row>
    <row r="230" spans="1:13" s="1353" customFormat="1" ht="14.4">
      <c r="A230" s="1627">
        <v>223</v>
      </c>
      <c r="B230" s="1628" t="s">
        <v>982</v>
      </c>
      <c r="C230" s="1629" t="s">
        <v>1130</v>
      </c>
      <c r="D230" s="1629" t="s">
        <v>629</v>
      </c>
      <c r="E230" s="1629" t="s">
        <v>788</v>
      </c>
      <c r="F230" s="1627" t="s">
        <v>5098</v>
      </c>
      <c r="G230" s="1627">
        <v>105</v>
      </c>
      <c r="H230" s="1627" t="s">
        <v>1861</v>
      </c>
      <c r="I230" s="1627" t="s">
        <v>985</v>
      </c>
      <c r="J230" s="1630">
        <v>9.5</v>
      </c>
      <c r="K230" s="1630">
        <v>16.5</v>
      </c>
      <c r="L230" s="1629" t="s">
        <v>5114</v>
      </c>
      <c r="M230" s="1631">
        <v>44344</v>
      </c>
    </row>
    <row r="231" spans="1:13" s="1353" customFormat="1" ht="14.4">
      <c r="A231" s="1627">
        <v>224</v>
      </c>
      <c r="B231" s="1628" t="s">
        <v>982</v>
      </c>
      <c r="C231" s="1629" t="s">
        <v>4230</v>
      </c>
      <c r="D231" s="1629" t="s">
        <v>629</v>
      </c>
      <c r="E231" s="1629" t="s">
        <v>788</v>
      </c>
      <c r="F231" s="1627" t="s">
        <v>5098</v>
      </c>
      <c r="G231" s="1627">
        <v>105</v>
      </c>
      <c r="H231" s="1627" t="s">
        <v>1861</v>
      </c>
      <c r="I231" s="1627" t="s">
        <v>958</v>
      </c>
      <c r="J231" s="1630">
        <v>12.5</v>
      </c>
      <c r="K231" s="1630">
        <v>19.3</v>
      </c>
      <c r="L231" s="1629" t="s">
        <v>5114</v>
      </c>
      <c r="M231" s="1631">
        <v>44344</v>
      </c>
    </row>
    <row r="232" spans="1:13" s="1353" customFormat="1" ht="14.4">
      <c r="A232" s="1627">
        <v>225</v>
      </c>
      <c r="B232" s="1628" t="s">
        <v>982</v>
      </c>
      <c r="C232" s="1629" t="s">
        <v>4234</v>
      </c>
      <c r="D232" s="1629" t="s">
        <v>629</v>
      </c>
      <c r="E232" s="1629" t="s">
        <v>788</v>
      </c>
      <c r="F232" s="1627" t="s">
        <v>5098</v>
      </c>
      <c r="G232" s="1627">
        <v>105</v>
      </c>
      <c r="H232" s="1627" t="s">
        <v>1861</v>
      </c>
      <c r="I232" s="1627" t="s">
        <v>970</v>
      </c>
      <c r="J232" s="1630">
        <v>15.5</v>
      </c>
      <c r="K232" s="1630">
        <v>22.1</v>
      </c>
      <c r="L232" s="1629" t="s">
        <v>5114</v>
      </c>
      <c r="M232" s="1631">
        <v>44344</v>
      </c>
    </row>
    <row r="233" spans="1:13" s="1353" customFormat="1" ht="14.4">
      <c r="A233" s="1627">
        <v>226</v>
      </c>
      <c r="B233" s="1628" t="s">
        <v>1012</v>
      </c>
      <c r="C233" s="1629" t="s">
        <v>4521</v>
      </c>
      <c r="D233" s="1629" t="s">
        <v>689</v>
      </c>
      <c r="E233" s="1629" t="s">
        <v>788</v>
      </c>
      <c r="F233" s="1627" t="s">
        <v>5098</v>
      </c>
      <c r="G233" s="1627">
        <v>118</v>
      </c>
      <c r="H233" s="1627" t="s">
        <v>1910</v>
      </c>
      <c r="I233" s="1627" t="s">
        <v>3996</v>
      </c>
      <c r="J233" s="1630">
        <v>-0.85699999999999998</v>
      </c>
      <c r="K233" s="1630">
        <v>-0.85399999999999998</v>
      </c>
      <c r="L233" s="1629" t="s">
        <v>5115</v>
      </c>
      <c r="M233" s="1631">
        <v>44344</v>
      </c>
    </row>
    <row r="234" spans="1:13" s="1353" customFormat="1" ht="14.4">
      <c r="A234" s="1627">
        <v>227</v>
      </c>
      <c r="B234" s="1642" t="s">
        <v>1012</v>
      </c>
      <c r="C234" s="1643" t="s">
        <v>4521</v>
      </c>
      <c r="D234" s="1643" t="s">
        <v>689</v>
      </c>
      <c r="E234" s="1643" t="s">
        <v>788</v>
      </c>
      <c r="F234" s="1644" t="s">
        <v>5098</v>
      </c>
      <c r="G234" s="1644">
        <v>122</v>
      </c>
      <c r="H234" s="1644" t="s">
        <v>1914</v>
      </c>
      <c r="I234" s="1644" t="s">
        <v>3996</v>
      </c>
      <c r="J234" s="1645">
        <v>0.85699999999999998</v>
      </c>
      <c r="K234" s="1645">
        <v>0.85399999999999998</v>
      </c>
      <c r="L234" s="1643" t="s">
        <v>5115</v>
      </c>
      <c r="M234" s="1646">
        <v>44344</v>
      </c>
    </row>
    <row r="235" spans="1:13" s="1353" customFormat="1" ht="14.4">
      <c r="A235" s="1647">
        <v>228</v>
      </c>
      <c r="B235" s="1648" t="s">
        <v>982</v>
      </c>
      <c r="C235" s="1648" t="s">
        <v>4183</v>
      </c>
      <c r="D235" s="1648" t="s">
        <v>154</v>
      </c>
      <c r="E235" s="1648" t="s">
        <v>788</v>
      </c>
      <c r="F235" s="1649" t="s">
        <v>5098</v>
      </c>
      <c r="G235" s="1649">
        <v>95</v>
      </c>
      <c r="H235" s="1648" t="s">
        <v>1859</v>
      </c>
      <c r="I235" s="1649" t="s">
        <v>968</v>
      </c>
      <c r="J235" s="1650">
        <v>0</v>
      </c>
      <c r="K235" s="1648"/>
      <c r="L235" s="1651" t="s">
        <v>5116</v>
      </c>
      <c r="M235" s="1652">
        <v>44356</v>
      </c>
    </row>
    <row r="236" spans="1:13" s="1353" customFormat="1" ht="14.4">
      <c r="A236" s="1647">
        <v>229</v>
      </c>
      <c r="B236" s="1648" t="s">
        <v>982</v>
      </c>
      <c r="C236" s="1648" t="s">
        <v>4183</v>
      </c>
      <c r="D236" s="1648" t="s">
        <v>154</v>
      </c>
      <c r="E236" s="1648" t="s">
        <v>788</v>
      </c>
      <c r="F236" s="1649" t="s">
        <v>5098</v>
      </c>
      <c r="G236" s="1649">
        <v>95</v>
      </c>
      <c r="H236" s="1648" t="s">
        <v>1859</v>
      </c>
      <c r="I236" s="1649" t="s">
        <v>980</v>
      </c>
      <c r="J236" s="1650">
        <v>0</v>
      </c>
      <c r="K236" s="1648"/>
      <c r="L236" s="1651" t="s">
        <v>5116</v>
      </c>
      <c r="M236" s="1652">
        <v>44356</v>
      </c>
    </row>
    <row r="237" spans="1:13" s="1353" customFormat="1" ht="14.4">
      <c r="A237" s="1647">
        <v>230</v>
      </c>
      <c r="B237" s="1648" t="s">
        <v>982</v>
      </c>
      <c r="C237" s="1648" t="s">
        <v>4183</v>
      </c>
      <c r="D237" s="1648" t="s">
        <v>154</v>
      </c>
      <c r="E237" s="1648" t="s">
        <v>788</v>
      </c>
      <c r="F237" s="1649" t="s">
        <v>5098</v>
      </c>
      <c r="G237" s="1649">
        <v>95</v>
      </c>
      <c r="H237" s="1648" t="s">
        <v>1859</v>
      </c>
      <c r="I237" s="1649" t="s">
        <v>985</v>
      </c>
      <c r="J237" s="1650">
        <v>0</v>
      </c>
      <c r="K237" s="1648"/>
      <c r="L237" s="1651" t="s">
        <v>5116</v>
      </c>
      <c r="M237" s="1652">
        <v>44356</v>
      </c>
    </row>
    <row r="238" spans="1:13" s="1353" customFormat="1" ht="14.4">
      <c r="A238" s="1647">
        <v>231</v>
      </c>
      <c r="B238" s="1648" t="s">
        <v>982</v>
      </c>
      <c r="C238" s="1648" t="s">
        <v>4183</v>
      </c>
      <c r="D238" s="1648" t="s">
        <v>154</v>
      </c>
      <c r="E238" s="1648" t="s">
        <v>788</v>
      </c>
      <c r="F238" s="1649" t="s">
        <v>5098</v>
      </c>
      <c r="G238" s="1649">
        <v>95</v>
      </c>
      <c r="H238" s="1648" t="s">
        <v>1859</v>
      </c>
      <c r="I238" s="1649" t="s">
        <v>958</v>
      </c>
      <c r="J238" s="1650">
        <v>0</v>
      </c>
      <c r="K238" s="1648"/>
      <c r="L238" s="1651" t="s">
        <v>5116</v>
      </c>
      <c r="M238" s="1652">
        <v>44356</v>
      </c>
    </row>
    <row r="239" spans="1:13" s="1353" customFormat="1" ht="14.4">
      <c r="A239" s="1647">
        <v>232</v>
      </c>
      <c r="B239" s="1648" t="s">
        <v>982</v>
      </c>
      <c r="C239" s="1648" t="s">
        <v>4183</v>
      </c>
      <c r="D239" s="1648" t="s">
        <v>154</v>
      </c>
      <c r="E239" s="1648" t="s">
        <v>788</v>
      </c>
      <c r="F239" s="1649" t="s">
        <v>5098</v>
      </c>
      <c r="G239" s="1649">
        <v>95</v>
      </c>
      <c r="H239" s="1648" t="s">
        <v>1859</v>
      </c>
      <c r="I239" s="1649" t="s">
        <v>970</v>
      </c>
      <c r="J239" s="1650">
        <v>0</v>
      </c>
      <c r="K239" s="1648"/>
      <c r="L239" s="1651" t="s">
        <v>5116</v>
      </c>
      <c r="M239" s="1652">
        <v>44356</v>
      </c>
    </row>
    <row r="240" spans="1:13" s="1353" customFormat="1" ht="14.4">
      <c r="A240" s="1647">
        <v>233</v>
      </c>
      <c r="B240" s="1648" t="s">
        <v>982</v>
      </c>
      <c r="C240" s="1648" t="s">
        <v>4183</v>
      </c>
      <c r="D240" s="1648" t="s">
        <v>154</v>
      </c>
      <c r="E240" s="1648" t="s">
        <v>788</v>
      </c>
      <c r="F240" s="1649" t="s">
        <v>5098</v>
      </c>
      <c r="G240" s="1649">
        <v>100</v>
      </c>
      <c r="H240" s="1648" t="s">
        <v>1860</v>
      </c>
      <c r="I240" s="1649" t="s">
        <v>968</v>
      </c>
      <c r="J240" s="1650">
        <v>0</v>
      </c>
      <c r="K240" s="1648"/>
      <c r="L240" s="1651" t="s">
        <v>5116</v>
      </c>
      <c r="M240" s="1652">
        <v>44356</v>
      </c>
    </row>
    <row r="241" spans="1:13" s="1353" customFormat="1" ht="14.4">
      <c r="A241" s="1647">
        <v>234</v>
      </c>
      <c r="B241" s="1648" t="s">
        <v>982</v>
      </c>
      <c r="C241" s="1648" t="s">
        <v>4183</v>
      </c>
      <c r="D241" s="1648" t="s">
        <v>154</v>
      </c>
      <c r="E241" s="1648" t="s">
        <v>788</v>
      </c>
      <c r="F241" s="1649" t="s">
        <v>5098</v>
      </c>
      <c r="G241" s="1649">
        <v>100</v>
      </c>
      <c r="H241" s="1648" t="s">
        <v>1860</v>
      </c>
      <c r="I241" s="1649" t="s">
        <v>980</v>
      </c>
      <c r="J241" s="1650">
        <v>0</v>
      </c>
      <c r="K241" s="1648"/>
      <c r="L241" s="1651" t="s">
        <v>5116</v>
      </c>
      <c r="M241" s="1652">
        <v>44356</v>
      </c>
    </row>
    <row r="242" spans="1:13" s="1353" customFormat="1" ht="14.4">
      <c r="A242" s="1647">
        <v>235</v>
      </c>
      <c r="B242" s="1648" t="s">
        <v>982</v>
      </c>
      <c r="C242" s="1648" t="s">
        <v>4183</v>
      </c>
      <c r="D242" s="1648" t="s">
        <v>154</v>
      </c>
      <c r="E242" s="1648" t="s">
        <v>788</v>
      </c>
      <c r="F242" s="1649" t="s">
        <v>5098</v>
      </c>
      <c r="G242" s="1649">
        <v>100</v>
      </c>
      <c r="H242" s="1648" t="s">
        <v>1860</v>
      </c>
      <c r="I242" s="1649" t="s">
        <v>985</v>
      </c>
      <c r="J242" s="1650">
        <v>0</v>
      </c>
      <c r="K242" s="1648"/>
      <c r="L242" s="1651" t="s">
        <v>5116</v>
      </c>
      <c r="M242" s="1652">
        <v>44356</v>
      </c>
    </row>
    <row r="243" spans="1:13" s="1353" customFormat="1" ht="14.4">
      <c r="A243" s="1647">
        <v>236</v>
      </c>
      <c r="B243" s="1648" t="s">
        <v>982</v>
      </c>
      <c r="C243" s="1648" t="s">
        <v>4183</v>
      </c>
      <c r="D243" s="1648" t="s">
        <v>154</v>
      </c>
      <c r="E243" s="1648" t="s">
        <v>788</v>
      </c>
      <c r="F243" s="1649" t="s">
        <v>5098</v>
      </c>
      <c r="G243" s="1649">
        <v>100</v>
      </c>
      <c r="H243" s="1648" t="s">
        <v>1860</v>
      </c>
      <c r="I243" s="1649" t="s">
        <v>958</v>
      </c>
      <c r="J243" s="1650">
        <v>0</v>
      </c>
      <c r="K243" s="1648"/>
      <c r="L243" s="1651" t="s">
        <v>5116</v>
      </c>
      <c r="M243" s="1652">
        <v>44356</v>
      </c>
    </row>
    <row r="244" spans="1:13" s="1353" customFormat="1" ht="14.4">
      <c r="A244" s="1647">
        <v>237</v>
      </c>
      <c r="B244" s="1648" t="s">
        <v>982</v>
      </c>
      <c r="C244" s="1648" t="s">
        <v>4183</v>
      </c>
      <c r="D244" s="1648" t="s">
        <v>154</v>
      </c>
      <c r="E244" s="1648" t="s">
        <v>788</v>
      </c>
      <c r="F244" s="1649" t="s">
        <v>5098</v>
      </c>
      <c r="G244" s="1649">
        <v>100</v>
      </c>
      <c r="H244" s="1648" t="s">
        <v>1860</v>
      </c>
      <c r="I244" s="1649" t="s">
        <v>970</v>
      </c>
      <c r="J244" s="1650">
        <v>0</v>
      </c>
      <c r="K244" s="1648"/>
      <c r="L244" s="1651" t="s">
        <v>5116</v>
      </c>
      <c r="M244" s="1652">
        <v>44356</v>
      </c>
    </row>
    <row r="245" spans="1:13" s="1353" customFormat="1" ht="14.4">
      <c r="A245" s="1647">
        <v>238</v>
      </c>
      <c r="B245" s="1648" t="s">
        <v>1026</v>
      </c>
      <c r="C245" s="1648" t="s">
        <v>2737</v>
      </c>
      <c r="D245" s="1648" t="s">
        <v>154</v>
      </c>
      <c r="E245" s="1648" t="s">
        <v>788</v>
      </c>
      <c r="F245" s="1649" t="s">
        <v>5098</v>
      </c>
      <c r="G245" s="1649">
        <v>105</v>
      </c>
      <c r="H245" s="1648" t="s">
        <v>1861</v>
      </c>
      <c r="I245" s="1649" t="s">
        <v>968</v>
      </c>
      <c r="J245" s="1650">
        <v>3.4722222222222225E-3</v>
      </c>
      <c r="K245" s="1650">
        <v>1.9328703703703704E-3</v>
      </c>
      <c r="L245" s="1648" t="s">
        <v>5020</v>
      </c>
      <c r="M245" s="1652">
        <v>44356</v>
      </c>
    </row>
    <row r="246" spans="1:13" s="1353" customFormat="1" ht="14.4">
      <c r="A246" s="1647">
        <v>239</v>
      </c>
      <c r="B246" s="1648" t="s">
        <v>1026</v>
      </c>
      <c r="C246" s="1648" t="s">
        <v>2737</v>
      </c>
      <c r="D246" s="1648" t="s">
        <v>154</v>
      </c>
      <c r="E246" s="1648" t="s">
        <v>788</v>
      </c>
      <c r="F246" s="1649" t="s">
        <v>5098</v>
      </c>
      <c r="G246" s="1649">
        <v>105</v>
      </c>
      <c r="H246" s="1648" t="s">
        <v>1861</v>
      </c>
      <c r="I246" s="1649" t="s">
        <v>980</v>
      </c>
      <c r="J246" s="1650">
        <v>3.2175925925925931E-3</v>
      </c>
      <c r="K246" s="1650">
        <v>1.712962962962963E-3</v>
      </c>
      <c r="L246" s="1648" t="s">
        <v>5020</v>
      </c>
      <c r="M246" s="1652">
        <v>44356</v>
      </c>
    </row>
    <row r="247" spans="1:13" s="1353" customFormat="1" ht="14.4">
      <c r="A247" s="1647">
        <v>240</v>
      </c>
      <c r="B247" s="1648" t="s">
        <v>1026</v>
      </c>
      <c r="C247" s="1648" t="s">
        <v>2737</v>
      </c>
      <c r="D247" s="1648" t="s">
        <v>154</v>
      </c>
      <c r="E247" s="1648" t="s">
        <v>788</v>
      </c>
      <c r="F247" s="1649" t="s">
        <v>5098</v>
      </c>
      <c r="G247" s="1649">
        <v>105</v>
      </c>
      <c r="H247" s="1648" t="s">
        <v>1861</v>
      </c>
      <c r="I247" s="1649" t="s">
        <v>985</v>
      </c>
      <c r="J247" s="1650">
        <v>2.9513888888888897E-3</v>
      </c>
      <c r="K247" s="1650">
        <v>1.5046296296296294E-3</v>
      </c>
      <c r="L247" s="1648" t="s">
        <v>5020</v>
      </c>
      <c r="M247" s="1652">
        <v>44356</v>
      </c>
    </row>
    <row r="248" spans="1:13" s="1353" customFormat="1" ht="14.4">
      <c r="A248" s="1647">
        <v>241</v>
      </c>
      <c r="B248" s="1648" t="s">
        <v>1026</v>
      </c>
      <c r="C248" s="1648" t="s">
        <v>2737</v>
      </c>
      <c r="D248" s="1648" t="s">
        <v>154</v>
      </c>
      <c r="E248" s="1648" t="s">
        <v>788</v>
      </c>
      <c r="F248" s="1649" t="s">
        <v>5098</v>
      </c>
      <c r="G248" s="1649">
        <v>105</v>
      </c>
      <c r="H248" s="1648" t="s">
        <v>1861</v>
      </c>
      <c r="I248" s="1649" t="s">
        <v>958</v>
      </c>
      <c r="J248" s="1650">
        <v>2.6967592592592594E-3</v>
      </c>
      <c r="K248" s="1650">
        <v>1.2962962962962963E-3</v>
      </c>
      <c r="L248" s="1648" t="s">
        <v>5020</v>
      </c>
      <c r="M248" s="1652">
        <v>44356</v>
      </c>
    </row>
    <row r="249" spans="1:13" s="1353" customFormat="1" ht="14.4">
      <c r="A249" s="1647">
        <v>242</v>
      </c>
      <c r="B249" s="1648" t="s">
        <v>1026</v>
      </c>
      <c r="C249" s="1648" t="s">
        <v>2737</v>
      </c>
      <c r="D249" s="1648" t="s">
        <v>154</v>
      </c>
      <c r="E249" s="1648" t="s">
        <v>788</v>
      </c>
      <c r="F249" s="1649" t="s">
        <v>5098</v>
      </c>
      <c r="G249" s="1649">
        <v>105</v>
      </c>
      <c r="H249" s="1648" t="s">
        <v>1861</v>
      </c>
      <c r="I249" s="1649" t="s">
        <v>970</v>
      </c>
      <c r="J249" s="1650">
        <v>2.4305555555555556E-3</v>
      </c>
      <c r="K249" s="1650">
        <v>1.0416666666666667E-3</v>
      </c>
      <c r="L249" s="1648" t="s">
        <v>5020</v>
      </c>
      <c r="M249" s="1652">
        <v>44356</v>
      </c>
    </row>
    <row r="250" spans="1:13" s="1353" customFormat="1" ht="14.4">
      <c r="A250" s="1647">
        <v>243</v>
      </c>
      <c r="B250" s="1653" t="s">
        <v>972</v>
      </c>
      <c r="C250" s="1654" t="s">
        <v>2085</v>
      </c>
      <c r="D250" s="1654" t="s">
        <v>687</v>
      </c>
      <c r="E250" s="1648" t="s">
        <v>788</v>
      </c>
      <c r="F250" s="1649" t="s">
        <v>5098</v>
      </c>
      <c r="G250" s="1647">
        <v>105</v>
      </c>
      <c r="H250" s="1648" t="s">
        <v>1861</v>
      </c>
      <c r="I250" s="1649" t="s">
        <v>968</v>
      </c>
      <c r="J250" s="1655">
        <v>1.62</v>
      </c>
      <c r="K250" s="1655">
        <v>1.35</v>
      </c>
      <c r="L250" s="1654" t="s">
        <v>5011</v>
      </c>
      <c r="M250" s="1652">
        <v>44356</v>
      </c>
    </row>
    <row r="251" spans="1:13" s="1353" customFormat="1" ht="14.4">
      <c r="A251" s="1647">
        <v>244</v>
      </c>
      <c r="B251" s="1653" t="s">
        <v>972</v>
      </c>
      <c r="C251" s="1654" t="s">
        <v>2085</v>
      </c>
      <c r="D251" s="1654" t="s">
        <v>687</v>
      </c>
      <c r="E251" s="1648" t="s">
        <v>788</v>
      </c>
      <c r="F251" s="1649" t="s">
        <v>5098</v>
      </c>
      <c r="G251" s="1647">
        <v>105</v>
      </c>
      <c r="H251" s="1648" t="s">
        <v>1861</v>
      </c>
      <c r="I251" s="1649" t="s">
        <v>980</v>
      </c>
      <c r="J251" s="1655">
        <v>1.52</v>
      </c>
      <c r="K251" s="1655">
        <v>1.3</v>
      </c>
      <c r="L251" s="1654" t="s">
        <v>5011</v>
      </c>
      <c r="M251" s="1652">
        <v>44356</v>
      </c>
    </row>
    <row r="252" spans="1:13" s="1353" customFormat="1" ht="14.4">
      <c r="A252" s="1647">
        <v>245</v>
      </c>
      <c r="B252" s="1653" t="s">
        <v>972</v>
      </c>
      <c r="C252" s="1654" t="s">
        <v>2085</v>
      </c>
      <c r="D252" s="1654" t="s">
        <v>687</v>
      </c>
      <c r="E252" s="1648" t="s">
        <v>788</v>
      </c>
      <c r="F252" s="1649" t="s">
        <v>5098</v>
      </c>
      <c r="G252" s="1647">
        <v>105</v>
      </c>
      <c r="H252" s="1648" t="s">
        <v>1861</v>
      </c>
      <c r="I252" s="1649" t="s">
        <v>985</v>
      </c>
      <c r="J252" s="1655">
        <v>1.43</v>
      </c>
      <c r="K252" s="1655">
        <v>1.25</v>
      </c>
      <c r="L252" s="1654" t="s">
        <v>5011</v>
      </c>
      <c r="M252" s="1652">
        <v>44356</v>
      </c>
    </row>
    <row r="253" spans="1:13" s="1353" customFormat="1" ht="14.4">
      <c r="A253" s="1647">
        <v>246</v>
      </c>
      <c r="B253" s="1653" t="s">
        <v>972</v>
      </c>
      <c r="C253" s="1654" t="s">
        <v>2085</v>
      </c>
      <c r="D253" s="1654" t="s">
        <v>687</v>
      </c>
      <c r="E253" s="1648" t="s">
        <v>788</v>
      </c>
      <c r="F253" s="1649" t="s">
        <v>5098</v>
      </c>
      <c r="G253" s="1647">
        <v>105</v>
      </c>
      <c r="H253" s="1648" t="s">
        <v>1861</v>
      </c>
      <c r="I253" s="1649" t="s">
        <v>958</v>
      </c>
      <c r="J253" s="1655">
        <v>1.23</v>
      </c>
      <c r="K253" s="1655">
        <v>1.1100000000000001</v>
      </c>
      <c r="L253" s="1654" t="s">
        <v>5011</v>
      </c>
      <c r="M253" s="1652">
        <v>44356</v>
      </c>
    </row>
    <row r="254" spans="1:13" s="1353" customFormat="1" ht="14.4">
      <c r="A254" s="1647">
        <v>247</v>
      </c>
      <c r="B254" s="1653" t="s">
        <v>972</v>
      </c>
      <c r="C254" s="1654" t="s">
        <v>2085</v>
      </c>
      <c r="D254" s="1654" t="s">
        <v>687</v>
      </c>
      <c r="E254" s="1648" t="s">
        <v>788</v>
      </c>
      <c r="F254" s="1649" t="s">
        <v>5098</v>
      </c>
      <c r="G254" s="1647">
        <v>105</v>
      </c>
      <c r="H254" s="1648" t="s">
        <v>1861</v>
      </c>
      <c r="I254" s="1649" t="s">
        <v>970</v>
      </c>
      <c r="J254" s="1655">
        <v>1.07</v>
      </c>
      <c r="K254" s="1655">
        <v>1.01</v>
      </c>
      <c r="L254" s="1654" t="s">
        <v>5011</v>
      </c>
      <c r="M254" s="1652">
        <v>44356</v>
      </c>
    </row>
    <row r="255" spans="1:13" s="1353" customFormat="1" ht="14.4">
      <c r="A255" s="1647">
        <v>248</v>
      </c>
      <c r="B255" s="1653" t="s">
        <v>972</v>
      </c>
      <c r="C255" s="1654" t="s">
        <v>2089</v>
      </c>
      <c r="D255" s="1654" t="s">
        <v>689</v>
      </c>
      <c r="E255" s="1648" t="s">
        <v>788</v>
      </c>
      <c r="F255" s="1649" t="s">
        <v>5098</v>
      </c>
      <c r="G255" s="1647">
        <v>105</v>
      </c>
      <c r="H255" s="1648" t="s">
        <v>1861</v>
      </c>
      <c r="I255" s="1649" t="s">
        <v>968</v>
      </c>
      <c r="J255" s="1655">
        <v>17</v>
      </c>
      <c r="K255" s="1655">
        <v>9.51</v>
      </c>
      <c r="L255" s="1654" t="s">
        <v>5011</v>
      </c>
      <c r="M255" s="1652">
        <v>44356</v>
      </c>
    </row>
    <row r="256" spans="1:13" s="1353" customFormat="1" ht="14.4">
      <c r="A256" s="1647">
        <v>249</v>
      </c>
      <c r="B256" s="1653" t="s">
        <v>972</v>
      </c>
      <c r="C256" s="1654" t="s">
        <v>2089</v>
      </c>
      <c r="D256" s="1654" t="s">
        <v>689</v>
      </c>
      <c r="E256" s="1648" t="s">
        <v>788</v>
      </c>
      <c r="F256" s="1649" t="s">
        <v>5098</v>
      </c>
      <c r="G256" s="1647">
        <v>105</v>
      </c>
      <c r="H256" s="1648" t="s">
        <v>1861</v>
      </c>
      <c r="I256" s="1649" t="s">
        <v>980</v>
      </c>
      <c r="J256" s="1655">
        <v>16.5</v>
      </c>
      <c r="K256" s="1655">
        <v>8.74</v>
      </c>
      <c r="L256" s="1654" t="s">
        <v>5011</v>
      </c>
      <c r="M256" s="1652">
        <v>44356</v>
      </c>
    </row>
    <row r="257" spans="1:13" s="1353" customFormat="1" ht="14.4">
      <c r="A257" s="1647">
        <v>250</v>
      </c>
      <c r="B257" s="1653" t="s">
        <v>972</v>
      </c>
      <c r="C257" s="1654" t="s">
        <v>2089</v>
      </c>
      <c r="D257" s="1654" t="s">
        <v>689</v>
      </c>
      <c r="E257" s="1648" t="s">
        <v>788</v>
      </c>
      <c r="F257" s="1649" t="s">
        <v>5098</v>
      </c>
      <c r="G257" s="1647">
        <v>105</v>
      </c>
      <c r="H257" s="1648" t="s">
        <v>1861</v>
      </c>
      <c r="I257" s="1649" t="s">
        <v>985</v>
      </c>
      <c r="J257" s="1655">
        <v>16</v>
      </c>
      <c r="K257" s="1655">
        <v>8</v>
      </c>
      <c r="L257" s="1654" t="s">
        <v>5011</v>
      </c>
      <c r="M257" s="1652">
        <v>44356</v>
      </c>
    </row>
    <row r="258" spans="1:13" s="1353" customFormat="1" ht="14.4">
      <c r="A258" s="1647">
        <v>251</v>
      </c>
      <c r="B258" s="1653" t="s">
        <v>972</v>
      </c>
      <c r="C258" s="1654" t="s">
        <v>2089</v>
      </c>
      <c r="D258" s="1654" t="s">
        <v>689</v>
      </c>
      <c r="E258" s="1648" t="s">
        <v>788</v>
      </c>
      <c r="F258" s="1649" t="s">
        <v>5098</v>
      </c>
      <c r="G258" s="1647">
        <v>105</v>
      </c>
      <c r="H258" s="1648" t="s">
        <v>1861</v>
      </c>
      <c r="I258" s="1649" t="s">
        <v>958</v>
      </c>
      <c r="J258" s="1655">
        <v>15.5</v>
      </c>
      <c r="K258" s="1655">
        <v>7.4</v>
      </c>
      <c r="L258" s="1654" t="s">
        <v>5011</v>
      </c>
      <c r="M258" s="1652">
        <v>44356</v>
      </c>
    </row>
    <row r="259" spans="1:13" s="1353" customFormat="1" ht="14.4">
      <c r="A259" s="1647">
        <v>252</v>
      </c>
      <c r="B259" s="1653" t="s">
        <v>972</v>
      </c>
      <c r="C259" s="1654" t="s">
        <v>2089</v>
      </c>
      <c r="D259" s="1654" t="s">
        <v>689</v>
      </c>
      <c r="E259" s="1648" t="s">
        <v>788</v>
      </c>
      <c r="F259" s="1649" t="s">
        <v>5098</v>
      </c>
      <c r="G259" s="1647">
        <v>105</v>
      </c>
      <c r="H259" s="1648" t="s">
        <v>1861</v>
      </c>
      <c r="I259" s="1649" t="s">
        <v>970</v>
      </c>
      <c r="J259" s="1655">
        <v>15</v>
      </c>
      <c r="K259" s="1655">
        <v>4.5</v>
      </c>
      <c r="L259" s="1654" t="s">
        <v>5011</v>
      </c>
      <c r="M259" s="1652">
        <v>44356</v>
      </c>
    </row>
    <row r="260" spans="1:13" s="1353" customFormat="1" ht="14.4">
      <c r="A260" s="1647">
        <v>253</v>
      </c>
      <c r="B260" s="1653" t="s">
        <v>972</v>
      </c>
      <c r="C260" s="1648" t="s">
        <v>2078</v>
      </c>
      <c r="D260" s="1654" t="s">
        <v>629</v>
      </c>
      <c r="E260" s="1648" t="s">
        <v>788</v>
      </c>
      <c r="F260" s="1649" t="s">
        <v>5098</v>
      </c>
      <c r="G260" s="1647">
        <v>105</v>
      </c>
      <c r="H260" s="1648" t="s">
        <v>1861</v>
      </c>
      <c r="I260" s="1647" t="s">
        <v>968</v>
      </c>
      <c r="J260" s="1647">
        <v>6.6</v>
      </c>
      <c r="K260" s="1647" t="s">
        <v>4797</v>
      </c>
      <c r="L260" s="1654" t="s">
        <v>5024</v>
      </c>
      <c r="M260" s="1652">
        <v>44356</v>
      </c>
    </row>
    <row r="261" spans="1:13" s="1353" customFormat="1" ht="14.4">
      <c r="A261" s="1647">
        <v>254</v>
      </c>
      <c r="B261" s="1653" t="s">
        <v>972</v>
      </c>
      <c r="C261" s="1648" t="s">
        <v>2078</v>
      </c>
      <c r="D261" s="1654" t="s">
        <v>629</v>
      </c>
      <c r="E261" s="1648" t="s">
        <v>788</v>
      </c>
      <c r="F261" s="1649" t="s">
        <v>5098</v>
      </c>
      <c r="G261" s="1647">
        <v>105</v>
      </c>
      <c r="H261" s="1648" t="s">
        <v>1861</v>
      </c>
      <c r="I261" s="1647" t="s">
        <v>980</v>
      </c>
      <c r="J261" s="1647">
        <v>8.1999999999999993</v>
      </c>
      <c r="K261" s="1647" t="s">
        <v>4797</v>
      </c>
      <c r="L261" s="1654" t="s">
        <v>5024</v>
      </c>
      <c r="M261" s="1652">
        <v>44356</v>
      </c>
    </row>
    <row r="262" spans="1:13" s="1353" customFormat="1" ht="14.4">
      <c r="A262" s="1647">
        <v>255</v>
      </c>
      <c r="B262" s="1653" t="s">
        <v>972</v>
      </c>
      <c r="C262" s="1648" t="s">
        <v>2078</v>
      </c>
      <c r="D262" s="1654" t="s">
        <v>629</v>
      </c>
      <c r="E262" s="1648" t="s">
        <v>788</v>
      </c>
      <c r="F262" s="1649" t="s">
        <v>5098</v>
      </c>
      <c r="G262" s="1647">
        <v>105</v>
      </c>
      <c r="H262" s="1648" t="s">
        <v>1861</v>
      </c>
      <c r="I262" s="1647" t="s">
        <v>985</v>
      </c>
      <c r="J262" s="1647">
        <v>11.1</v>
      </c>
      <c r="K262" s="1647" t="s">
        <v>4797</v>
      </c>
      <c r="L262" s="1654" t="s">
        <v>5024</v>
      </c>
      <c r="M262" s="1652">
        <v>44356</v>
      </c>
    </row>
    <row r="263" spans="1:13" s="1353" customFormat="1" ht="14.4">
      <c r="A263" s="1647">
        <v>256</v>
      </c>
      <c r="B263" s="1653" t="s">
        <v>972</v>
      </c>
      <c r="C263" s="1648" t="s">
        <v>2078</v>
      </c>
      <c r="D263" s="1654" t="s">
        <v>629</v>
      </c>
      <c r="E263" s="1648" t="s">
        <v>788</v>
      </c>
      <c r="F263" s="1649" t="s">
        <v>5098</v>
      </c>
      <c r="G263" s="1647">
        <v>105</v>
      </c>
      <c r="H263" s="1648" t="s">
        <v>1861</v>
      </c>
      <c r="I263" s="1647" t="s">
        <v>958</v>
      </c>
      <c r="J263" s="1647">
        <v>14.9</v>
      </c>
      <c r="K263" s="1647" t="s">
        <v>4797</v>
      </c>
      <c r="L263" s="1654" t="s">
        <v>5024</v>
      </c>
      <c r="M263" s="1652">
        <v>44356</v>
      </c>
    </row>
    <row r="264" spans="1:13" s="1353" customFormat="1" ht="14.4">
      <c r="A264" s="1647">
        <v>257</v>
      </c>
      <c r="B264" s="1653" t="s">
        <v>972</v>
      </c>
      <c r="C264" s="1648" t="s">
        <v>2078</v>
      </c>
      <c r="D264" s="1654" t="s">
        <v>629</v>
      </c>
      <c r="E264" s="1648" t="s">
        <v>788</v>
      </c>
      <c r="F264" s="1649" t="s">
        <v>5098</v>
      </c>
      <c r="G264" s="1647">
        <v>105</v>
      </c>
      <c r="H264" s="1648" t="s">
        <v>1861</v>
      </c>
      <c r="I264" s="1647" t="s">
        <v>970</v>
      </c>
      <c r="J264" s="1647">
        <v>18.7</v>
      </c>
      <c r="K264" s="1647" t="s">
        <v>4797</v>
      </c>
      <c r="L264" s="1654" t="s">
        <v>5024</v>
      </c>
      <c r="M264" s="1652">
        <v>44356</v>
      </c>
    </row>
    <row r="265" spans="1:13" s="1353" customFormat="1" ht="14.4">
      <c r="A265" s="1647">
        <v>258</v>
      </c>
      <c r="B265" s="1656" t="s">
        <v>1008</v>
      </c>
      <c r="C265" s="1657" t="s">
        <v>4011</v>
      </c>
      <c r="D265" s="1658" t="s">
        <v>178</v>
      </c>
      <c r="E265" s="1658" t="s">
        <v>788</v>
      </c>
      <c r="F265" s="1649" t="s">
        <v>5098</v>
      </c>
      <c r="G265" s="1659">
        <v>105</v>
      </c>
      <c r="H265" s="1648" t="s">
        <v>1861</v>
      </c>
      <c r="I265" s="1659" t="s">
        <v>980</v>
      </c>
      <c r="J265" s="1659">
        <v>88.2</v>
      </c>
      <c r="K265" s="1659">
        <v>88.3</v>
      </c>
      <c r="L265" s="1658" t="s">
        <v>5020</v>
      </c>
      <c r="M265" s="1660">
        <v>44358</v>
      </c>
    </row>
    <row r="266" spans="1:13" s="1353" customFormat="1" ht="14.4">
      <c r="A266" s="1647">
        <v>259</v>
      </c>
      <c r="B266" s="1656" t="s">
        <v>1033</v>
      </c>
      <c r="C266" s="1648" t="s">
        <v>2946</v>
      </c>
      <c r="D266" s="1648" t="s">
        <v>154</v>
      </c>
      <c r="E266" s="1648" t="s">
        <v>788</v>
      </c>
      <c r="F266" s="1649" t="s">
        <v>5098</v>
      </c>
      <c r="G266" s="1647">
        <v>105</v>
      </c>
      <c r="H266" s="1648" t="s">
        <v>1861</v>
      </c>
      <c r="I266" s="1647" t="s">
        <v>968</v>
      </c>
      <c r="J266" s="1650">
        <v>4.0972222222222226E-3</v>
      </c>
      <c r="K266" s="1650">
        <v>3.2291666666666666E-3</v>
      </c>
      <c r="L266" s="1658" t="s">
        <v>5020</v>
      </c>
      <c r="M266" s="1660">
        <v>44358</v>
      </c>
    </row>
    <row r="267" spans="1:13" s="1353" customFormat="1" ht="14.4">
      <c r="A267" s="1647">
        <v>260</v>
      </c>
      <c r="B267" s="1656" t="s">
        <v>1033</v>
      </c>
      <c r="C267" s="1648" t="s">
        <v>2946</v>
      </c>
      <c r="D267" s="1648" t="s">
        <v>154</v>
      </c>
      <c r="E267" s="1658" t="s">
        <v>788</v>
      </c>
      <c r="F267" s="1649" t="s">
        <v>5098</v>
      </c>
      <c r="G267" s="1659">
        <v>105</v>
      </c>
      <c r="H267" s="1648" t="s">
        <v>1861</v>
      </c>
      <c r="I267" s="1647" t="s">
        <v>980</v>
      </c>
      <c r="J267" s="1650">
        <v>3.8425925925925932E-3</v>
      </c>
      <c r="K267" s="1650">
        <v>2.8240740740740739E-3</v>
      </c>
      <c r="L267" s="1658" t="s">
        <v>5020</v>
      </c>
      <c r="M267" s="1660">
        <v>44358</v>
      </c>
    </row>
    <row r="268" spans="1:13" s="1353" customFormat="1" ht="14.4">
      <c r="A268" s="1647">
        <v>261</v>
      </c>
      <c r="B268" s="1656" t="s">
        <v>1033</v>
      </c>
      <c r="C268" s="1648" t="s">
        <v>2946</v>
      </c>
      <c r="D268" s="1648" t="s">
        <v>154</v>
      </c>
      <c r="E268" s="1648" t="s">
        <v>788</v>
      </c>
      <c r="F268" s="1649" t="s">
        <v>5098</v>
      </c>
      <c r="G268" s="1647">
        <v>105</v>
      </c>
      <c r="H268" s="1648" t="s">
        <v>1861</v>
      </c>
      <c r="I268" s="1647" t="s">
        <v>985</v>
      </c>
      <c r="J268" s="1650">
        <v>3.5763888888888898E-3</v>
      </c>
      <c r="K268" s="1650">
        <v>2.4421296296296296E-3</v>
      </c>
      <c r="L268" s="1658" t="s">
        <v>5020</v>
      </c>
      <c r="M268" s="1660">
        <v>44358</v>
      </c>
    </row>
    <row r="269" spans="1:13" s="1353" customFormat="1" ht="14.4">
      <c r="A269" s="1647">
        <v>262</v>
      </c>
      <c r="B269" s="1656" t="s">
        <v>1033</v>
      </c>
      <c r="C269" s="1648" t="s">
        <v>2946</v>
      </c>
      <c r="D269" s="1648" t="s">
        <v>154</v>
      </c>
      <c r="E269" s="1658" t="s">
        <v>788</v>
      </c>
      <c r="F269" s="1649" t="s">
        <v>5098</v>
      </c>
      <c r="G269" s="1659">
        <v>105</v>
      </c>
      <c r="H269" s="1648" t="s">
        <v>1861</v>
      </c>
      <c r="I269" s="1647" t="s">
        <v>958</v>
      </c>
      <c r="J269" s="1650">
        <v>3.3217592592592595E-3</v>
      </c>
      <c r="K269" s="1650">
        <v>2.0601851851851853E-3</v>
      </c>
      <c r="L269" s="1658" t="s">
        <v>5020</v>
      </c>
      <c r="M269" s="1660">
        <v>44358</v>
      </c>
    </row>
    <row r="270" spans="1:13" s="1353" customFormat="1" ht="14.4">
      <c r="A270" s="1647">
        <v>263</v>
      </c>
      <c r="B270" s="1656" t="s">
        <v>1033</v>
      </c>
      <c r="C270" s="1648" t="s">
        <v>2946</v>
      </c>
      <c r="D270" s="1648" t="s">
        <v>154</v>
      </c>
      <c r="E270" s="1648" t="s">
        <v>788</v>
      </c>
      <c r="F270" s="1649" t="s">
        <v>5098</v>
      </c>
      <c r="G270" s="1647">
        <v>105</v>
      </c>
      <c r="H270" s="1648" t="s">
        <v>1861</v>
      </c>
      <c r="I270" s="1647" t="s">
        <v>970</v>
      </c>
      <c r="J270" s="1650">
        <v>3.0555555555555553E-3</v>
      </c>
      <c r="K270" s="1650">
        <v>1.6666666666666668E-3</v>
      </c>
      <c r="L270" s="1658" t="s">
        <v>5020</v>
      </c>
      <c r="M270" s="1660">
        <v>44358</v>
      </c>
    </row>
    <row r="271" spans="1:13" s="1353" customFormat="1" ht="14.4">
      <c r="A271" s="1647">
        <v>264</v>
      </c>
      <c r="B271" s="1648" t="s">
        <v>972</v>
      </c>
      <c r="C271" s="1648" t="s">
        <v>2075</v>
      </c>
      <c r="D271" s="1648" t="s">
        <v>154</v>
      </c>
      <c r="E271" s="1648" t="s">
        <v>788</v>
      </c>
      <c r="F271" s="1649" t="s">
        <v>5098</v>
      </c>
      <c r="G271" s="1649">
        <v>95</v>
      </c>
      <c r="H271" s="1648" t="s">
        <v>5117</v>
      </c>
      <c r="I271" s="1649" t="s">
        <v>968</v>
      </c>
      <c r="J271" s="1650">
        <v>0</v>
      </c>
      <c r="K271" s="1648"/>
      <c r="L271" s="1648" t="s">
        <v>5116</v>
      </c>
      <c r="M271" s="1652">
        <v>44358</v>
      </c>
    </row>
    <row r="272" spans="1:13" s="1353" customFormat="1" ht="14.4">
      <c r="A272" s="1647">
        <v>265</v>
      </c>
      <c r="B272" s="1648" t="s">
        <v>972</v>
      </c>
      <c r="C272" s="1648" t="s">
        <v>2075</v>
      </c>
      <c r="D272" s="1648" t="s">
        <v>154</v>
      </c>
      <c r="E272" s="1648" t="s">
        <v>788</v>
      </c>
      <c r="F272" s="1649" t="s">
        <v>5098</v>
      </c>
      <c r="G272" s="1649">
        <v>95</v>
      </c>
      <c r="H272" s="1648" t="s">
        <v>5117</v>
      </c>
      <c r="I272" s="1649" t="s">
        <v>980</v>
      </c>
      <c r="J272" s="1650">
        <v>0</v>
      </c>
      <c r="K272" s="1648"/>
      <c r="L272" s="1648" t="s">
        <v>5116</v>
      </c>
      <c r="M272" s="1652">
        <v>44358</v>
      </c>
    </row>
    <row r="273" spans="1:13" s="1353" customFormat="1" ht="14.4">
      <c r="A273" s="1647">
        <v>266</v>
      </c>
      <c r="B273" s="1648" t="s">
        <v>972</v>
      </c>
      <c r="C273" s="1648" t="s">
        <v>2075</v>
      </c>
      <c r="D273" s="1648" t="s">
        <v>154</v>
      </c>
      <c r="E273" s="1648" t="s">
        <v>788</v>
      </c>
      <c r="F273" s="1649" t="s">
        <v>5098</v>
      </c>
      <c r="G273" s="1649">
        <v>95</v>
      </c>
      <c r="H273" s="1648" t="s">
        <v>5117</v>
      </c>
      <c r="I273" s="1649" t="s">
        <v>985</v>
      </c>
      <c r="J273" s="1650">
        <v>0</v>
      </c>
      <c r="K273" s="1648"/>
      <c r="L273" s="1648" t="s">
        <v>5116</v>
      </c>
      <c r="M273" s="1652">
        <v>44358</v>
      </c>
    </row>
    <row r="274" spans="1:13" s="1353" customFormat="1" ht="14.4">
      <c r="A274" s="1647">
        <v>267</v>
      </c>
      <c r="B274" s="1648" t="s">
        <v>972</v>
      </c>
      <c r="C274" s="1648" t="s">
        <v>2075</v>
      </c>
      <c r="D274" s="1648" t="s">
        <v>154</v>
      </c>
      <c r="E274" s="1648" t="s">
        <v>788</v>
      </c>
      <c r="F274" s="1649" t="s">
        <v>5098</v>
      </c>
      <c r="G274" s="1649">
        <v>95</v>
      </c>
      <c r="H274" s="1648" t="s">
        <v>5117</v>
      </c>
      <c r="I274" s="1649" t="s">
        <v>958</v>
      </c>
      <c r="J274" s="1650">
        <v>0</v>
      </c>
      <c r="K274" s="1648"/>
      <c r="L274" s="1648" t="s">
        <v>5116</v>
      </c>
      <c r="M274" s="1652">
        <v>44358</v>
      </c>
    </row>
    <row r="275" spans="1:13" s="1353" customFormat="1" ht="14.4">
      <c r="A275" s="1647">
        <v>268</v>
      </c>
      <c r="B275" s="1648" t="s">
        <v>972</v>
      </c>
      <c r="C275" s="1648" t="s">
        <v>2075</v>
      </c>
      <c r="D275" s="1648" t="s">
        <v>154</v>
      </c>
      <c r="E275" s="1648" t="s">
        <v>788</v>
      </c>
      <c r="F275" s="1649" t="s">
        <v>5098</v>
      </c>
      <c r="G275" s="1649">
        <v>95</v>
      </c>
      <c r="H275" s="1648" t="s">
        <v>5117</v>
      </c>
      <c r="I275" s="1649" t="s">
        <v>970</v>
      </c>
      <c r="J275" s="1650">
        <v>0</v>
      </c>
      <c r="K275" s="1648"/>
      <c r="L275" s="1648" t="s">
        <v>5116</v>
      </c>
      <c r="M275" s="1652">
        <v>44358</v>
      </c>
    </row>
    <row r="276" spans="1:13" s="1353" customFormat="1" ht="14.4">
      <c r="A276" s="1647">
        <v>269</v>
      </c>
      <c r="B276" s="1648" t="s">
        <v>972</v>
      </c>
      <c r="C276" s="1648" t="s">
        <v>2075</v>
      </c>
      <c r="D276" s="1648" t="s">
        <v>154</v>
      </c>
      <c r="E276" s="1648" t="s">
        <v>788</v>
      </c>
      <c r="F276" s="1649" t="s">
        <v>5098</v>
      </c>
      <c r="G276" s="1649">
        <v>100</v>
      </c>
      <c r="H276" s="1648" t="s">
        <v>1860</v>
      </c>
      <c r="I276" s="1649" t="s">
        <v>968</v>
      </c>
      <c r="J276" s="1650">
        <v>0</v>
      </c>
      <c r="K276" s="1648"/>
      <c r="L276" s="1648" t="s">
        <v>5116</v>
      </c>
      <c r="M276" s="1652">
        <v>44358</v>
      </c>
    </row>
    <row r="277" spans="1:13" s="1353" customFormat="1" ht="14.4">
      <c r="A277" s="1647">
        <v>270</v>
      </c>
      <c r="B277" s="1648" t="s">
        <v>972</v>
      </c>
      <c r="C277" s="1648" t="s">
        <v>2075</v>
      </c>
      <c r="D277" s="1648" t="s">
        <v>154</v>
      </c>
      <c r="E277" s="1648" t="s">
        <v>788</v>
      </c>
      <c r="F277" s="1649" t="s">
        <v>5098</v>
      </c>
      <c r="G277" s="1649">
        <v>100</v>
      </c>
      <c r="H277" s="1648" t="s">
        <v>1860</v>
      </c>
      <c r="I277" s="1649" t="s">
        <v>980</v>
      </c>
      <c r="J277" s="1650">
        <v>0</v>
      </c>
      <c r="K277" s="1648"/>
      <c r="L277" s="1648" t="s">
        <v>5116</v>
      </c>
      <c r="M277" s="1652">
        <v>44358</v>
      </c>
    </row>
    <row r="278" spans="1:13" s="1353" customFormat="1" ht="14.4">
      <c r="A278" s="1647">
        <v>271</v>
      </c>
      <c r="B278" s="1648" t="s">
        <v>972</v>
      </c>
      <c r="C278" s="1648" t="s">
        <v>2075</v>
      </c>
      <c r="D278" s="1648" t="s">
        <v>154</v>
      </c>
      <c r="E278" s="1648" t="s">
        <v>788</v>
      </c>
      <c r="F278" s="1649" t="s">
        <v>5098</v>
      </c>
      <c r="G278" s="1649">
        <v>100</v>
      </c>
      <c r="H278" s="1648" t="s">
        <v>1860</v>
      </c>
      <c r="I278" s="1649" t="s">
        <v>985</v>
      </c>
      <c r="J278" s="1650">
        <v>0</v>
      </c>
      <c r="K278" s="1648"/>
      <c r="L278" s="1648" t="s">
        <v>5116</v>
      </c>
      <c r="M278" s="1652">
        <v>44358</v>
      </c>
    </row>
    <row r="279" spans="1:13" s="1353" customFormat="1" ht="14.4">
      <c r="A279" s="1647">
        <v>272</v>
      </c>
      <c r="B279" s="1648" t="s">
        <v>972</v>
      </c>
      <c r="C279" s="1648" t="s">
        <v>2075</v>
      </c>
      <c r="D279" s="1648" t="s">
        <v>154</v>
      </c>
      <c r="E279" s="1648" t="s">
        <v>788</v>
      </c>
      <c r="F279" s="1649" t="s">
        <v>5098</v>
      </c>
      <c r="G279" s="1649">
        <v>100</v>
      </c>
      <c r="H279" s="1648" t="s">
        <v>1860</v>
      </c>
      <c r="I279" s="1649" t="s">
        <v>958</v>
      </c>
      <c r="J279" s="1650">
        <v>0</v>
      </c>
      <c r="K279" s="1648"/>
      <c r="L279" s="1648" t="s">
        <v>5116</v>
      </c>
      <c r="M279" s="1652">
        <v>44358</v>
      </c>
    </row>
    <row r="280" spans="1:13" s="1353" customFormat="1" ht="14.4">
      <c r="A280" s="1647">
        <v>273</v>
      </c>
      <c r="B280" s="1648" t="s">
        <v>972</v>
      </c>
      <c r="C280" s="1648" t="s">
        <v>2075</v>
      </c>
      <c r="D280" s="1648" t="s">
        <v>154</v>
      </c>
      <c r="E280" s="1648" t="s">
        <v>788</v>
      </c>
      <c r="F280" s="1649" t="s">
        <v>5098</v>
      </c>
      <c r="G280" s="1649">
        <v>100</v>
      </c>
      <c r="H280" s="1648" t="s">
        <v>1860</v>
      </c>
      <c r="I280" s="1649" t="s">
        <v>970</v>
      </c>
      <c r="J280" s="1650">
        <v>0</v>
      </c>
      <c r="K280" s="1648"/>
      <c r="L280" s="1648" t="s">
        <v>5116</v>
      </c>
      <c r="M280" s="1652">
        <v>44358</v>
      </c>
    </row>
    <row r="281" spans="1:13" s="1353" customFormat="1" ht="14.4">
      <c r="A281" s="1647">
        <v>274</v>
      </c>
      <c r="B281" s="1648" t="s">
        <v>1022</v>
      </c>
      <c r="C281" s="1648" t="s">
        <v>2228</v>
      </c>
      <c r="D281" s="1648" t="s">
        <v>154</v>
      </c>
      <c r="E281" s="1648" t="s">
        <v>788</v>
      </c>
      <c r="F281" s="1649" t="s">
        <v>5098</v>
      </c>
      <c r="G281" s="1649">
        <v>95</v>
      </c>
      <c r="H281" s="1648" t="s">
        <v>5117</v>
      </c>
      <c r="I281" s="1649" t="s">
        <v>968</v>
      </c>
      <c r="J281" s="1650">
        <v>0</v>
      </c>
      <c r="K281" s="1648"/>
      <c r="L281" s="1648" t="s">
        <v>5116</v>
      </c>
      <c r="M281" s="1652">
        <v>44358</v>
      </c>
    </row>
    <row r="282" spans="1:13" s="1353" customFormat="1" ht="14.4">
      <c r="A282" s="1647">
        <v>275</v>
      </c>
      <c r="B282" s="1648" t="s">
        <v>1022</v>
      </c>
      <c r="C282" s="1648" t="s">
        <v>2228</v>
      </c>
      <c r="D282" s="1648" t="s">
        <v>154</v>
      </c>
      <c r="E282" s="1648" t="s">
        <v>788</v>
      </c>
      <c r="F282" s="1649" t="s">
        <v>5098</v>
      </c>
      <c r="G282" s="1649">
        <v>95</v>
      </c>
      <c r="H282" s="1648" t="s">
        <v>5117</v>
      </c>
      <c r="I282" s="1649" t="s">
        <v>980</v>
      </c>
      <c r="J282" s="1650">
        <v>0</v>
      </c>
      <c r="K282" s="1648"/>
      <c r="L282" s="1648" t="s">
        <v>5116</v>
      </c>
      <c r="M282" s="1652">
        <v>44358</v>
      </c>
    </row>
    <row r="283" spans="1:13" s="1353" customFormat="1" ht="14.4">
      <c r="A283" s="1647">
        <v>276</v>
      </c>
      <c r="B283" s="1648" t="s">
        <v>1022</v>
      </c>
      <c r="C283" s="1648" t="s">
        <v>2228</v>
      </c>
      <c r="D283" s="1648" t="s">
        <v>154</v>
      </c>
      <c r="E283" s="1648" t="s">
        <v>788</v>
      </c>
      <c r="F283" s="1649" t="s">
        <v>5098</v>
      </c>
      <c r="G283" s="1649">
        <v>95</v>
      </c>
      <c r="H283" s="1648" t="s">
        <v>5117</v>
      </c>
      <c r="I283" s="1649" t="s">
        <v>985</v>
      </c>
      <c r="J283" s="1650">
        <v>0</v>
      </c>
      <c r="K283" s="1648"/>
      <c r="L283" s="1648" t="s">
        <v>5116</v>
      </c>
      <c r="M283" s="1652">
        <v>44358</v>
      </c>
    </row>
    <row r="284" spans="1:13" s="1353" customFormat="1" ht="14.4">
      <c r="A284" s="1647">
        <v>277</v>
      </c>
      <c r="B284" s="1648" t="s">
        <v>1022</v>
      </c>
      <c r="C284" s="1648" t="s">
        <v>2228</v>
      </c>
      <c r="D284" s="1648" t="s">
        <v>154</v>
      </c>
      <c r="E284" s="1648" t="s">
        <v>788</v>
      </c>
      <c r="F284" s="1649" t="s">
        <v>5098</v>
      </c>
      <c r="G284" s="1649">
        <v>95</v>
      </c>
      <c r="H284" s="1648" t="s">
        <v>5117</v>
      </c>
      <c r="I284" s="1649" t="s">
        <v>958</v>
      </c>
      <c r="J284" s="1650">
        <v>0</v>
      </c>
      <c r="K284" s="1648"/>
      <c r="L284" s="1648" t="s">
        <v>5116</v>
      </c>
      <c r="M284" s="1652">
        <v>44358</v>
      </c>
    </row>
    <row r="285" spans="1:13" s="1353" customFormat="1" ht="14.4">
      <c r="A285" s="1647">
        <v>278</v>
      </c>
      <c r="B285" s="1648" t="s">
        <v>1022</v>
      </c>
      <c r="C285" s="1648" t="s">
        <v>2228</v>
      </c>
      <c r="D285" s="1648" t="s">
        <v>154</v>
      </c>
      <c r="E285" s="1648" t="s">
        <v>788</v>
      </c>
      <c r="F285" s="1649" t="s">
        <v>5098</v>
      </c>
      <c r="G285" s="1649">
        <v>95</v>
      </c>
      <c r="H285" s="1648" t="s">
        <v>5117</v>
      </c>
      <c r="I285" s="1649" t="s">
        <v>970</v>
      </c>
      <c r="J285" s="1650">
        <v>0</v>
      </c>
      <c r="K285" s="1648"/>
      <c r="L285" s="1648" t="s">
        <v>5116</v>
      </c>
      <c r="M285" s="1652">
        <v>44358</v>
      </c>
    </row>
    <row r="286" spans="1:13" s="1353" customFormat="1" ht="14.4">
      <c r="A286" s="1647">
        <v>279</v>
      </c>
      <c r="B286" s="1648" t="s">
        <v>1022</v>
      </c>
      <c r="C286" s="1648" t="s">
        <v>2228</v>
      </c>
      <c r="D286" s="1648" t="s">
        <v>154</v>
      </c>
      <c r="E286" s="1648" t="s">
        <v>788</v>
      </c>
      <c r="F286" s="1649" t="s">
        <v>5098</v>
      </c>
      <c r="G286" s="1649">
        <v>100</v>
      </c>
      <c r="H286" s="1648" t="s">
        <v>1860</v>
      </c>
      <c r="I286" s="1649" t="s">
        <v>968</v>
      </c>
      <c r="J286" s="1650">
        <v>0</v>
      </c>
      <c r="K286" s="1648"/>
      <c r="L286" s="1648" t="s">
        <v>5116</v>
      </c>
      <c r="M286" s="1652">
        <v>44358</v>
      </c>
    </row>
    <row r="287" spans="1:13" s="1353" customFormat="1" ht="14.4">
      <c r="A287" s="1647">
        <v>280</v>
      </c>
      <c r="B287" s="1648" t="s">
        <v>1022</v>
      </c>
      <c r="C287" s="1648" t="s">
        <v>2228</v>
      </c>
      <c r="D287" s="1648" t="s">
        <v>154</v>
      </c>
      <c r="E287" s="1648" t="s">
        <v>788</v>
      </c>
      <c r="F287" s="1649" t="s">
        <v>5098</v>
      </c>
      <c r="G287" s="1649">
        <v>100</v>
      </c>
      <c r="H287" s="1648" t="s">
        <v>1860</v>
      </c>
      <c r="I287" s="1649" t="s">
        <v>980</v>
      </c>
      <c r="J287" s="1650">
        <v>0</v>
      </c>
      <c r="K287" s="1648"/>
      <c r="L287" s="1648" t="s">
        <v>5116</v>
      </c>
      <c r="M287" s="1652">
        <v>44358</v>
      </c>
    </row>
    <row r="288" spans="1:13" s="1353" customFormat="1" ht="14.4">
      <c r="A288" s="1647">
        <v>281</v>
      </c>
      <c r="B288" s="1648" t="s">
        <v>1022</v>
      </c>
      <c r="C288" s="1648" t="s">
        <v>2228</v>
      </c>
      <c r="D288" s="1648" t="s">
        <v>154</v>
      </c>
      <c r="E288" s="1648" t="s">
        <v>788</v>
      </c>
      <c r="F288" s="1649" t="s">
        <v>5098</v>
      </c>
      <c r="G288" s="1649">
        <v>100</v>
      </c>
      <c r="H288" s="1648" t="s">
        <v>1860</v>
      </c>
      <c r="I288" s="1649" t="s">
        <v>985</v>
      </c>
      <c r="J288" s="1650">
        <v>0</v>
      </c>
      <c r="K288" s="1648"/>
      <c r="L288" s="1648" t="s">
        <v>5116</v>
      </c>
      <c r="M288" s="1652">
        <v>44358</v>
      </c>
    </row>
    <row r="289" spans="1:13" s="1353" customFormat="1" ht="14.4">
      <c r="A289" s="1647">
        <v>282</v>
      </c>
      <c r="B289" s="1648" t="s">
        <v>1022</v>
      </c>
      <c r="C289" s="1648" t="s">
        <v>2228</v>
      </c>
      <c r="D289" s="1648" t="s">
        <v>154</v>
      </c>
      <c r="E289" s="1648" t="s">
        <v>788</v>
      </c>
      <c r="F289" s="1649" t="s">
        <v>5098</v>
      </c>
      <c r="G289" s="1649">
        <v>100</v>
      </c>
      <c r="H289" s="1648" t="s">
        <v>1860</v>
      </c>
      <c r="I289" s="1649" t="s">
        <v>958</v>
      </c>
      <c r="J289" s="1650">
        <v>0</v>
      </c>
      <c r="K289" s="1648"/>
      <c r="L289" s="1648" t="s">
        <v>5116</v>
      </c>
      <c r="M289" s="1652">
        <v>44358</v>
      </c>
    </row>
    <row r="290" spans="1:13" s="1353" customFormat="1" ht="14.4">
      <c r="A290" s="1647">
        <v>283</v>
      </c>
      <c r="B290" s="1648" t="s">
        <v>1022</v>
      </c>
      <c r="C290" s="1648" t="s">
        <v>2228</v>
      </c>
      <c r="D290" s="1648" t="s">
        <v>154</v>
      </c>
      <c r="E290" s="1648" t="s">
        <v>788</v>
      </c>
      <c r="F290" s="1649" t="s">
        <v>5098</v>
      </c>
      <c r="G290" s="1649">
        <v>100</v>
      </c>
      <c r="H290" s="1648" t="s">
        <v>1860</v>
      </c>
      <c r="I290" s="1649" t="s">
        <v>970</v>
      </c>
      <c r="J290" s="1650">
        <v>0</v>
      </c>
      <c r="K290" s="1648"/>
      <c r="L290" s="1648" t="s">
        <v>5116</v>
      </c>
      <c r="M290" s="1652">
        <v>44358</v>
      </c>
    </row>
    <row r="291" spans="1:13" s="1353" customFormat="1" ht="14.4">
      <c r="A291" s="1647">
        <v>284</v>
      </c>
      <c r="B291" s="1648" t="s">
        <v>1029</v>
      </c>
      <c r="C291" s="1648" t="s">
        <v>2838</v>
      </c>
      <c r="D291" s="1648" t="s">
        <v>154</v>
      </c>
      <c r="E291" s="1648" t="s">
        <v>788</v>
      </c>
      <c r="F291" s="1649" t="s">
        <v>5098</v>
      </c>
      <c r="G291" s="1649">
        <v>95</v>
      </c>
      <c r="H291" s="1648" t="s">
        <v>5117</v>
      </c>
      <c r="I291" s="1649" t="s">
        <v>968</v>
      </c>
      <c r="J291" s="1650">
        <v>0</v>
      </c>
      <c r="K291" s="1648"/>
      <c r="L291" s="1648" t="s">
        <v>5116</v>
      </c>
      <c r="M291" s="1652">
        <v>44358</v>
      </c>
    </row>
    <row r="292" spans="1:13" s="1353" customFormat="1" ht="14.4">
      <c r="A292" s="1647">
        <v>285</v>
      </c>
      <c r="B292" s="1648" t="s">
        <v>1029</v>
      </c>
      <c r="C292" s="1648" t="s">
        <v>2838</v>
      </c>
      <c r="D292" s="1648" t="s">
        <v>154</v>
      </c>
      <c r="E292" s="1648" t="s">
        <v>788</v>
      </c>
      <c r="F292" s="1649" t="s">
        <v>5098</v>
      </c>
      <c r="G292" s="1649">
        <v>95</v>
      </c>
      <c r="H292" s="1648" t="s">
        <v>5117</v>
      </c>
      <c r="I292" s="1649" t="s">
        <v>980</v>
      </c>
      <c r="J292" s="1650">
        <v>0</v>
      </c>
      <c r="K292" s="1648"/>
      <c r="L292" s="1648" t="s">
        <v>5116</v>
      </c>
      <c r="M292" s="1652">
        <v>44358</v>
      </c>
    </row>
    <row r="293" spans="1:13" s="1353" customFormat="1" ht="14.4">
      <c r="A293" s="1647">
        <v>286</v>
      </c>
      <c r="B293" s="1648" t="s">
        <v>1029</v>
      </c>
      <c r="C293" s="1648" t="s">
        <v>2838</v>
      </c>
      <c r="D293" s="1648" t="s">
        <v>154</v>
      </c>
      <c r="E293" s="1648" t="s">
        <v>788</v>
      </c>
      <c r="F293" s="1649" t="s">
        <v>5098</v>
      </c>
      <c r="G293" s="1649">
        <v>95</v>
      </c>
      <c r="H293" s="1648" t="s">
        <v>5117</v>
      </c>
      <c r="I293" s="1649" t="s">
        <v>985</v>
      </c>
      <c r="J293" s="1650">
        <v>0</v>
      </c>
      <c r="K293" s="1648"/>
      <c r="L293" s="1648" t="s">
        <v>5116</v>
      </c>
      <c r="M293" s="1652">
        <v>44358</v>
      </c>
    </row>
    <row r="294" spans="1:13" s="1353" customFormat="1" ht="14.4">
      <c r="A294" s="1647">
        <v>287</v>
      </c>
      <c r="B294" s="1648" t="s">
        <v>1029</v>
      </c>
      <c r="C294" s="1648" t="s">
        <v>2838</v>
      </c>
      <c r="D294" s="1648" t="s">
        <v>154</v>
      </c>
      <c r="E294" s="1648" t="s">
        <v>788</v>
      </c>
      <c r="F294" s="1649" t="s">
        <v>5098</v>
      </c>
      <c r="G294" s="1649">
        <v>95</v>
      </c>
      <c r="H294" s="1648" t="s">
        <v>5117</v>
      </c>
      <c r="I294" s="1649" t="s">
        <v>958</v>
      </c>
      <c r="J294" s="1650">
        <v>0</v>
      </c>
      <c r="K294" s="1648"/>
      <c r="L294" s="1648" t="s">
        <v>5116</v>
      </c>
      <c r="M294" s="1652">
        <v>44358</v>
      </c>
    </row>
    <row r="295" spans="1:13" s="1353" customFormat="1" ht="14.4">
      <c r="A295" s="1647">
        <v>288</v>
      </c>
      <c r="B295" s="1648" t="s">
        <v>1029</v>
      </c>
      <c r="C295" s="1648" t="s">
        <v>2838</v>
      </c>
      <c r="D295" s="1648" t="s">
        <v>154</v>
      </c>
      <c r="E295" s="1648" t="s">
        <v>788</v>
      </c>
      <c r="F295" s="1649" t="s">
        <v>5098</v>
      </c>
      <c r="G295" s="1649">
        <v>95</v>
      </c>
      <c r="H295" s="1648" t="s">
        <v>5117</v>
      </c>
      <c r="I295" s="1649" t="s">
        <v>970</v>
      </c>
      <c r="J295" s="1650">
        <v>0</v>
      </c>
      <c r="K295" s="1648"/>
      <c r="L295" s="1648" t="s">
        <v>5116</v>
      </c>
      <c r="M295" s="1652">
        <v>44358</v>
      </c>
    </row>
    <row r="296" spans="1:13" s="1353" customFormat="1" ht="14.4">
      <c r="A296" s="1647">
        <v>289</v>
      </c>
      <c r="B296" s="1648" t="s">
        <v>1029</v>
      </c>
      <c r="C296" s="1648" t="s">
        <v>2838</v>
      </c>
      <c r="D296" s="1648" t="s">
        <v>154</v>
      </c>
      <c r="E296" s="1648" t="s">
        <v>788</v>
      </c>
      <c r="F296" s="1649" t="s">
        <v>5098</v>
      </c>
      <c r="G296" s="1649">
        <v>100</v>
      </c>
      <c r="H296" s="1648" t="s">
        <v>1860</v>
      </c>
      <c r="I296" s="1649" t="s">
        <v>968</v>
      </c>
      <c r="J296" s="1650">
        <v>0</v>
      </c>
      <c r="K296" s="1648"/>
      <c r="L296" s="1648" t="s">
        <v>5116</v>
      </c>
      <c r="M296" s="1652">
        <v>44358</v>
      </c>
    </row>
    <row r="297" spans="1:13" s="1353" customFormat="1" ht="14.4">
      <c r="A297" s="1647">
        <v>290</v>
      </c>
      <c r="B297" s="1648" t="s">
        <v>1029</v>
      </c>
      <c r="C297" s="1648" t="s">
        <v>2838</v>
      </c>
      <c r="D297" s="1648" t="s">
        <v>154</v>
      </c>
      <c r="E297" s="1648" t="s">
        <v>788</v>
      </c>
      <c r="F297" s="1649" t="s">
        <v>5098</v>
      </c>
      <c r="G297" s="1649">
        <v>100</v>
      </c>
      <c r="H297" s="1648" t="s">
        <v>1860</v>
      </c>
      <c r="I297" s="1649" t="s">
        <v>980</v>
      </c>
      <c r="J297" s="1650">
        <v>0</v>
      </c>
      <c r="K297" s="1648"/>
      <c r="L297" s="1648" t="s">
        <v>5116</v>
      </c>
      <c r="M297" s="1652">
        <v>44358</v>
      </c>
    </row>
    <row r="298" spans="1:13" s="1353" customFormat="1" ht="14.4">
      <c r="A298" s="1647">
        <v>291</v>
      </c>
      <c r="B298" s="1648" t="s">
        <v>1029</v>
      </c>
      <c r="C298" s="1648" t="s">
        <v>2838</v>
      </c>
      <c r="D298" s="1648" t="s">
        <v>154</v>
      </c>
      <c r="E298" s="1648" t="s">
        <v>788</v>
      </c>
      <c r="F298" s="1649" t="s">
        <v>5098</v>
      </c>
      <c r="G298" s="1649">
        <v>100</v>
      </c>
      <c r="H298" s="1648" t="s">
        <v>1860</v>
      </c>
      <c r="I298" s="1649" t="s">
        <v>985</v>
      </c>
      <c r="J298" s="1650">
        <v>0</v>
      </c>
      <c r="K298" s="1648"/>
      <c r="L298" s="1648" t="s">
        <v>5116</v>
      </c>
      <c r="M298" s="1652">
        <v>44358</v>
      </c>
    </row>
    <row r="299" spans="1:13" s="1353" customFormat="1" ht="14.4">
      <c r="A299" s="1647">
        <v>292</v>
      </c>
      <c r="B299" s="1648" t="s">
        <v>1029</v>
      </c>
      <c r="C299" s="1648" t="s">
        <v>2838</v>
      </c>
      <c r="D299" s="1648" t="s">
        <v>154</v>
      </c>
      <c r="E299" s="1648" t="s">
        <v>788</v>
      </c>
      <c r="F299" s="1649" t="s">
        <v>5098</v>
      </c>
      <c r="G299" s="1649">
        <v>100</v>
      </c>
      <c r="H299" s="1648" t="s">
        <v>1860</v>
      </c>
      <c r="I299" s="1649" t="s">
        <v>958</v>
      </c>
      <c r="J299" s="1650">
        <v>0</v>
      </c>
      <c r="K299" s="1648"/>
      <c r="L299" s="1648" t="s">
        <v>5116</v>
      </c>
      <c r="M299" s="1652">
        <v>44358</v>
      </c>
    </row>
    <row r="300" spans="1:13" s="1353" customFormat="1" ht="14.4">
      <c r="A300" s="1647">
        <v>293</v>
      </c>
      <c r="B300" s="1648" t="s">
        <v>1029</v>
      </c>
      <c r="C300" s="1648" t="s">
        <v>2838</v>
      </c>
      <c r="D300" s="1648" t="s">
        <v>154</v>
      </c>
      <c r="E300" s="1648" t="s">
        <v>788</v>
      </c>
      <c r="F300" s="1649" t="s">
        <v>5098</v>
      </c>
      <c r="G300" s="1649">
        <v>100</v>
      </c>
      <c r="H300" s="1648" t="s">
        <v>1860</v>
      </c>
      <c r="I300" s="1649" t="s">
        <v>970</v>
      </c>
      <c r="J300" s="1650">
        <v>0</v>
      </c>
      <c r="K300" s="1648"/>
      <c r="L300" s="1648" t="s">
        <v>5116</v>
      </c>
      <c r="M300" s="1652">
        <v>44358</v>
      </c>
    </row>
    <row r="301" spans="1:13" s="1353" customFormat="1" ht="14.4">
      <c r="A301" s="1647">
        <v>294</v>
      </c>
      <c r="B301" s="1653" t="s">
        <v>972</v>
      </c>
      <c r="C301" s="1648" t="s">
        <v>2132</v>
      </c>
      <c r="D301" s="1654" t="s">
        <v>2133</v>
      </c>
      <c r="E301" s="1654" t="s">
        <v>788</v>
      </c>
      <c r="F301" s="1649" t="s">
        <v>5098</v>
      </c>
      <c r="G301" s="1647">
        <v>80</v>
      </c>
      <c r="H301" s="1647" t="s">
        <v>956</v>
      </c>
      <c r="I301" s="1647" t="s">
        <v>968</v>
      </c>
      <c r="J301" s="1647" t="s">
        <v>5025</v>
      </c>
      <c r="K301" s="1647"/>
      <c r="L301" s="1654" t="s">
        <v>5026</v>
      </c>
      <c r="M301" s="1652">
        <v>44372</v>
      </c>
    </row>
    <row r="302" spans="1:13" s="1353" customFormat="1" ht="14.4">
      <c r="A302" s="1647">
        <v>295</v>
      </c>
      <c r="B302" s="1653" t="s">
        <v>972</v>
      </c>
      <c r="C302" s="1648" t="s">
        <v>2132</v>
      </c>
      <c r="D302" s="1654" t="s">
        <v>2133</v>
      </c>
      <c r="E302" s="1654" t="s">
        <v>788</v>
      </c>
      <c r="F302" s="1649" t="s">
        <v>5098</v>
      </c>
      <c r="G302" s="1647">
        <v>80</v>
      </c>
      <c r="H302" s="1647" t="s">
        <v>956</v>
      </c>
      <c r="I302" s="1647" t="s">
        <v>980</v>
      </c>
      <c r="J302" s="1647" t="s">
        <v>5025</v>
      </c>
      <c r="K302" s="1647"/>
      <c r="L302" s="1654" t="s">
        <v>5026</v>
      </c>
      <c r="M302" s="1652">
        <v>44372</v>
      </c>
    </row>
    <row r="303" spans="1:13" s="1353" customFormat="1" ht="14.4">
      <c r="A303" s="1647">
        <v>296</v>
      </c>
      <c r="B303" s="1653" t="s">
        <v>972</v>
      </c>
      <c r="C303" s="1648" t="s">
        <v>2132</v>
      </c>
      <c r="D303" s="1654" t="s">
        <v>2133</v>
      </c>
      <c r="E303" s="1654" t="s">
        <v>788</v>
      </c>
      <c r="F303" s="1649" t="s">
        <v>5098</v>
      </c>
      <c r="G303" s="1647">
        <v>80</v>
      </c>
      <c r="H303" s="1647" t="s">
        <v>956</v>
      </c>
      <c r="I303" s="1647" t="s">
        <v>985</v>
      </c>
      <c r="J303" s="1647" t="s">
        <v>5025</v>
      </c>
      <c r="K303" s="1647"/>
      <c r="L303" s="1654" t="s">
        <v>5026</v>
      </c>
      <c r="M303" s="1652">
        <v>44372</v>
      </c>
    </row>
    <row r="304" spans="1:13" s="1353" customFormat="1" ht="14.4">
      <c r="A304" s="1647">
        <v>297</v>
      </c>
      <c r="B304" s="1653" t="s">
        <v>972</v>
      </c>
      <c r="C304" s="1648" t="s">
        <v>2132</v>
      </c>
      <c r="D304" s="1654" t="s">
        <v>2133</v>
      </c>
      <c r="E304" s="1654" t="s">
        <v>788</v>
      </c>
      <c r="F304" s="1649" t="s">
        <v>5098</v>
      </c>
      <c r="G304" s="1647">
        <v>80</v>
      </c>
      <c r="H304" s="1647" t="s">
        <v>956</v>
      </c>
      <c r="I304" s="1647" t="s">
        <v>958</v>
      </c>
      <c r="J304" s="1647" t="s">
        <v>5025</v>
      </c>
      <c r="K304" s="1647"/>
      <c r="L304" s="1654" t="s">
        <v>5026</v>
      </c>
      <c r="M304" s="1652">
        <v>44372</v>
      </c>
    </row>
    <row r="305" spans="1:13" s="1353" customFormat="1" ht="28.8">
      <c r="A305" s="1647">
        <v>298</v>
      </c>
      <c r="B305" s="1653" t="s">
        <v>993</v>
      </c>
      <c r="C305" s="1648" t="s">
        <v>5118</v>
      </c>
      <c r="D305" s="1654" t="s">
        <v>687</v>
      </c>
      <c r="E305" s="1654" t="s">
        <v>788</v>
      </c>
      <c r="F305" s="1649" t="s">
        <v>5098</v>
      </c>
      <c r="G305" s="1647">
        <v>85</v>
      </c>
      <c r="H305" s="1648" t="s">
        <v>1857</v>
      </c>
      <c r="I305" s="1649" t="s">
        <v>968</v>
      </c>
      <c r="J305" s="1647">
        <v>2.35</v>
      </c>
      <c r="K305" s="1647">
        <v>2.56</v>
      </c>
      <c r="L305" s="1654" t="s">
        <v>5119</v>
      </c>
      <c r="M305" s="1652">
        <v>44533</v>
      </c>
    </row>
    <row r="306" spans="1:13" s="1353" customFormat="1" ht="28.8">
      <c r="A306" s="1647">
        <v>299</v>
      </c>
      <c r="B306" s="1653" t="s">
        <v>993</v>
      </c>
      <c r="C306" s="1648" t="s">
        <v>5118</v>
      </c>
      <c r="D306" s="1654" t="s">
        <v>687</v>
      </c>
      <c r="E306" s="1654" t="s">
        <v>788</v>
      </c>
      <c r="F306" s="1649" t="s">
        <v>5098</v>
      </c>
      <c r="G306" s="1647">
        <v>85</v>
      </c>
      <c r="H306" s="1648" t="s">
        <v>1857</v>
      </c>
      <c r="I306" s="1649" t="s">
        <v>980</v>
      </c>
      <c r="J306" s="1647">
        <v>2.35</v>
      </c>
      <c r="K306" s="1647">
        <v>2.56</v>
      </c>
      <c r="L306" s="1654" t="s">
        <v>5119</v>
      </c>
      <c r="M306" s="1652">
        <v>44533</v>
      </c>
    </row>
    <row r="307" spans="1:13" s="1353" customFormat="1" ht="28.8">
      <c r="A307" s="1647">
        <v>300</v>
      </c>
      <c r="B307" s="1653" t="s">
        <v>993</v>
      </c>
      <c r="C307" s="1648" t="s">
        <v>5118</v>
      </c>
      <c r="D307" s="1654" t="s">
        <v>687</v>
      </c>
      <c r="E307" s="1654" t="s">
        <v>788</v>
      </c>
      <c r="F307" s="1649" t="s">
        <v>5098</v>
      </c>
      <c r="G307" s="1647">
        <v>85</v>
      </c>
      <c r="H307" s="1648" t="s">
        <v>1857</v>
      </c>
      <c r="I307" s="1649" t="s">
        <v>985</v>
      </c>
      <c r="J307" s="1647">
        <v>2.35</v>
      </c>
      <c r="K307" s="1647">
        <v>2.56</v>
      </c>
      <c r="L307" s="1654" t="s">
        <v>5119</v>
      </c>
      <c r="M307" s="1652">
        <v>44533</v>
      </c>
    </row>
    <row r="308" spans="1:13" s="1353" customFormat="1" ht="28.8">
      <c r="A308" s="1647">
        <v>301</v>
      </c>
      <c r="B308" s="1653" t="s">
        <v>993</v>
      </c>
      <c r="C308" s="1648" t="s">
        <v>5118</v>
      </c>
      <c r="D308" s="1654" t="s">
        <v>687</v>
      </c>
      <c r="E308" s="1654" t="s">
        <v>788</v>
      </c>
      <c r="F308" s="1649" t="s">
        <v>5098</v>
      </c>
      <c r="G308" s="1647">
        <v>85</v>
      </c>
      <c r="H308" s="1648" t="s">
        <v>1857</v>
      </c>
      <c r="I308" s="1649" t="s">
        <v>958</v>
      </c>
      <c r="J308" s="1647">
        <v>2.35</v>
      </c>
      <c r="K308" s="1647">
        <v>2.56</v>
      </c>
      <c r="L308" s="1654" t="s">
        <v>5119</v>
      </c>
      <c r="M308" s="1652">
        <v>44533</v>
      </c>
    </row>
    <row r="309" spans="1:13" s="1353" customFormat="1" ht="28.8">
      <c r="A309" s="1647">
        <v>302</v>
      </c>
      <c r="B309" s="1653" t="s">
        <v>993</v>
      </c>
      <c r="C309" s="1648" t="s">
        <v>5118</v>
      </c>
      <c r="D309" s="1654" t="s">
        <v>687</v>
      </c>
      <c r="E309" s="1654" t="s">
        <v>788</v>
      </c>
      <c r="F309" s="1649" t="s">
        <v>5098</v>
      </c>
      <c r="G309" s="1647">
        <v>85</v>
      </c>
      <c r="H309" s="1648" t="s">
        <v>1857</v>
      </c>
      <c r="I309" s="1649" t="s">
        <v>970</v>
      </c>
      <c r="J309" s="1647">
        <v>2.35</v>
      </c>
      <c r="K309" s="1647">
        <v>2.56</v>
      </c>
      <c r="L309" s="1654" t="s">
        <v>5119</v>
      </c>
      <c r="M309" s="1652">
        <v>44533</v>
      </c>
    </row>
    <row r="310" spans="1:13" s="1353" customFormat="1" ht="28.8">
      <c r="A310" s="1647">
        <v>303</v>
      </c>
      <c r="B310" s="1653" t="s">
        <v>993</v>
      </c>
      <c r="C310" s="1648" t="s">
        <v>5118</v>
      </c>
      <c r="D310" s="1654" t="s">
        <v>687</v>
      </c>
      <c r="E310" s="1654" t="s">
        <v>788</v>
      </c>
      <c r="F310" s="1649" t="s">
        <v>5098</v>
      </c>
      <c r="G310" s="1647">
        <v>90</v>
      </c>
      <c r="H310" s="1648" t="s">
        <v>1858</v>
      </c>
      <c r="I310" s="1649" t="s">
        <v>968</v>
      </c>
      <c r="J310" s="1647">
        <v>2.56</v>
      </c>
      <c r="K310" s="1647">
        <v>2.35</v>
      </c>
      <c r="L310" s="1654" t="s">
        <v>5119</v>
      </c>
      <c r="M310" s="1652">
        <v>44533</v>
      </c>
    </row>
    <row r="311" spans="1:13" s="1353" customFormat="1" ht="28.8">
      <c r="A311" s="1647">
        <v>304</v>
      </c>
      <c r="B311" s="1653" t="s">
        <v>993</v>
      </c>
      <c r="C311" s="1648" t="s">
        <v>5118</v>
      </c>
      <c r="D311" s="1654" t="s">
        <v>687</v>
      </c>
      <c r="E311" s="1654" t="s">
        <v>788</v>
      </c>
      <c r="F311" s="1649" t="s">
        <v>5098</v>
      </c>
      <c r="G311" s="1647">
        <v>90</v>
      </c>
      <c r="H311" s="1648" t="s">
        <v>1858</v>
      </c>
      <c r="I311" s="1649" t="s">
        <v>980</v>
      </c>
      <c r="J311" s="1647">
        <v>2.56</v>
      </c>
      <c r="K311" s="1647">
        <v>2.35</v>
      </c>
      <c r="L311" s="1654" t="s">
        <v>5119</v>
      </c>
      <c r="M311" s="1652">
        <v>44533</v>
      </c>
    </row>
    <row r="312" spans="1:13" s="1353" customFormat="1" ht="28.8">
      <c r="A312" s="1647">
        <v>305</v>
      </c>
      <c r="B312" s="1653" t="s">
        <v>993</v>
      </c>
      <c r="C312" s="1648" t="s">
        <v>5118</v>
      </c>
      <c r="D312" s="1654" t="s">
        <v>687</v>
      </c>
      <c r="E312" s="1654" t="s">
        <v>788</v>
      </c>
      <c r="F312" s="1649" t="s">
        <v>5098</v>
      </c>
      <c r="G312" s="1647">
        <v>90</v>
      </c>
      <c r="H312" s="1648" t="s">
        <v>1858</v>
      </c>
      <c r="I312" s="1649" t="s">
        <v>985</v>
      </c>
      <c r="J312" s="1647">
        <v>2.56</v>
      </c>
      <c r="K312" s="1647">
        <v>2.35</v>
      </c>
      <c r="L312" s="1654" t="s">
        <v>5119</v>
      </c>
      <c r="M312" s="1652">
        <v>44533</v>
      </c>
    </row>
    <row r="313" spans="1:13" s="1353" customFormat="1" ht="28.8">
      <c r="A313" s="1647">
        <v>306</v>
      </c>
      <c r="B313" s="1653" t="s">
        <v>993</v>
      </c>
      <c r="C313" s="1648" t="s">
        <v>5118</v>
      </c>
      <c r="D313" s="1654" t="s">
        <v>687</v>
      </c>
      <c r="E313" s="1654" t="s">
        <v>788</v>
      </c>
      <c r="F313" s="1649" t="s">
        <v>5098</v>
      </c>
      <c r="G313" s="1647">
        <v>90</v>
      </c>
      <c r="H313" s="1648" t="s">
        <v>1858</v>
      </c>
      <c r="I313" s="1649" t="s">
        <v>958</v>
      </c>
      <c r="J313" s="1647">
        <v>2.56</v>
      </c>
      <c r="K313" s="1647">
        <v>2.35</v>
      </c>
      <c r="L313" s="1654" t="s">
        <v>5119</v>
      </c>
      <c r="M313" s="1652">
        <v>44533</v>
      </c>
    </row>
    <row r="314" spans="1:13" s="1353" customFormat="1" ht="28.8">
      <c r="A314" s="1647">
        <v>307</v>
      </c>
      <c r="B314" s="1653" t="s">
        <v>993</v>
      </c>
      <c r="C314" s="1648" t="s">
        <v>5118</v>
      </c>
      <c r="D314" s="1654" t="s">
        <v>687</v>
      </c>
      <c r="E314" s="1654" t="s">
        <v>788</v>
      </c>
      <c r="F314" s="1649" t="s">
        <v>5098</v>
      </c>
      <c r="G314" s="1647">
        <v>90</v>
      </c>
      <c r="H314" s="1648" t="s">
        <v>1858</v>
      </c>
      <c r="I314" s="1649" t="s">
        <v>970</v>
      </c>
      <c r="J314" s="1647">
        <v>2.56</v>
      </c>
      <c r="K314" s="1647">
        <v>2.35</v>
      </c>
      <c r="L314" s="1654" t="s">
        <v>5119</v>
      </c>
      <c r="M314" s="1652">
        <v>44533</v>
      </c>
    </row>
    <row r="315" spans="1:13" s="1353" customFormat="1" ht="28.8">
      <c r="A315" s="1647">
        <v>308</v>
      </c>
      <c r="B315" s="1653" t="s">
        <v>1018</v>
      </c>
      <c r="C315" s="1651" t="s">
        <v>1159</v>
      </c>
      <c r="D315" s="1654" t="s">
        <v>604</v>
      </c>
      <c r="E315" s="1654" t="s">
        <v>788</v>
      </c>
      <c r="F315" s="1649" t="s">
        <v>5098</v>
      </c>
      <c r="G315" s="1647">
        <v>36</v>
      </c>
      <c r="H315" s="1647" t="s">
        <v>944</v>
      </c>
      <c r="I315" s="1659"/>
      <c r="J315" s="1659" t="s">
        <v>965</v>
      </c>
      <c r="K315" s="1659" t="s">
        <v>977</v>
      </c>
      <c r="L315" s="1654" t="s">
        <v>5027</v>
      </c>
      <c r="M315" s="1652">
        <v>44539</v>
      </c>
    </row>
    <row r="316" spans="1:13" s="1353" customFormat="1" ht="28.8">
      <c r="A316" s="1647">
        <v>309</v>
      </c>
      <c r="B316" s="1653" t="s">
        <v>972</v>
      </c>
      <c r="C316" s="1651" t="s">
        <v>1125</v>
      </c>
      <c r="D316" s="1654" t="s">
        <v>604</v>
      </c>
      <c r="E316" s="1654" t="s">
        <v>788</v>
      </c>
      <c r="F316" s="1649" t="s">
        <v>5098</v>
      </c>
      <c r="G316" s="1647">
        <v>36</v>
      </c>
      <c r="H316" s="1647" t="s">
        <v>944</v>
      </c>
      <c r="I316" s="1659"/>
      <c r="J316" s="1659" t="s">
        <v>965</v>
      </c>
      <c r="K316" s="1659" t="s">
        <v>977</v>
      </c>
      <c r="L316" s="1654" t="s">
        <v>5027</v>
      </c>
      <c r="M316" s="1652">
        <v>44539</v>
      </c>
    </row>
    <row r="317" spans="1:13" s="1356" customFormat="1" ht="28.8">
      <c r="A317" s="1601">
        <v>310</v>
      </c>
      <c r="B317" s="1602" t="s">
        <v>1022</v>
      </c>
      <c r="C317" s="1603" t="s">
        <v>1162</v>
      </c>
      <c r="D317" s="1603" t="s">
        <v>604</v>
      </c>
      <c r="E317" s="1603" t="s">
        <v>788</v>
      </c>
      <c r="F317" s="1601" t="s">
        <v>5098</v>
      </c>
      <c r="G317" s="1601">
        <v>36</v>
      </c>
      <c r="H317" s="1601" t="s">
        <v>944</v>
      </c>
      <c r="I317" s="1596"/>
      <c r="J317" s="1596" t="s">
        <v>965</v>
      </c>
      <c r="K317" s="1596" t="s">
        <v>977</v>
      </c>
      <c r="L317" s="1603" t="s">
        <v>5027</v>
      </c>
      <c r="M317" s="1604">
        <v>44539</v>
      </c>
    </row>
    <row r="318" spans="1:13" s="1353" customFormat="1" ht="28.8">
      <c r="A318" s="1647">
        <v>311</v>
      </c>
      <c r="B318" s="1653" t="s">
        <v>5028</v>
      </c>
      <c r="C318" s="1651" t="s">
        <v>1131</v>
      </c>
      <c r="D318" s="1654" t="s">
        <v>604</v>
      </c>
      <c r="E318" s="1654" t="s">
        <v>788</v>
      </c>
      <c r="F318" s="1649" t="s">
        <v>5098</v>
      </c>
      <c r="G318" s="1647">
        <v>36</v>
      </c>
      <c r="H318" s="1647" t="s">
        <v>944</v>
      </c>
      <c r="I318" s="1659"/>
      <c r="J318" s="1659" t="s">
        <v>965</v>
      </c>
      <c r="K318" s="1659" t="s">
        <v>977</v>
      </c>
      <c r="L318" s="1654" t="s">
        <v>5027</v>
      </c>
      <c r="M318" s="1652">
        <v>44539</v>
      </c>
    </row>
    <row r="319" spans="1:13" s="1353" customFormat="1" ht="28.8">
      <c r="A319" s="1647">
        <v>312</v>
      </c>
      <c r="B319" s="1653" t="s">
        <v>990</v>
      </c>
      <c r="C319" s="1651" t="s">
        <v>1134</v>
      </c>
      <c r="D319" s="1654" t="s">
        <v>604</v>
      </c>
      <c r="E319" s="1654" t="s">
        <v>788</v>
      </c>
      <c r="F319" s="1649" t="s">
        <v>5098</v>
      </c>
      <c r="G319" s="1647">
        <v>36</v>
      </c>
      <c r="H319" s="1647" t="s">
        <v>944</v>
      </c>
      <c r="I319" s="1659"/>
      <c r="J319" s="1659" t="s">
        <v>965</v>
      </c>
      <c r="K319" s="1659" t="s">
        <v>977</v>
      </c>
      <c r="L319" s="1654" t="s">
        <v>5027</v>
      </c>
      <c r="M319" s="1652">
        <v>44539</v>
      </c>
    </row>
    <row r="320" spans="1:13" s="1353" customFormat="1" ht="28.8">
      <c r="A320" s="1647">
        <v>313</v>
      </c>
      <c r="B320" s="1653" t="s">
        <v>1026</v>
      </c>
      <c r="C320" s="1651" t="s">
        <v>1165</v>
      </c>
      <c r="D320" s="1654" t="s">
        <v>604</v>
      </c>
      <c r="E320" s="1654" t="s">
        <v>788</v>
      </c>
      <c r="F320" s="1649" t="s">
        <v>5098</v>
      </c>
      <c r="G320" s="1647">
        <v>36</v>
      </c>
      <c r="H320" s="1647" t="s">
        <v>944</v>
      </c>
      <c r="I320" s="1659"/>
      <c r="J320" s="1659" t="s">
        <v>965</v>
      </c>
      <c r="K320" s="1659" t="s">
        <v>977</v>
      </c>
      <c r="L320" s="1654" t="s">
        <v>5027</v>
      </c>
      <c r="M320" s="1652">
        <v>44539</v>
      </c>
    </row>
    <row r="321" spans="1:13" s="1353" customFormat="1" ht="28.8">
      <c r="A321" s="1647">
        <v>314</v>
      </c>
      <c r="B321" s="1653" t="s">
        <v>5029</v>
      </c>
      <c r="C321" s="1651" t="s">
        <v>1171</v>
      </c>
      <c r="D321" s="1654" t="s">
        <v>604</v>
      </c>
      <c r="E321" s="1654" t="s">
        <v>788</v>
      </c>
      <c r="F321" s="1649" t="s">
        <v>5098</v>
      </c>
      <c r="G321" s="1647">
        <v>36</v>
      </c>
      <c r="H321" s="1647" t="s">
        <v>944</v>
      </c>
      <c r="I321" s="1659"/>
      <c r="J321" s="1659" t="s">
        <v>965</v>
      </c>
      <c r="K321" s="1659" t="s">
        <v>977</v>
      </c>
      <c r="L321" s="1654" t="s">
        <v>5027</v>
      </c>
      <c r="M321" s="1652">
        <v>44539</v>
      </c>
    </row>
    <row r="322" spans="1:13" s="1353" customFormat="1" ht="28.8">
      <c r="A322" s="1647">
        <v>315</v>
      </c>
      <c r="B322" s="1653" t="s">
        <v>1033</v>
      </c>
      <c r="C322" s="1651" t="s">
        <v>1166</v>
      </c>
      <c r="D322" s="1654" t="s">
        <v>604</v>
      </c>
      <c r="E322" s="1654" t="s">
        <v>788</v>
      </c>
      <c r="F322" s="1649" t="s">
        <v>5098</v>
      </c>
      <c r="G322" s="1647">
        <v>36</v>
      </c>
      <c r="H322" s="1647" t="s">
        <v>944</v>
      </c>
      <c r="I322" s="1659"/>
      <c r="J322" s="1659" t="s">
        <v>965</v>
      </c>
      <c r="K322" s="1659" t="s">
        <v>977</v>
      </c>
      <c r="L322" s="1654" t="s">
        <v>5027</v>
      </c>
      <c r="M322" s="1652">
        <v>44539</v>
      </c>
    </row>
    <row r="323" spans="1:13" s="1353" customFormat="1" ht="28.8">
      <c r="A323" s="1647">
        <v>316</v>
      </c>
      <c r="B323" s="1653" t="s">
        <v>996</v>
      </c>
      <c r="C323" s="1651" t="s">
        <v>1143</v>
      </c>
      <c r="D323" s="1654" t="s">
        <v>604</v>
      </c>
      <c r="E323" s="1654" t="s">
        <v>788</v>
      </c>
      <c r="F323" s="1649" t="s">
        <v>5098</v>
      </c>
      <c r="G323" s="1647">
        <v>36</v>
      </c>
      <c r="H323" s="1647" t="s">
        <v>944</v>
      </c>
      <c r="I323" s="1659"/>
      <c r="J323" s="1659" t="s">
        <v>965</v>
      </c>
      <c r="K323" s="1659" t="s">
        <v>977</v>
      </c>
      <c r="L323" s="1654" t="s">
        <v>5027</v>
      </c>
      <c r="M323" s="1652">
        <v>44539</v>
      </c>
    </row>
    <row r="324" spans="1:13" s="1353" customFormat="1" ht="28.8">
      <c r="A324" s="1647">
        <v>317</v>
      </c>
      <c r="B324" s="1653" t="s">
        <v>1036</v>
      </c>
      <c r="C324" s="1651" t="s">
        <v>1168</v>
      </c>
      <c r="D324" s="1654" t="s">
        <v>604</v>
      </c>
      <c r="E324" s="1654" t="s">
        <v>788</v>
      </c>
      <c r="F324" s="1649" t="s">
        <v>5098</v>
      </c>
      <c r="G324" s="1647">
        <v>36</v>
      </c>
      <c r="H324" s="1647" t="s">
        <v>944</v>
      </c>
      <c r="I324" s="1659"/>
      <c r="J324" s="1659" t="s">
        <v>965</v>
      </c>
      <c r="K324" s="1659" t="s">
        <v>977</v>
      </c>
      <c r="L324" s="1654" t="s">
        <v>5027</v>
      </c>
      <c r="M324" s="1652">
        <v>44539</v>
      </c>
    </row>
    <row r="325" spans="1:13" s="1353" customFormat="1" ht="28.8">
      <c r="A325" s="1647">
        <v>318</v>
      </c>
      <c r="B325" s="1653" t="s">
        <v>1036</v>
      </c>
      <c r="C325" s="1651" t="s">
        <v>1170</v>
      </c>
      <c r="D325" s="1654" t="s">
        <v>604</v>
      </c>
      <c r="E325" s="1654" t="s">
        <v>788</v>
      </c>
      <c r="F325" s="1649" t="s">
        <v>5098</v>
      </c>
      <c r="G325" s="1647">
        <v>36</v>
      </c>
      <c r="H325" s="1647" t="s">
        <v>944</v>
      </c>
      <c r="I325" s="1659"/>
      <c r="J325" s="1659" t="s">
        <v>965</v>
      </c>
      <c r="K325" s="1659" t="s">
        <v>977</v>
      </c>
      <c r="L325" s="1654" t="s">
        <v>5027</v>
      </c>
      <c r="M325" s="1652">
        <v>44539</v>
      </c>
    </row>
    <row r="326" spans="1:13" s="1353" customFormat="1" ht="28.8">
      <c r="A326" s="1647">
        <v>319</v>
      </c>
      <c r="B326" s="1653" t="s">
        <v>993</v>
      </c>
      <c r="C326" s="1651" t="s">
        <v>1137</v>
      </c>
      <c r="D326" s="1654" t="s">
        <v>604</v>
      </c>
      <c r="E326" s="1654" t="s">
        <v>788</v>
      </c>
      <c r="F326" s="1649" t="s">
        <v>5098</v>
      </c>
      <c r="G326" s="1647">
        <v>36</v>
      </c>
      <c r="H326" s="1647" t="s">
        <v>944</v>
      </c>
      <c r="I326" s="1659"/>
      <c r="J326" s="1659" t="s">
        <v>965</v>
      </c>
      <c r="K326" s="1659" t="s">
        <v>977</v>
      </c>
      <c r="L326" s="1654" t="s">
        <v>5027</v>
      </c>
      <c r="M326" s="1652">
        <v>44539</v>
      </c>
    </row>
    <row r="327" spans="1:13" s="1353" customFormat="1" ht="28.8">
      <c r="A327" s="1647">
        <v>320</v>
      </c>
      <c r="B327" s="1653" t="s">
        <v>1003</v>
      </c>
      <c r="C327" s="1651" t="s">
        <v>1147</v>
      </c>
      <c r="D327" s="1654" t="s">
        <v>604</v>
      </c>
      <c r="E327" s="1654" t="s">
        <v>788</v>
      </c>
      <c r="F327" s="1649" t="s">
        <v>5098</v>
      </c>
      <c r="G327" s="1647">
        <v>36</v>
      </c>
      <c r="H327" s="1647" t="s">
        <v>944</v>
      </c>
      <c r="I327" s="1659"/>
      <c r="J327" s="1659" t="s">
        <v>965</v>
      </c>
      <c r="K327" s="1659" t="s">
        <v>977</v>
      </c>
      <c r="L327" s="1654" t="s">
        <v>5027</v>
      </c>
      <c r="M327" s="1652">
        <v>44539</v>
      </c>
    </row>
    <row r="328" spans="1:13" s="1353" customFormat="1" ht="28.8">
      <c r="A328" s="1647">
        <v>321</v>
      </c>
      <c r="B328" s="1653" t="s">
        <v>1008</v>
      </c>
      <c r="C328" s="1651" t="s">
        <v>1150</v>
      </c>
      <c r="D328" s="1654" t="s">
        <v>604</v>
      </c>
      <c r="E328" s="1654" t="s">
        <v>788</v>
      </c>
      <c r="F328" s="1649" t="s">
        <v>5098</v>
      </c>
      <c r="G328" s="1647">
        <v>36</v>
      </c>
      <c r="H328" s="1647" t="s">
        <v>944</v>
      </c>
      <c r="I328" s="1659"/>
      <c r="J328" s="1659" t="s">
        <v>965</v>
      </c>
      <c r="K328" s="1659" t="s">
        <v>977</v>
      </c>
      <c r="L328" s="1654" t="s">
        <v>5027</v>
      </c>
      <c r="M328" s="1652">
        <v>44539</v>
      </c>
    </row>
    <row r="329" spans="1:13" s="1353" customFormat="1" ht="28.8">
      <c r="A329" s="1647">
        <v>322</v>
      </c>
      <c r="B329" s="1653" t="s">
        <v>982</v>
      </c>
      <c r="C329" s="1651" t="s">
        <v>1128</v>
      </c>
      <c r="D329" s="1654" t="s">
        <v>604</v>
      </c>
      <c r="E329" s="1654" t="s">
        <v>788</v>
      </c>
      <c r="F329" s="1649" t="s">
        <v>5098</v>
      </c>
      <c r="G329" s="1647">
        <v>36</v>
      </c>
      <c r="H329" s="1647" t="s">
        <v>944</v>
      </c>
      <c r="I329" s="1659"/>
      <c r="J329" s="1659" t="s">
        <v>965</v>
      </c>
      <c r="K329" s="1659" t="s">
        <v>977</v>
      </c>
      <c r="L329" s="1654" t="s">
        <v>5027</v>
      </c>
      <c r="M329" s="1652">
        <v>44539</v>
      </c>
    </row>
    <row r="330" spans="1:13" s="1353" customFormat="1" ht="28.8">
      <c r="A330" s="1647">
        <v>323</v>
      </c>
      <c r="B330" s="1653" t="s">
        <v>1012</v>
      </c>
      <c r="C330" s="1651" t="s">
        <v>1153</v>
      </c>
      <c r="D330" s="1654" t="s">
        <v>604</v>
      </c>
      <c r="E330" s="1654" t="s">
        <v>788</v>
      </c>
      <c r="F330" s="1649" t="s">
        <v>5098</v>
      </c>
      <c r="G330" s="1647">
        <v>36</v>
      </c>
      <c r="H330" s="1647" t="s">
        <v>944</v>
      </c>
      <c r="I330" s="1659"/>
      <c r="J330" s="1659" t="s">
        <v>965</v>
      </c>
      <c r="K330" s="1659" t="s">
        <v>977</v>
      </c>
      <c r="L330" s="1654" t="s">
        <v>5027</v>
      </c>
      <c r="M330" s="1652">
        <v>44539</v>
      </c>
    </row>
    <row r="331" spans="1:13" s="1356" customFormat="1" ht="28.8">
      <c r="A331" s="1601">
        <v>324</v>
      </c>
      <c r="B331" s="1602" t="s">
        <v>1015</v>
      </c>
      <c r="C331" s="1603" t="s">
        <v>1156</v>
      </c>
      <c r="D331" s="1603" t="s">
        <v>604</v>
      </c>
      <c r="E331" s="1603" t="s">
        <v>788</v>
      </c>
      <c r="F331" s="1601" t="s">
        <v>5098</v>
      </c>
      <c r="G331" s="1601">
        <v>36</v>
      </c>
      <c r="H331" s="1601" t="s">
        <v>944</v>
      </c>
      <c r="I331" s="1596"/>
      <c r="J331" s="1596" t="s">
        <v>965</v>
      </c>
      <c r="K331" s="1596" t="s">
        <v>977</v>
      </c>
      <c r="L331" s="1603" t="s">
        <v>5027</v>
      </c>
      <c r="M331" s="1604">
        <v>44539</v>
      </c>
    </row>
    <row r="332" spans="1:13" s="1353" customFormat="1" ht="28.8">
      <c r="A332" s="1647">
        <v>325</v>
      </c>
      <c r="B332" s="1653" t="s">
        <v>1033</v>
      </c>
      <c r="C332" s="1651" t="s">
        <v>1164</v>
      </c>
      <c r="D332" s="1654" t="s">
        <v>1163</v>
      </c>
      <c r="E332" s="1654" t="s">
        <v>788</v>
      </c>
      <c r="F332" s="1649" t="s">
        <v>5098</v>
      </c>
      <c r="G332" s="1647">
        <v>36</v>
      </c>
      <c r="H332" s="1647" t="s">
        <v>944</v>
      </c>
      <c r="I332" s="1659"/>
      <c r="J332" s="1659" t="s">
        <v>965</v>
      </c>
      <c r="K332" s="1659" t="s">
        <v>977</v>
      </c>
      <c r="L332" s="1654" t="s">
        <v>5027</v>
      </c>
      <c r="M332" s="1652">
        <v>44539</v>
      </c>
    </row>
    <row r="333" spans="1:13" s="1356" customFormat="1" ht="55.2">
      <c r="A333" s="1601">
        <v>326</v>
      </c>
      <c r="B333" s="1602" t="s">
        <v>4952</v>
      </c>
      <c r="C333" s="1602" t="s">
        <v>4952</v>
      </c>
      <c r="D333" s="1602" t="s">
        <v>4952</v>
      </c>
      <c r="E333" s="1603" t="s">
        <v>788</v>
      </c>
      <c r="F333" s="1601" t="s">
        <v>5098</v>
      </c>
      <c r="G333" s="1601">
        <v>115</v>
      </c>
      <c r="H333" s="1661" t="s">
        <v>5120</v>
      </c>
      <c r="I333" s="1596" t="s">
        <v>4986</v>
      </c>
      <c r="J333" s="1497" t="s">
        <v>5121</v>
      </c>
      <c r="K333" s="1497" t="s">
        <v>1907</v>
      </c>
      <c r="L333" s="1603" t="s">
        <v>5122</v>
      </c>
      <c r="M333" s="1604">
        <v>44540</v>
      </c>
    </row>
    <row r="334" spans="1:13" s="1356" customFormat="1" ht="55.2">
      <c r="A334" s="1601">
        <v>327</v>
      </c>
      <c r="B334" s="1602" t="s">
        <v>4952</v>
      </c>
      <c r="C334" s="1602" t="s">
        <v>4952</v>
      </c>
      <c r="D334" s="1602" t="s">
        <v>4952</v>
      </c>
      <c r="E334" s="1603" t="s">
        <v>788</v>
      </c>
      <c r="F334" s="1601" t="s">
        <v>5098</v>
      </c>
      <c r="G334" s="1601">
        <v>115</v>
      </c>
      <c r="H334" s="1661" t="s">
        <v>5120</v>
      </c>
      <c r="I334" s="1596" t="s">
        <v>4986</v>
      </c>
      <c r="J334" s="1497" t="s">
        <v>5123</v>
      </c>
      <c r="K334" s="1497" t="s">
        <v>1908</v>
      </c>
      <c r="L334" s="1603" t="s">
        <v>5122</v>
      </c>
      <c r="M334" s="1604">
        <v>44540</v>
      </c>
    </row>
    <row r="335" spans="1:13" s="1356" customFormat="1" ht="55.2">
      <c r="A335" s="1601">
        <v>328</v>
      </c>
      <c r="B335" s="1602" t="s">
        <v>4952</v>
      </c>
      <c r="C335" s="1602" t="s">
        <v>4952</v>
      </c>
      <c r="D335" s="1602" t="s">
        <v>4952</v>
      </c>
      <c r="E335" s="1603" t="s">
        <v>788</v>
      </c>
      <c r="F335" s="1601" t="s">
        <v>5098</v>
      </c>
      <c r="G335" s="1601">
        <v>115</v>
      </c>
      <c r="H335" s="1661" t="s">
        <v>5120</v>
      </c>
      <c r="I335" s="1596" t="s">
        <v>4986</v>
      </c>
      <c r="J335" s="1497" t="s">
        <v>5124</v>
      </c>
      <c r="K335" s="1497" t="s">
        <v>1909</v>
      </c>
      <c r="L335" s="1603" t="s">
        <v>5122</v>
      </c>
      <c r="M335" s="1604">
        <v>44540</v>
      </c>
    </row>
    <row r="336" spans="1:13" s="1356" customFormat="1" ht="55.2">
      <c r="A336" s="1601">
        <v>329</v>
      </c>
      <c r="B336" s="1602" t="s">
        <v>4952</v>
      </c>
      <c r="C336" s="1602" t="s">
        <v>4952</v>
      </c>
      <c r="D336" s="1602" t="s">
        <v>4952</v>
      </c>
      <c r="E336" s="1603" t="s">
        <v>788</v>
      </c>
      <c r="F336" s="1601" t="s">
        <v>5098</v>
      </c>
      <c r="G336" s="1601">
        <v>119</v>
      </c>
      <c r="H336" s="1661" t="s">
        <v>5125</v>
      </c>
      <c r="I336" s="1596" t="s">
        <v>4986</v>
      </c>
      <c r="J336" s="1497" t="s">
        <v>5126</v>
      </c>
      <c r="K336" s="1497" t="s">
        <v>1911</v>
      </c>
      <c r="L336" s="1603" t="s">
        <v>5122</v>
      </c>
      <c r="M336" s="1604">
        <v>44540</v>
      </c>
    </row>
    <row r="337" spans="1:13" s="1356" customFormat="1" ht="55.2">
      <c r="A337" s="1601">
        <v>330</v>
      </c>
      <c r="B337" s="1602" t="s">
        <v>4952</v>
      </c>
      <c r="C337" s="1602" t="s">
        <v>4952</v>
      </c>
      <c r="D337" s="1602" t="s">
        <v>4952</v>
      </c>
      <c r="E337" s="1603" t="s">
        <v>788</v>
      </c>
      <c r="F337" s="1601" t="s">
        <v>5098</v>
      </c>
      <c r="G337" s="1601">
        <v>119</v>
      </c>
      <c r="H337" s="1661" t="s">
        <v>5125</v>
      </c>
      <c r="I337" s="1596" t="s">
        <v>4986</v>
      </c>
      <c r="J337" s="1497" t="s">
        <v>5127</v>
      </c>
      <c r="K337" s="1497" t="s">
        <v>1912</v>
      </c>
      <c r="L337" s="1603" t="s">
        <v>5122</v>
      </c>
      <c r="M337" s="1604">
        <v>44540</v>
      </c>
    </row>
    <row r="338" spans="1:13" s="1356" customFormat="1" ht="55.2">
      <c r="A338" s="1601">
        <v>331</v>
      </c>
      <c r="B338" s="1602" t="s">
        <v>4952</v>
      </c>
      <c r="C338" s="1602" t="s">
        <v>4952</v>
      </c>
      <c r="D338" s="1602" t="s">
        <v>4952</v>
      </c>
      <c r="E338" s="1603" t="s">
        <v>788</v>
      </c>
      <c r="F338" s="1601" t="s">
        <v>5098</v>
      </c>
      <c r="G338" s="1601">
        <v>119</v>
      </c>
      <c r="H338" s="1661" t="s">
        <v>5125</v>
      </c>
      <c r="I338" s="1596" t="s">
        <v>4986</v>
      </c>
      <c r="J338" s="1497" t="s">
        <v>5128</v>
      </c>
      <c r="K338" s="1497" t="s">
        <v>1913</v>
      </c>
      <c r="L338" s="1603" t="s">
        <v>5122</v>
      </c>
      <c r="M338" s="1604">
        <v>44540</v>
      </c>
    </row>
    <row r="339" spans="1:13" s="1353" customFormat="1" ht="14.4">
      <c r="A339" s="1647">
        <v>332</v>
      </c>
      <c r="B339" s="1653" t="s">
        <v>990</v>
      </c>
      <c r="C339" s="1651" t="s">
        <v>2511</v>
      </c>
      <c r="D339" s="1653" t="s">
        <v>5031</v>
      </c>
      <c r="E339" s="1654" t="s">
        <v>4903</v>
      </c>
      <c r="F339" s="1649" t="s">
        <v>5098</v>
      </c>
      <c r="G339" s="1647">
        <v>105</v>
      </c>
      <c r="H339" s="1648" t="s">
        <v>1861</v>
      </c>
      <c r="I339" s="1649" t="s">
        <v>968</v>
      </c>
      <c r="J339" s="1662">
        <v>37.700000000000003</v>
      </c>
      <c r="K339" s="1662" t="s">
        <v>4797</v>
      </c>
      <c r="L339" s="1654" t="s">
        <v>5024</v>
      </c>
      <c r="M339" s="1652">
        <v>44545</v>
      </c>
    </row>
    <row r="340" spans="1:13" s="1353" customFormat="1" ht="14.4">
      <c r="A340" s="1647">
        <v>333</v>
      </c>
      <c r="B340" s="1653" t="s">
        <v>990</v>
      </c>
      <c r="C340" s="1651" t="s">
        <v>2511</v>
      </c>
      <c r="D340" s="1653" t="s">
        <v>5031</v>
      </c>
      <c r="E340" s="1654" t="s">
        <v>4903</v>
      </c>
      <c r="F340" s="1649" t="s">
        <v>5098</v>
      </c>
      <c r="G340" s="1647">
        <v>105</v>
      </c>
      <c r="H340" s="1648" t="s">
        <v>1861</v>
      </c>
      <c r="I340" s="1649" t="s">
        <v>980</v>
      </c>
      <c r="J340" s="1662">
        <v>38.299999999999997</v>
      </c>
      <c r="K340" s="1662" t="s">
        <v>4797</v>
      </c>
      <c r="L340" s="1654" t="s">
        <v>5024</v>
      </c>
      <c r="M340" s="1652">
        <v>44545</v>
      </c>
    </row>
    <row r="341" spans="1:13" s="1353" customFormat="1" ht="14.4">
      <c r="A341" s="1647">
        <v>334</v>
      </c>
      <c r="B341" s="1653" t="s">
        <v>990</v>
      </c>
      <c r="C341" s="1651" t="s">
        <v>2511</v>
      </c>
      <c r="D341" s="1653" t="s">
        <v>5031</v>
      </c>
      <c r="E341" s="1654" t="s">
        <v>4903</v>
      </c>
      <c r="F341" s="1649" t="s">
        <v>5098</v>
      </c>
      <c r="G341" s="1647">
        <v>105</v>
      </c>
      <c r="H341" s="1648" t="s">
        <v>1861</v>
      </c>
      <c r="I341" s="1649" t="s">
        <v>985</v>
      </c>
      <c r="J341" s="1662">
        <v>39.200000000000003</v>
      </c>
      <c r="K341" s="1662" t="s">
        <v>4797</v>
      </c>
      <c r="L341" s="1654" t="s">
        <v>5024</v>
      </c>
      <c r="M341" s="1652">
        <v>44545</v>
      </c>
    </row>
    <row r="342" spans="1:13" s="1353" customFormat="1" ht="14.4">
      <c r="A342" s="1647">
        <v>335</v>
      </c>
      <c r="B342" s="1653" t="s">
        <v>990</v>
      </c>
      <c r="C342" s="1651" t="s">
        <v>2511</v>
      </c>
      <c r="D342" s="1653" t="s">
        <v>5031</v>
      </c>
      <c r="E342" s="1654" t="s">
        <v>4903</v>
      </c>
      <c r="F342" s="1649" t="s">
        <v>5098</v>
      </c>
      <c r="G342" s="1647">
        <v>105</v>
      </c>
      <c r="H342" s="1648" t="s">
        <v>1861</v>
      </c>
      <c r="I342" s="1649" t="s">
        <v>958</v>
      </c>
      <c r="J342" s="1662">
        <v>40.299999999999997</v>
      </c>
      <c r="K342" s="1662" t="s">
        <v>4797</v>
      </c>
      <c r="L342" s="1654" t="s">
        <v>5024</v>
      </c>
      <c r="M342" s="1652">
        <v>44545</v>
      </c>
    </row>
    <row r="343" spans="1:13" s="1353" customFormat="1" ht="14.4">
      <c r="A343" s="1647">
        <v>336</v>
      </c>
      <c r="B343" s="1653" t="s">
        <v>990</v>
      </c>
      <c r="C343" s="1651" t="s">
        <v>2511</v>
      </c>
      <c r="D343" s="1653" t="s">
        <v>5031</v>
      </c>
      <c r="E343" s="1654" t="s">
        <v>4903</v>
      </c>
      <c r="F343" s="1649" t="s">
        <v>5098</v>
      </c>
      <c r="G343" s="1647">
        <v>105</v>
      </c>
      <c r="H343" s="1648" t="s">
        <v>1861</v>
      </c>
      <c r="I343" s="1649" t="s">
        <v>970</v>
      </c>
      <c r="J343" s="1662">
        <v>42.2</v>
      </c>
      <c r="K343" s="1662" t="s">
        <v>4797</v>
      </c>
      <c r="L343" s="1654" t="s">
        <v>5024</v>
      </c>
      <c r="M343" s="1652">
        <v>44545</v>
      </c>
    </row>
    <row r="344" spans="1:13" s="1353" customFormat="1" ht="14.4">
      <c r="A344" s="1647">
        <v>337</v>
      </c>
      <c r="B344" s="1648" t="s">
        <v>972</v>
      </c>
      <c r="C344" s="1648" t="s">
        <v>2075</v>
      </c>
      <c r="D344" s="1654" t="s">
        <v>154</v>
      </c>
      <c r="E344" s="1654" t="s">
        <v>788</v>
      </c>
      <c r="F344" s="1647" t="s">
        <v>5098</v>
      </c>
      <c r="G344" s="1647">
        <v>105</v>
      </c>
      <c r="H344" s="1663" t="s">
        <v>1861</v>
      </c>
      <c r="I344" s="1649" t="s">
        <v>968</v>
      </c>
      <c r="J344" s="1664" t="s">
        <v>5129</v>
      </c>
      <c r="K344" s="1665">
        <v>3.9004629629629632E-3</v>
      </c>
      <c r="L344" s="1654" t="s">
        <v>5130</v>
      </c>
      <c r="M344" s="1652">
        <v>44547</v>
      </c>
    </row>
    <row r="345" spans="1:13" s="1353" customFormat="1" ht="14.4">
      <c r="A345" s="1647">
        <v>338</v>
      </c>
      <c r="B345" s="1648" t="s">
        <v>972</v>
      </c>
      <c r="C345" s="1648" t="s">
        <v>2075</v>
      </c>
      <c r="D345" s="1654" t="s">
        <v>154</v>
      </c>
      <c r="E345" s="1654" t="s">
        <v>788</v>
      </c>
      <c r="F345" s="1647" t="s">
        <v>5098</v>
      </c>
      <c r="G345" s="1647">
        <v>105</v>
      </c>
      <c r="H345" s="1663" t="s">
        <v>1861</v>
      </c>
      <c r="I345" s="1649" t="s">
        <v>985</v>
      </c>
      <c r="J345" s="1664" t="s">
        <v>5131</v>
      </c>
      <c r="K345" s="1665">
        <v>2.8356481481481479E-3</v>
      </c>
      <c r="L345" s="1654" t="s">
        <v>5130</v>
      </c>
      <c r="M345" s="1652">
        <v>44547</v>
      </c>
    </row>
    <row r="346" spans="1:13" s="1353" customFormat="1" ht="14.4">
      <c r="A346" s="1647">
        <v>339</v>
      </c>
      <c r="B346" s="1648" t="s">
        <v>972</v>
      </c>
      <c r="C346" s="1648" t="s">
        <v>2075</v>
      </c>
      <c r="D346" s="1654" t="s">
        <v>154</v>
      </c>
      <c r="E346" s="1654" t="s">
        <v>788</v>
      </c>
      <c r="F346" s="1647" t="s">
        <v>5098</v>
      </c>
      <c r="G346" s="1647">
        <v>105</v>
      </c>
      <c r="H346" s="1663" t="s">
        <v>1861</v>
      </c>
      <c r="I346" s="1649" t="s">
        <v>958</v>
      </c>
      <c r="J346" s="1664" t="s">
        <v>5132</v>
      </c>
      <c r="K346" s="1665">
        <v>2.2800925925925927E-3</v>
      </c>
      <c r="L346" s="1654" t="s">
        <v>5130</v>
      </c>
      <c r="M346" s="1652">
        <v>44547</v>
      </c>
    </row>
    <row r="347" spans="1:13" s="1353" customFormat="1" ht="14.4">
      <c r="A347" s="1647">
        <v>340</v>
      </c>
      <c r="B347" s="1648" t="s">
        <v>972</v>
      </c>
      <c r="C347" s="1648" t="s">
        <v>2075</v>
      </c>
      <c r="D347" s="1654" t="s">
        <v>154</v>
      </c>
      <c r="E347" s="1654" t="s">
        <v>788</v>
      </c>
      <c r="F347" s="1647" t="s">
        <v>5098</v>
      </c>
      <c r="G347" s="1647">
        <v>105</v>
      </c>
      <c r="H347" s="1663" t="s">
        <v>1861</v>
      </c>
      <c r="I347" s="1649" t="s">
        <v>970</v>
      </c>
      <c r="J347" s="1664" t="s">
        <v>5133</v>
      </c>
      <c r="K347" s="1665">
        <v>1.689814814814815E-3</v>
      </c>
      <c r="L347" s="1654" t="s">
        <v>5130</v>
      </c>
      <c r="M347" s="1652">
        <v>44547</v>
      </c>
    </row>
    <row r="348" spans="1:13" s="1353" customFormat="1" ht="14.4">
      <c r="A348" s="1647">
        <v>341</v>
      </c>
      <c r="B348" s="1648" t="s">
        <v>990</v>
      </c>
      <c r="C348" s="1648" t="s">
        <v>2507</v>
      </c>
      <c r="D348" s="1654" t="s">
        <v>154</v>
      </c>
      <c r="E348" s="1654" t="s">
        <v>788</v>
      </c>
      <c r="F348" s="1647" t="s">
        <v>5098</v>
      </c>
      <c r="G348" s="1647">
        <v>85</v>
      </c>
      <c r="H348" s="1663" t="s">
        <v>1857</v>
      </c>
      <c r="I348" s="1647" t="s">
        <v>968</v>
      </c>
      <c r="J348" s="1666" t="s">
        <v>5134</v>
      </c>
      <c r="K348" s="1665">
        <v>1.3391203703703704E-2</v>
      </c>
      <c r="L348" s="1654" t="s">
        <v>5130</v>
      </c>
      <c r="M348" s="1652">
        <v>44547</v>
      </c>
    </row>
    <row r="349" spans="1:13" s="1353" customFormat="1" ht="14.4">
      <c r="A349" s="1647">
        <v>342</v>
      </c>
      <c r="B349" s="1648" t="s">
        <v>990</v>
      </c>
      <c r="C349" s="1648" t="s">
        <v>2507</v>
      </c>
      <c r="D349" s="1654" t="s">
        <v>154</v>
      </c>
      <c r="E349" s="1654" t="s">
        <v>788</v>
      </c>
      <c r="F349" s="1647" t="s">
        <v>5098</v>
      </c>
      <c r="G349" s="1647">
        <v>85</v>
      </c>
      <c r="H349" s="1647" t="s">
        <v>1857</v>
      </c>
      <c r="I349" s="1647" t="s">
        <v>980</v>
      </c>
      <c r="J349" s="1667" t="s">
        <v>5134</v>
      </c>
      <c r="K349" s="1665">
        <v>1.3391203703703704E-2</v>
      </c>
      <c r="L349" s="1654" t="s">
        <v>5130</v>
      </c>
      <c r="M349" s="1652">
        <v>44547</v>
      </c>
    </row>
    <row r="350" spans="1:13" s="1353" customFormat="1" ht="14.4">
      <c r="A350" s="1647">
        <v>343</v>
      </c>
      <c r="B350" s="1648" t="s">
        <v>990</v>
      </c>
      <c r="C350" s="1648" t="s">
        <v>2507</v>
      </c>
      <c r="D350" s="1654" t="s">
        <v>154</v>
      </c>
      <c r="E350" s="1654" t="s">
        <v>788</v>
      </c>
      <c r="F350" s="1647" t="s">
        <v>5098</v>
      </c>
      <c r="G350" s="1647">
        <v>85</v>
      </c>
      <c r="H350" s="1647" t="s">
        <v>1857</v>
      </c>
      <c r="I350" s="1647" t="s">
        <v>985</v>
      </c>
      <c r="J350" s="1667" t="s">
        <v>5134</v>
      </c>
      <c r="K350" s="1665">
        <v>1.3391203703703704E-2</v>
      </c>
      <c r="L350" s="1654" t="s">
        <v>5130</v>
      </c>
      <c r="M350" s="1652">
        <v>44547</v>
      </c>
    </row>
    <row r="351" spans="1:13" s="1353" customFormat="1" ht="14.4">
      <c r="A351" s="1647">
        <v>344</v>
      </c>
      <c r="B351" s="1648" t="s">
        <v>990</v>
      </c>
      <c r="C351" s="1648" t="s">
        <v>2507</v>
      </c>
      <c r="D351" s="1654" t="s">
        <v>154</v>
      </c>
      <c r="E351" s="1654" t="s">
        <v>788</v>
      </c>
      <c r="F351" s="1647" t="s">
        <v>5098</v>
      </c>
      <c r="G351" s="1647">
        <v>85</v>
      </c>
      <c r="H351" s="1647" t="s">
        <v>1857</v>
      </c>
      <c r="I351" s="1647" t="s">
        <v>958</v>
      </c>
      <c r="J351" s="1667" t="s">
        <v>5134</v>
      </c>
      <c r="K351" s="1665">
        <v>1.3391203703703704E-2</v>
      </c>
      <c r="L351" s="1654" t="s">
        <v>5130</v>
      </c>
      <c r="M351" s="1652">
        <v>44547</v>
      </c>
    </row>
    <row r="352" spans="1:13" s="1353" customFormat="1" ht="14.4">
      <c r="A352" s="1647">
        <v>345</v>
      </c>
      <c r="B352" s="1648" t="s">
        <v>990</v>
      </c>
      <c r="C352" s="1648" t="s">
        <v>2507</v>
      </c>
      <c r="D352" s="1654" t="s">
        <v>154</v>
      </c>
      <c r="E352" s="1654" t="s">
        <v>788</v>
      </c>
      <c r="F352" s="1647" t="s">
        <v>5098</v>
      </c>
      <c r="G352" s="1647">
        <v>85</v>
      </c>
      <c r="H352" s="1647" t="s">
        <v>1857</v>
      </c>
      <c r="I352" s="1647" t="s">
        <v>970</v>
      </c>
      <c r="J352" s="1667" t="s">
        <v>5134</v>
      </c>
      <c r="K352" s="1665">
        <v>1.3391203703703704E-2</v>
      </c>
      <c r="L352" s="1654" t="s">
        <v>5130</v>
      </c>
      <c r="M352" s="1652">
        <v>44547</v>
      </c>
    </row>
    <row r="353" spans="1:13" s="1353" customFormat="1" ht="14.4">
      <c r="A353" s="1647">
        <v>346</v>
      </c>
      <c r="B353" s="1648" t="s">
        <v>990</v>
      </c>
      <c r="C353" s="1648" t="s">
        <v>2507</v>
      </c>
      <c r="D353" s="1654" t="s">
        <v>154</v>
      </c>
      <c r="E353" s="1654" t="s">
        <v>788</v>
      </c>
      <c r="F353" s="1647" t="s">
        <v>5098</v>
      </c>
      <c r="G353" s="1647">
        <v>90</v>
      </c>
      <c r="H353" s="1663" t="s">
        <v>1858</v>
      </c>
      <c r="I353" s="1647" t="s">
        <v>968</v>
      </c>
      <c r="J353" s="1666" t="s">
        <v>5135</v>
      </c>
      <c r="K353" s="1665">
        <v>1.1793981481481482E-2</v>
      </c>
      <c r="L353" s="1654" t="s">
        <v>5130</v>
      </c>
      <c r="M353" s="1652">
        <v>44547</v>
      </c>
    </row>
    <row r="354" spans="1:13" s="1353" customFormat="1" ht="14.4">
      <c r="A354" s="1647">
        <v>347</v>
      </c>
      <c r="B354" s="1648" t="s">
        <v>990</v>
      </c>
      <c r="C354" s="1648" t="s">
        <v>2507</v>
      </c>
      <c r="D354" s="1654" t="s">
        <v>154</v>
      </c>
      <c r="E354" s="1654" t="s">
        <v>788</v>
      </c>
      <c r="F354" s="1647" t="s">
        <v>5098</v>
      </c>
      <c r="G354" s="1647">
        <v>90</v>
      </c>
      <c r="H354" s="1663" t="s">
        <v>1858</v>
      </c>
      <c r="I354" s="1647" t="s">
        <v>980</v>
      </c>
      <c r="J354" s="1666" t="s">
        <v>5135</v>
      </c>
      <c r="K354" s="1665">
        <v>1.1793981481481482E-2</v>
      </c>
      <c r="L354" s="1654" t="s">
        <v>5130</v>
      </c>
      <c r="M354" s="1652">
        <v>44547</v>
      </c>
    </row>
    <row r="355" spans="1:13" s="1353" customFormat="1" ht="14.4">
      <c r="A355" s="1647">
        <v>348</v>
      </c>
      <c r="B355" s="1648" t="s">
        <v>990</v>
      </c>
      <c r="C355" s="1648" t="s">
        <v>2507</v>
      </c>
      <c r="D355" s="1654" t="s">
        <v>154</v>
      </c>
      <c r="E355" s="1654" t="s">
        <v>788</v>
      </c>
      <c r="F355" s="1647" t="s">
        <v>5098</v>
      </c>
      <c r="G355" s="1647">
        <v>90</v>
      </c>
      <c r="H355" s="1663" t="s">
        <v>1858</v>
      </c>
      <c r="I355" s="1647" t="s">
        <v>985</v>
      </c>
      <c r="J355" s="1666" t="s">
        <v>5135</v>
      </c>
      <c r="K355" s="1665">
        <v>1.1793981481481482E-2</v>
      </c>
      <c r="L355" s="1654" t="s">
        <v>5130</v>
      </c>
      <c r="M355" s="1652">
        <v>44547</v>
      </c>
    </row>
    <row r="356" spans="1:13" s="1353" customFormat="1" ht="14.4">
      <c r="A356" s="1647">
        <v>349</v>
      </c>
      <c r="B356" s="1648" t="s">
        <v>990</v>
      </c>
      <c r="C356" s="1648" t="s">
        <v>2507</v>
      </c>
      <c r="D356" s="1654" t="s">
        <v>154</v>
      </c>
      <c r="E356" s="1654" t="s">
        <v>788</v>
      </c>
      <c r="F356" s="1647" t="s">
        <v>5098</v>
      </c>
      <c r="G356" s="1647">
        <v>90</v>
      </c>
      <c r="H356" s="1663" t="s">
        <v>1858</v>
      </c>
      <c r="I356" s="1647" t="s">
        <v>958</v>
      </c>
      <c r="J356" s="1666" t="s">
        <v>5135</v>
      </c>
      <c r="K356" s="1665">
        <v>1.1793981481481482E-2</v>
      </c>
      <c r="L356" s="1654" t="s">
        <v>5130</v>
      </c>
      <c r="M356" s="1652">
        <v>44547</v>
      </c>
    </row>
    <row r="357" spans="1:13" s="1353" customFormat="1" ht="14.4">
      <c r="A357" s="1647">
        <v>350</v>
      </c>
      <c r="B357" s="1653" t="s">
        <v>990</v>
      </c>
      <c r="C357" s="1648" t="s">
        <v>2507</v>
      </c>
      <c r="D357" s="1654" t="s">
        <v>154</v>
      </c>
      <c r="E357" s="1654" t="s">
        <v>788</v>
      </c>
      <c r="F357" s="1647" t="s">
        <v>5098</v>
      </c>
      <c r="G357" s="1647">
        <v>90</v>
      </c>
      <c r="H357" s="1663" t="s">
        <v>1858</v>
      </c>
      <c r="I357" s="1647" t="s">
        <v>970</v>
      </c>
      <c r="J357" s="1666" t="s">
        <v>5135</v>
      </c>
      <c r="K357" s="1665">
        <v>1.1793981481481482E-2</v>
      </c>
      <c r="L357" s="1654" t="s">
        <v>5130</v>
      </c>
      <c r="M357" s="1652">
        <v>44547</v>
      </c>
    </row>
    <row r="358" spans="1:13" s="1353" customFormat="1" ht="14.4">
      <c r="A358" s="1647">
        <v>351</v>
      </c>
      <c r="B358" s="1653" t="s">
        <v>990</v>
      </c>
      <c r="C358" s="1648" t="s">
        <v>2507</v>
      </c>
      <c r="D358" s="1654" t="s">
        <v>154</v>
      </c>
      <c r="E358" s="1654" t="s">
        <v>788</v>
      </c>
      <c r="F358" s="1647" t="s">
        <v>5098</v>
      </c>
      <c r="G358" s="1647">
        <v>105</v>
      </c>
      <c r="H358" s="1663" t="s">
        <v>1861</v>
      </c>
      <c r="I358" s="1647" t="s">
        <v>968</v>
      </c>
      <c r="J358" s="1666" t="s">
        <v>5136</v>
      </c>
      <c r="K358" s="1665">
        <v>1.8287037037037037E-3</v>
      </c>
      <c r="L358" s="1654" t="s">
        <v>5130</v>
      </c>
      <c r="M358" s="1652">
        <v>44547</v>
      </c>
    </row>
    <row r="359" spans="1:13" s="1353" customFormat="1" ht="14.4">
      <c r="A359" s="1647">
        <v>352</v>
      </c>
      <c r="B359" s="1653" t="s">
        <v>990</v>
      </c>
      <c r="C359" s="1648" t="s">
        <v>2507</v>
      </c>
      <c r="D359" s="1654" t="s">
        <v>154</v>
      </c>
      <c r="E359" s="1654" t="s">
        <v>788</v>
      </c>
      <c r="F359" s="1647" t="s">
        <v>5098</v>
      </c>
      <c r="G359" s="1647">
        <v>105</v>
      </c>
      <c r="H359" s="1663" t="s">
        <v>1861</v>
      </c>
      <c r="I359" s="1647" t="s">
        <v>980</v>
      </c>
      <c r="J359" s="1666" t="s">
        <v>5137</v>
      </c>
      <c r="K359" s="1665">
        <v>1.689814814814815E-3</v>
      </c>
      <c r="L359" s="1654" t="s">
        <v>5130</v>
      </c>
      <c r="M359" s="1652">
        <v>44547</v>
      </c>
    </row>
    <row r="360" spans="1:13" s="1353" customFormat="1" ht="14.4">
      <c r="A360" s="1647">
        <v>353</v>
      </c>
      <c r="B360" s="1653" t="s">
        <v>990</v>
      </c>
      <c r="C360" s="1648" t="s">
        <v>2507</v>
      </c>
      <c r="D360" s="1654" t="s">
        <v>154</v>
      </c>
      <c r="E360" s="1654" t="s">
        <v>788</v>
      </c>
      <c r="F360" s="1647" t="s">
        <v>5098</v>
      </c>
      <c r="G360" s="1647">
        <v>105</v>
      </c>
      <c r="H360" s="1663" t="s">
        <v>1861</v>
      </c>
      <c r="I360" s="1647" t="s">
        <v>985</v>
      </c>
      <c r="J360" s="1666" t="s">
        <v>5138</v>
      </c>
      <c r="K360" s="1665">
        <v>1.5624999999999999E-3</v>
      </c>
      <c r="L360" s="1654" t="s">
        <v>5130</v>
      </c>
      <c r="M360" s="1652">
        <v>44547</v>
      </c>
    </row>
    <row r="361" spans="1:13" s="1353" customFormat="1" ht="14.4">
      <c r="A361" s="1647">
        <v>354</v>
      </c>
      <c r="B361" s="1653" t="s">
        <v>990</v>
      </c>
      <c r="C361" s="1648" t="s">
        <v>2507</v>
      </c>
      <c r="D361" s="1654" t="s">
        <v>154</v>
      </c>
      <c r="E361" s="1654" t="s">
        <v>788</v>
      </c>
      <c r="F361" s="1647" t="s">
        <v>5098</v>
      </c>
      <c r="G361" s="1647">
        <v>105</v>
      </c>
      <c r="H361" s="1663" t="s">
        <v>1861</v>
      </c>
      <c r="I361" s="1647" t="s">
        <v>958</v>
      </c>
      <c r="J361" s="1668" t="s">
        <v>5139</v>
      </c>
      <c r="K361" s="1665">
        <v>1.4351851851851854E-3</v>
      </c>
      <c r="L361" s="1654" t="s">
        <v>5130</v>
      </c>
      <c r="M361" s="1652">
        <v>44547</v>
      </c>
    </row>
    <row r="362" spans="1:13" s="1353" customFormat="1" ht="14.4">
      <c r="A362" s="1647">
        <v>355</v>
      </c>
      <c r="B362" s="1648" t="s">
        <v>1029</v>
      </c>
      <c r="C362" s="1648" t="s">
        <v>2838</v>
      </c>
      <c r="D362" s="1654" t="s">
        <v>154</v>
      </c>
      <c r="E362" s="1654" t="s">
        <v>788</v>
      </c>
      <c r="F362" s="1647" t="s">
        <v>5098</v>
      </c>
      <c r="G362" s="1647">
        <v>85</v>
      </c>
      <c r="H362" s="1663" t="s">
        <v>1857</v>
      </c>
      <c r="I362" s="1647" t="s">
        <v>968</v>
      </c>
      <c r="J362" s="1666" t="s">
        <v>5134</v>
      </c>
      <c r="K362" s="1665">
        <v>1.3391203703703704E-2</v>
      </c>
      <c r="L362" s="1654" t="s">
        <v>5130</v>
      </c>
      <c r="M362" s="1652">
        <v>44547</v>
      </c>
    </row>
    <row r="363" spans="1:13" s="1353" customFormat="1" ht="14.4">
      <c r="A363" s="1647">
        <v>356</v>
      </c>
      <c r="B363" s="1648" t="s">
        <v>1029</v>
      </c>
      <c r="C363" s="1648" t="s">
        <v>2838</v>
      </c>
      <c r="D363" s="1654" t="s">
        <v>154</v>
      </c>
      <c r="E363" s="1654" t="s">
        <v>788</v>
      </c>
      <c r="F363" s="1647" t="s">
        <v>5098</v>
      </c>
      <c r="G363" s="1647">
        <v>85</v>
      </c>
      <c r="H363" s="1647" t="s">
        <v>1857</v>
      </c>
      <c r="I363" s="1647" t="s">
        <v>980</v>
      </c>
      <c r="J363" s="1667" t="s">
        <v>5134</v>
      </c>
      <c r="K363" s="1665">
        <v>1.3391203703703704E-2</v>
      </c>
      <c r="L363" s="1654" t="s">
        <v>5130</v>
      </c>
      <c r="M363" s="1652">
        <v>44547</v>
      </c>
    </row>
    <row r="364" spans="1:13" s="1353" customFormat="1" ht="14.4">
      <c r="A364" s="1647">
        <v>357</v>
      </c>
      <c r="B364" s="1648" t="s">
        <v>1029</v>
      </c>
      <c r="C364" s="1648" t="s">
        <v>2838</v>
      </c>
      <c r="D364" s="1654" t="s">
        <v>154</v>
      </c>
      <c r="E364" s="1654" t="s">
        <v>788</v>
      </c>
      <c r="F364" s="1647" t="s">
        <v>5098</v>
      </c>
      <c r="G364" s="1647">
        <v>85</v>
      </c>
      <c r="H364" s="1647" t="s">
        <v>1857</v>
      </c>
      <c r="I364" s="1647" t="s">
        <v>985</v>
      </c>
      <c r="J364" s="1667" t="s">
        <v>5134</v>
      </c>
      <c r="K364" s="1665">
        <v>1.3391203703703704E-2</v>
      </c>
      <c r="L364" s="1654" t="s">
        <v>5130</v>
      </c>
      <c r="M364" s="1652">
        <v>44547</v>
      </c>
    </row>
    <row r="365" spans="1:13" s="1353" customFormat="1" ht="14.4">
      <c r="A365" s="1647">
        <v>358</v>
      </c>
      <c r="B365" s="1648" t="s">
        <v>1029</v>
      </c>
      <c r="C365" s="1648" t="s">
        <v>2838</v>
      </c>
      <c r="D365" s="1654" t="s">
        <v>154</v>
      </c>
      <c r="E365" s="1654" t="s">
        <v>788</v>
      </c>
      <c r="F365" s="1647" t="s">
        <v>5098</v>
      </c>
      <c r="G365" s="1647">
        <v>85</v>
      </c>
      <c r="H365" s="1647" t="s">
        <v>1857</v>
      </c>
      <c r="I365" s="1647" t="s">
        <v>958</v>
      </c>
      <c r="J365" s="1667" t="s">
        <v>5134</v>
      </c>
      <c r="K365" s="1665">
        <v>1.3391203703703704E-2</v>
      </c>
      <c r="L365" s="1654" t="s">
        <v>5130</v>
      </c>
      <c r="M365" s="1652">
        <v>44547</v>
      </c>
    </row>
    <row r="366" spans="1:13" s="1353" customFormat="1" ht="14.4">
      <c r="A366" s="1647">
        <v>359</v>
      </c>
      <c r="B366" s="1648" t="s">
        <v>1029</v>
      </c>
      <c r="C366" s="1648" t="s">
        <v>2838</v>
      </c>
      <c r="D366" s="1654" t="s">
        <v>154</v>
      </c>
      <c r="E366" s="1654" t="s">
        <v>788</v>
      </c>
      <c r="F366" s="1647" t="s">
        <v>5098</v>
      </c>
      <c r="G366" s="1647">
        <v>85</v>
      </c>
      <c r="H366" s="1647" t="s">
        <v>1857</v>
      </c>
      <c r="I366" s="1647" t="s">
        <v>970</v>
      </c>
      <c r="J366" s="1667" t="s">
        <v>5134</v>
      </c>
      <c r="K366" s="1665">
        <v>1.3391203703703704E-2</v>
      </c>
      <c r="L366" s="1654" t="s">
        <v>5130</v>
      </c>
      <c r="M366" s="1652">
        <v>44547</v>
      </c>
    </row>
    <row r="367" spans="1:13" s="1353" customFormat="1" ht="14.4">
      <c r="A367" s="1647">
        <v>360</v>
      </c>
      <c r="B367" s="1648" t="s">
        <v>1029</v>
      </c>
      <c r="C367" s="1648" t="s">
        <v>2838</v>
      </c>
      <c r="D367" s="1654" t="s">
        <v>154</v>
      </c>
      <c r="E367" s="1654" t="s">
        <v>788</v>
      </c>
      <c r="F367" s="1647" t="s">
        <v>5098</v>
      </c>
      <c r="G367" s="1647">
        <v>90</v>
      </c>
      <c r="H367" s="1663" t="s">
        <v>1858</v>
      </c>
      <c r="I367" s="1647" t="s">
        <v>968</v>
      </c>
      <c r="J367" s="1666" t="s">
        <v>5135</v>
      </c>
      <c r="K367" s="1665">
        <v>1.1793981481481482E-2</v>
      </c>
      <c r="L367" s="1654" t="s">
        <v>5130</v>
      </c>
      <c r="M367" s="1652">
        <v>44547</v>
      </c>
    </row>
    <row r="368" spans="1:13" s="1353" customFormat="1" ht="14.4">
      <c r="A368" s="1647">
        <v>361</v>
      </c>
      <c r="B368" s="1648" t="s">
        <v>1029</v>
      </c>
      <c r="C368" s="1648" t="s">
        <v>2838</v>
      </c>
      <c r="D368" s="1654" t="s">
        <v>154</v>
      </c>
      <c r="E368" s="1654" t="s">
        <v>788</v>
      </c>
      <c r="F368" s="1647" t="s">
        <v>5098</v>
      </c>
      <c r="G368" s="1647">
        <v>90</v>
      </c>
      <c r="H368" s="1663" t="s">
        <v>1858</v>
      </c>
      <c r="I368" s="1647" t="s">
        <v>980</v>
      </c>
      <c r="J368" s="1666" t="s">
        <v>5135</v>
      </c>
      <c r="K368" s="1665">
        <v>1.1793981481481482E-2</v>
      </c>
      <c r="L368" s="1654" t="s">
        <v>5130</v>
      </c>
      <c r="M368" s="1652">
        <v>44547</v>
      </c>
    </row>
    <row r="369" spans="1:13" s="1353" customFormat="1" ht="14.4">
      <c r="A369" s="1647">
        <v>362</v>
      </c>
      <c r="B369" s="1648" t="s">
        <v>1029</v>
      </c>
      <c r="C369" s="1648" t="s">
        <v>2838</v>
      </c>
      <c r="D369" s="1654" t="s">
        <v>154</v>
      </c>
      <c r="E369" s="1654" t="s">
        <v>788</v>
      </c>
      <c r="F369" s="1647" t="s">
        <v>5098</v>
      </c>
      <c r="G369" s="1647">
        <v>90</v>
      </c>
      <c r="H369" s="1663" t="s">
        <v>1858</v>
      </c>
      <c r="I369" s="1647" t="s">
        <v>985</v>
      </c>
      <c r="J369" s="1666" t="s">
        <v>5135</v>
      </c>
      <c r="K369" s="1665">
        <v>1.1793981481481482E-2</v>
      </c>
      <c r="L369" s="1654" t="s">
        <v>5130</v>
      </c>
      <c r="M369" s="1652">
        <v>44547</v>
      </c>
    </row>
    <row r="370" spans="1:13" s="1353" customFormat="1" ht="14.4">
      <c r="A370" s="1647">
        <v>363</v>
      </c>
      <c r="B370" s="1648" t="s">
        <v>1029</v>
      </c>
      <c r="C370" s="1648" t="s">
        <v>2838</v>
      </c>
      <c r="D370" s="1654" t="s">
        <v>154</v>
      </c>
      <c r="E370" s="1654" t="s">
        <v>788</v>
      </c>
      <c r="F370" s="1647" t="s">
        <v>5098</v>
      </c>
      <c r="G370" s="1647">
        <v>90</v>
      </c>
      <c r="H370" s="1663" t="s">
        <v>1858</v>
      </c>
      <c r="I370" s="1647" t="s">
        <v>958</v>
      </c>
      <c r="J370" s="1666" t="s">
        <v>5135</v>
      </c>
      <c r="K370" s="1665">
        <v>1.1793981481481482E-2</v>
      </c>
      <c r="L370" s="1654" t="s">
        <v>5130</v>
      </c>
      <c r="M370" s="1652">
        <v>44547</v>
      </c>
    </row>
    <row r="371" spans="1:13" s="1353" customFormat="1" ht="14.4">
      <c r="A371" s="1647">
        <v>364</v>
      </c>
      <c r="B371" s="1648" t="s">
        <v>1029</v>
      </c>
      <c r="C371" s="1648" t="s">
        <v>2838</v>
      </c>
      <c r="D371" s="1654" t="s">
        <v>154</v>
      </c>
      <c r="E371" s="1654" t="s">
        <v>788</v>
      </c>
      <c r="F371" s="1647" t="s">
        <v>5098</v>
      </c>
      <c r="G371" s="1647">
        <v>90</v>
      </c>
      <c r="H371" s="1663" t="s">
        <v>1858</v>
      </c>
      <c r="I371" s="1647" t="s">
        <v>970</v>
      </c>
      <c r="J371" s="1666" t="s">
        <v>5135</v>
      </c>
      <c r="K371" s="1665">
        <v>1.1793981481481482E-2</v>
      </c>
      <c r="L371" s="1654" t="s">
        <v>5130</v>
      </c>
      <c r="M371" s="1652">
        <v>44547</v>
      </c>
    </row>
    <row r="372" spans="1:13" s="1353" customFormat="1" ht="14.4">
      <c r="A372" s="1647">
        <v>365</v>
      </c>
      <c r="B372" s="1648" t="s">
        <v>1029</v>
      </c>
      <c r="C372" s="1648" t="s">
        <v>2838</v>
      </c>
      <c r="D372" s="1654" t="s">
        <v>154</v>
      </c>
      <c r="E372" s="1654" t="s">
        <v>788</v>
      </c>
      <c r="F372" s="1647" t="s">
        <v>5098</v>
      </c>
      <c r="G372" s="1647">
        <v>105</v>
      </c>
      <c r="H372" s="1663" t="s">
        <v>1861</v>
      </c>
      <c r="I372" s="1647" t="s">
        <v>968</v>
      </c>
      <c r="J372" s="1666" t="s">
        <v>5140</v>
      </c>
      <c r="K372" s="1665">
        <v>9.2592592592592585E-4</v>
      </c>
      <c r="L372" s="1654" t="s">
        <v>5130</v>
      </c>
      <c r="M372" s="1652">
        <v>44547</v>
      </c>
    </row>
    <row r="373" spans="1:13" s="1353" customFormat="1" ht="14.4">
      <c r="A373" s="1647">
        <v>366</v>
      </c>
      <c r="B373" s="1648" t="s">
        <v>1029</v>
      </c>
      <c r="C373" s="1648" t="s">
        <v>2838</v>
      </c>
      <c r="D373" s="1654" t="s">
        <v>154</v>
      </c>
      <c r="E373" s="1654" t="s">
        <v>788</v>
      </c>
      <c r="F373" s="1647" t="s">
        <v>5098</v>
      </c>
      <c r="G373" s="1647">
        <v>105</v>
      </c>
      <c r="H373" s="1663" t="s">
        <v>1861</v>
      </c>
      <c r="I373" s="1647" t="s">
        <v>980</v>
      </c>
      <c r="J373" s="1666" t="s">
        <v>5141</v>
      </c>
      <c r="K373" s="1665">
        <v>8.7962962962962962E-4</v>
      </c>
      <c r="L373" s="1654" t="s">
        <v>5130</v>
      </c>
      <c r="M373" s="1652">
        <v>44547</v>
      </c>
    </row>
    <row r="374" spans="1:13" s="1353" customFormat="1" ht="14.4">
      <c r="A374" s="1647">
        <v>367</v>
      </c>
      <c r="B374" s="1648" t="s">
        <v>1029</v>
      </c>
      <c r="C374" s="1648" t="s">
        <v>2838</v>
      </c>
      <c r="D374" s="1654" t="s">
        <v>154</v>
      </c>
      <c r="E374" s="1654" t="s">
        <v>788</v>
      </c>
      <c r="F374" s="1647" t="s">
        <v>5098</v>
      </c>
      <c r="G374" s="1647">
        <v>105</v>
      </c>
      <c r="H374" s="1663" t="s">
        <v>1861</v>
      </c>
      <c r="I374" s="1647" t="s">
        <v>985</v>
      </c>
      <c r="J374" s="1666" t="s">
        <v>5142</v>
      </c>
      <c r="K374" s="1665">
        <v>8.2175925925925917E-4</v>
      </c>
      <c r="L374" s="1654" t="s">
        <v>5130</v>
      </c>
      <c r="M374" s="1652">
        <v>44547</v>
      </c>
    </row>
    <row r="375" spans="1:13" s="1353" customFormat="1" ht="14.4">
      <c r="A375" s="1647">
        <v>368</v>
      </c>
      <c r="B375" s="1648" t="s">
        <v>1029</v>
      </c>
      <c r="C375" s="1648" t="s">
        <v>2838</v>
      </c>
      <c r="D375" s="1654" t="s">
        <v>154</v>
      </c>
      <c r="E375" s="1654" t="s">
        <v>788</v>
      </c>
      <c r="F375" s="1647" t="s">
        <v>5098</v>
      </c>
      <c r="G375" s="1647">
        <v>105</v>
      </c>
      <c r="H375" s="1663" t="s">
        <v>1861</v>
      </c>
      <c r="I375" s="1647" t="s">
        <v>958</v>
      </c>
      <c r="J375" s="1668" t="s">
        <v>5143</v>
      </c>
      <c r="K375" s="1665">
        <v>7.7546296296296304E-4</v>
      </c>
      <c r="L375" s="1654" t="s">
        <v>5130</v>
      </c>
      <c r="M375" s="1652">
        <v>44547</v>
      </c>
    </row>
    <row r="376" spans="1:13" s="1353" customFormat="1" ht="14.4">
      <c r="A376" s="1647">
        <v>369</v>
      </c>
      <c r="B376" s="1648" t="s">
        <v>1012</v>
      </c>
      <c r="C376" s="1648" t="s">
        <v>4490</v>
      </c>
      <c r="D376" s="1654" t="s">
        <v>154</v>
      </c>
      <c r="E376" s="1654" t="s">
        <v>788</v>
      </c>
      <c r="F376" s="1647" t="s">
        <v>5098</v>
      </c>
      <c r="G376" s="1647">
        <v>85</v>
      </c>
      <c r="H376" s="1663" t="s">
        <v>1857</v>
      </c>
      <c r="I376" s="1647" t="s">
        <v>968</v>
      </c>
      <c r="J376" s="1666" t="s">
        <v>5134</v>
      </c>
      <c r="K376" s="1665">
        <v>1.3391203703703704E-2</v>
      </c>
      <c r="L376" s="1654" t="s">
        <v>5130</v>
      </c>
      <c r="M376" s="1652">
        <v>44547</v>
      </c>
    </row>
    <row r="377" spans="1:13" s="1353" customFormat="1" ht="14.4">
      <c r="A377" s="1647">
        <v>370</v>
      </c>
      <c r="B377" s="1648" t="s">
        <v>1012</v>
      </c>
      <c r="C377" s="1648" t="s">
        <v>4490</v>
      </c>
      <c r="D377" s="1654" t="s">
        <v>154</v>
      </c>
      <c r="E377" s="1654" t="s">
        <v>788</v>
      </c>
      <c r="F377" s="1647" t="s">
        <v>5098</v>
      </c>
      <c r="G377" s="1647">
        <v>85</v>
      </c>
      <c r="H377" s="1647" t="s">
        <v>1857</v>
      </c>
      <c r="I377" s="1647" t="s">
        <v>980</v>
      </c>
      <c r="J377" s="1667" t="s">
        <v>5134</v>
      </c>
      <c r="K377" s="1665">
        <v>1.3391203703703704E-2</v>
      </c>
      <c r="L377" s="1654" t="s">
        <v>5130</v>
      </c>
      <c r="M377" s="1652">
        <v>44547</v>
      </c>
    </row>
    <row r="378" spans="1:13" s="1353" customFormat="1" ht="14.4">
      <c r="A378" s="1647">
        <v>371</v>
      </c>
      <c r="B378" s="1648" t="s">
        <v>1012</v>
      </c>
      <c r="C378" s="1648" t="s">
        <v>4490</v>
      </c>
      <c r="D378" s="1654" t="s">
        <v>154</v>
      </c>
      <c r="E378" s="1654" t="s">
        <v>788</v>
      </c>
      <c r="F378" s="1647" t="s">
        <v>5098</v>
      </c>
      <c r="G378" s="1647">
        <v>85</v>
      </c>
      <c r="H378" s="1647" t="s">
        <v>1857</v>
      </c>
      <c r="I378" s="1647" t="s">
        <v>985</v>
      </c>
      <c r="J378" s="1667" t="s">
        <v>5134</v>
      </c>
      <c r="K378" s="1665">
        <v>1.3391203703703704E-2</v>
      </c>
      <c r="L378" s="1654" t="s">
        <v>5130</v>
      </c>
      <c r="M378" s="1652">
        <v>44547</v>
      </c>
    </row>
    <row r="379" spans="1:13" s="1353" customFormat="1" ht="14.4">
      <c r="A379" s="1647">
        <v>372</v>
      </c>
      <c r="B379" s="1648" t="s">
        <v>1012</v>
      </c>
      <c r="C379" s="1648" t="s">
        <v>4490</v>
      </c>
      <c r="D379" s="1654" t="s">
        <v>154</v>
      </c>
      <c r="E379" s="1654" t="s">
        <v>788</v>
      </c>
      <c r="F379" s="1647" t="s">
        <v>5098</v>
      </c>
      <c r="G379" s="1647">
        <v>85</v>
      </c>
      <c r="H379" s="1647" t="s">
        <v>1857</v>
      </c>
      <c r="I379" s="1647" t="s">
        <v>958</v>
      </c>
      <c r="J379" s="1667" t="s">
        <v>5134</v>
      </c>
      <c r="K379" s="1665">
        <v>1.3391203703703704E-2</v>
      </c>
      <c r="L379" s="1654" t="s">
        <v>5130</v>
      </c>
      <c r="M379" s="1652">
        <v>44547</v>
      </c>
    </row>
    <row r="380" spans="1:13" s="1353" customFormat="1" ht="14.4">
      <c r="A380" s="1647">
        <v>373</v>
      </c>
      <c r="B380" s="1648" t="s">
        <v>1012</v>
      </c>
      <c r="C380" s="1648" t="s">
        <v>4490</v>
      </c>
      <c r="D380" s="1654" t="s">
        <v>154</v>
      </c>
      <c r="E380" s="1654" t="s">
        <v>788</v>
      </c>
      <c r="F380" s="1647" t="s">
        <v>5098</v>
      </c>
      <c r="G380" s="1647">
        <v>85</v>
      </c>
      <c r="H380" s="1647" t="s">
        <v>1857</v>
      </c>
      <c r="I380" s="1647" t="s">
        <v>970</v>
      </c>
      <c r="J380" s="1667" t="s">
        <v>5134</v>
      </c>
      <c r="K380" s="1665">
        <v>1.3391203703703704E-2</v>
      </c>
      <c r="L380" s="1654" t="s">
        <v>5130</v>
      </c>
      <c r="M380" s="1652">
        <v>44547</v>
      </c>
    </row>
    <row r="381" spans="1:13" s="1353" customFormat="1" ht="14.4">
      <c r="A381" s="1647">
        <v>374</v>
      </c>
      <c r="B381" s="1648" t="s">
        <v>1012</v>
      </c>
      <c r="C381" s="1648" t="s">
        <v>4490</v>
      </c>
      <c r="D381" s="1654" t="s">
        <v>154</v>
      </c>
      <c r="E381" s="1654" t="s">
        <v>788</v>
      </c>
      <c r="F381" s="1647" t="s">
        <v>5098</v>
      </c>
      <c r="G381" s="1647">
        <v>90</v>
      </c>
      <c r="H381" s="1663" t="s">
        <v>1858</v>
      </c>
      <c r="I381" s="1647" t="s">
        <v>968</v>
      </c>
      <c r="J381" s="1666" t="s">
        <v>5135</v>
      </c>
      <c r="K381" s="1665">
        <v>1.1793981481481482E-2</v>
      </c>
      <c r="L381" s="1654" t="s">
        <v>5130</v>
      </c>
      <c r="M381" s="1652">
        <v>44547</v>
      </c>
    </row>
    <row r="382" spans="1:13" s="1353" customFormat="1" ht="14.4">
      <c r="A382" s="1647">
        <v>375</v>
      </c>
      <c r="B382" s="1648" t="s">
        <v>1012</v>
      </c>
      <c r="C382" s="1648" t="s">
        <v>4490</v>
      </c>
      <c r="D382" s="1654" t="s">
        <v>154</v>
      </c>
      <c r="E382" s="1654" t="s">
        <v>788</v>
      </c>
      <c r="F382" s="1647" t="s">
        <v>5098</v>
      </c>
      <c r="G382" s="1647">
        <v>90</v>
      </c>
      <c r="H382" s="1663" t="s">
        <v>1858</v>
      </c>
      <c r="I382" s="1647" t="s">
        <v>980</v>
      </c>
      <c r="J382" s="1666" t="s">
        <v>5135</v>
      </c>
      <c r="K382" s="1665">
        <v>1.1793981481481482E-2</v>
      </c>
      <c r="L382" s="1654" t="s">
        <v>5130</v>
      </c>
      <c r="M382" s="1652">
        <v>44547</v>
      </c>
    </row>
    <row r="383" spans="1:13" s="1353" customFormat="1" ht="14.4">
      <c r="A383" s="1647">
        <v>376</v>
      </c>
      <c r="B383" s="1648" t="s">
        <v>1012</v>
      </c>
      <c r="C383" s="1648" t="s">
        <v>4490</v>
      </c>
      <c r="D383" s="1654" t="s">
        <v>154</v>
      </c>
      <c r="E383" s="1654" t="s">
        <v>788</v>
      </c>
      <c r="F383" s="1647" t="s">
        <v>5098</v>
      </c>
      <c r="G383" s="1647">
        <v>90</v>
      </c>
      <c r="H383" s="1663" t="s">
        <v>1858</v>
      </c>
      <c r="I383" s="1647" t="s">
        <v>985</v>
      </c>
      <c r="J383" s="1666" t="s">
        <v>5135</v>
      </c>
      <c r="K383" s="1665">
        <v>1.1793981481481482E-2</v>
      </c>
      <c r="L383" s="1654" t="s">
        <v>5130</v>
      </c>
      <c r="M383" s="1652">
        <v>44547</v>
      </c>
    </row>
    <row r="384" spans="1:13" s="1353" customFormat="1" ht="14.4">
      <c r="A384" s="1647">
        <v>377</v>
      </c>
      <c r="B384" s="1648" t="s">
        <v>1012</v>
      </c>
      <c r="C384" s="1648" t="s">
        <v>4490</v>
      </c>
      <c r="D384" s="1654" t="s">
        <v>154</v>
      </c>
      <c r="E384" s="1654" t="s">
        <v>788</v>
      </c>
      <c r="F384" s="1647" t="s">
        <v>5098</v>
      </c>
      <c r="G384" s="1647">
        <v>90</v>
      </c>
      <c r="H384" s="1663" t="s">
        <v>1858</v>
      </c>
      <c r="I384" s="1647" t="s">
        <v>958</v>
      </c>
      <c r="J384" s="1666" t="s">
        <v>5135</v>
      </c>
      <c r="K384" s="1665">
        <v>1.1793981481481482E-2</v>
      </c>
      <c r="L384" s="1654" t="s">
        <v>5130</v>
      </c>
      <c r="M384" s="1652">
        <v>44547</v>
      </c>
    </row>
    <row r="385" spans="1:13" s="1353" customFormat="1" ht="14.4">
      <c r="A385" s="1647">
        <v>378</v>
      </c>
      <c r="B385" s="1648" t="s">
        <v>1012</v>
      </c>
      <c r="C385" s="1648" t="s">
        <v>4490</v>
      </c>
      <c r="D385" s="1654" t="s">
        <v>154</v>
      </c>
      <c r="E385" s="1654" t="s">
        <v>788</v>
      </c>
      <c r="F385" s="1647" t="s">
        <v>5098</v>
      </c>
      <c r="G385" s="1647">
        <v>90</v>
      </c>
      <c r="H385" s="1663" t="s">
        <v>1858</v>
      </c>
      <c r="I385" s="1647" t="s">
        <v>970</v>
      </c>
      <c r="J385" s="1666" t="s">
        <v>5135</v>
      </c>
      <c r="K385" s="1665">
        <v>1.1793981481481482E-2</v>
      </c>
      <c r="L385" s="1654" t="s">
        <v>5130</v>
      </c>
      <c r="M385" s="1652">
        <v>44547</v>
      </c>
    </row>
    <row r="386" spans="1:13" s="1353" customFormat="1" ht="14.4">
      <c r="A386" s="1647">
        <v>379</v>
      </c>
      <c r="B386" s="1648" t="s">
        <v>1015</v>
      </c>
      <c r="C386" s="1648" t="s">
        <v>4656</v>
      </c>
      <c r="D386" s="1654" t="s">
        <v>154</v>
      </c>
      <c r="E386" s="1654" t="s">
        <v>788</v>
      </c>
      <c r="F386" s="1647" t="s">
        <v>5098</v>
      </c>
      <c r="G386" s="1647">
        <v>85</v>
      </c>
      <c r="H386" s="1663" t="s">
        <v>1857</v>
      </c>
      <c r="I386" s="1647" t="s">
        <v>968</v>
      </c>
      <c r="J386" s="1666" t="s">
        <v>5134</v>
      </c>
      <c r="K386" s="1665">
        <v>1.3391203703703704E-2</v>
      </c>
      <c r="L386" s="1654" t="s">
        <v>5130</v>
      </c>
      <c r="M386" s="1652">
        <v>44547</v>
      </c>
    </row>
    <row r="387" spans="1:13" s="1353" customFormat="1" ht="14.4">
      <c r="A387" s="1647">
        <v>380</v>
      </c>
      <c r="B387" s="1648" t="s">
        <v>1015</v>
      </c>
      <c r="C387" s="1648" t="s">
        <v>4656</v>
      </c>
      <c r="D387" s="1654" t="s">
        <v>154</v>
      </c>
      <c r="E387" s="1654" t="s">
        <v>788</v>
      </c>
      <c r="F387" s="1647" t="s">
        <v>5098</v>
      </c>
      <c r="G387" s="1647">
        <v>85</v>
      </c>
      <c r="H387" s="1647" t="s">
        <v>1857</v>
      </c>
      <c r="I387" s="1647" t="s">
        <v>980</v>
      </c>
      <c r="J387" s="1667" t="s">
        <v>5134</v>
      </c>
      <c r="K387" s="1665">
        <v>1.3391203703703704E-2</v>
      </c>
      <c r="L387" s="1654" t="s">
        <v>5130</v>
      </c>
      <c r="M387" s="1652">
        <v>44547</v>
      </c>
    </row>
    <row r="388" spans="1:13" s="1353" customFormat="1" ht="14.4">
      <c r="A388" s="1647">
        <v>381</v>
      </c>
      <c r="B388" s="1648" t="s">
        <v>1015</v>
      </c>
      <c r="C388" s="1648" t="s">
        <v>4656</v>
      </c>
      <c r="D388" s="1654" t="s">
        <v>154</v>
      </c>
      <c r="E388" s="1654" t="s">
        <v>788</v>
      </c>
      <c r="F388" s="1647" t="s">
        <v>5098</v>
      </c>
      <c r="G388" s="1647">
        <v>85</v>
      </c>
      <c r="H388" s="1647" t="s">
        <v>1857</v>
      </c>
      <c r="I388" s="1647" t="s">
        <v>985</v>
      </c>
      <c r="J388" s="1667" t="s">
        <v>5134</v>
      </c>
      <c r="K388" s="1665">
        <v>1.3391203703703704E-2</v>
      </c>
      <c r="L388" s="1654" t="s">
        <v>5130</v>
      </c>
      <c r="M388" s="1652">
        <v>44547</v>
      </c>
    </row>
    <row r="389" spans="1:13" s="1353" customFormat="1" ht="14.4">
      <c r="A389" s="1647">
        <v>382</v>
      </c>
      <c r="B389" s="1648" t="s">
        <v>1015</v>
      </c>
      <c r="C389" s="1648" t="s">
        <v>4656</v>
      </c>
      <c r="D389" s="1654" t="s">
        <v>154</v>
      </c>
      <c r="E389" s="1654" t="s">
        <v>788</v>
      </c>
      <c r="F389" s="1647" t="s">
        <v>5098</v>
      </c>
      <c r="G389" s="1647">
        <v>85</v>
      </c>
      <c r="H389" s="1647" t="s">
        <v>1857</v>
      </c>
      <c r="I389" s="1647" t="s">
        <v>958</v>
      </c>
      <c r="J389" s="1667" t="s">
        <v>5134</v>
      </c>
      <c r="K389" s="1665">
        <v>1.3391203703703704E-2</v>
      </c>
      <c r="L389" s="1654" t="s">
        <v>5130</v>
      </c>
      <c r="M389" s="1652">
        <v>44547</v>
      </c>
    </row>
    <row r="390" spans="1:13" s="1353" customFormat="1" ht="14.4">
      <c r="A390" s="1647">
        <v>383</v>
      </c>
      <c r="B390" s="1648" t="s">
        <v>1015</v>
      </c>
      <c r="C390" s="1648" t="s">
        <v>4656</v>
      </c>
      <c r="D390" s="1654" t="s">
        <v>154</v>
      </c>
      <c r="E390" s="1654" t="s">
        <v>788</v>
      </c>
      <c r="F390" s="1647" t="s">
        <v>5098</v>
      </c>
      <c r="G390" s="1647">
        <v>85</v>
      </c>
      <c r="H390" s="1647" t="s">
        <v>1857</v>
      </c>
      <c r="I390" s="1647" t="s">
        <v>970</v>
      </c>
      <c r="J390" s="1667" t="s">
        <v>5134</v>
      </c>
      <c r="K390" s="1665">
        <v>1.3391203703703704E-2</v>
      </c>
      <c r="L390" s="1654" t="s">
        <v>5130</v>
      </c>
      <c r="M390" s="1652">
        <v>44547</v>
      </c>
    </row>
    <row r="391" spans="1:13" s="1353" customFormat="1" ht="14.4">
      <c r="A391" s="1647">
        <v>384</v>
      </c>
      <c r="B391" s="1648" t="s">
        <v>1015</v>
      </c>
      <c r="C391" s="1648" t="s">
        <v>4656</v>
      </c>
      <c r="D391" s="1654" t="s">
        <v>154</v>
      </c>
      <c r="E391" s="1654" t="s">
        <v>788</v>
      </c>
      <c r="F391" s="1647" t="s">
        <v>5098</v>
      </c>
      <c r="G391" s="1647">
        <v>90</v>
      </c>
      <c r="H391" s="1663" t="s">
        <v>1858</v>
      </c>
      <c r="I391" s="1647" t="s">
        <v>968</v>
      </c>
      <c r="J391" s="1666" t="s">
        <v>5135</v>
      </c>
      <c r="K391" s="1665">
        <v>1.1793981481481482E-2</v>
      </c>
      <c r="L391" s="1654" t="s">
        <v>5130</v>
      </c>
      <c r="M391" s="1652">
        <v>44547</v>
      </c>
    </row>
    <row r="392" spans="1:13" s="1353" customFormat="1" ht="14.4">
      <c r="A392" s="1647">
        <v>385</v>
      </c>
      <c r="B392" s="1648" t="s">
        <v>1015</v>
      </c>
      <c r="C392" s="1648" t="s">
        <v>4656</v>
      </c>
      <c r="D392" s="1654" t="s">
        <v>154</v>
      </c>
      <c r="E392" s="1654" t="s">
        <v>788</v>
      </c>
      <c r="F392" s="1647" t="s">
        <v>5098</v>
      </c>
      <c r="G392" s="1647">
        <v>90</v>
      </c>
      <c r="H392" s="1663" t="s">
        <v>1858</v>
      </c>
      <c r="I392" s="1647" t="s">
        <v>980</v>
      </c>
      <c r="J392" s="1666" t="s">
        <v>5135</v>
      </c>
      <c r="K392" s="1665">
        <v>1.1793981481481482E-2</v>
      </c>
      <c r="L392" s="1654" t="s">
        <v>5130</v>
      </c>
      <c r="M392" s="1652">
        <v>44547</v>
      </c>
    </row>
    <row r="393" spans="1:13" s="1353" customFormat="1" ht="14.4">
      <c r="A393" s="1647">
        <v>386</v>
      </c>
      <c r="B393" s="1648" t="s">
        <v>1015</v>
      </c>
      <c r="C393" s="1648" t="s">
        <v>4656</v>
      </c>
      <c r="D393" s="1654" t="s">
        <v>154</v>
      </c>
      <c r="E393" s="1654" t="s">
        <v>788</v>
      </c>
      <c r="F393" s="1647" t="s">
        <v>5098</v>
      </c>
      <c r="G393" s="1647">
        <v>90</v>
      </c>
      <c r="H393" s="1663" t="s">
        <v>1858</v>
      </c>
      <c r="I393" s="1647" t="s">
        <v>985</v>
      </c>
      <c r="J393" s="1666" t="s">
        <v>5135</v>
      </c>
      <c r="K393" s="1665">
        <v>1.1793981481481482E-2</v>
      </c>
      <c r="L393" s="1654" t="s">
        <v>5130</v>
      </c>
      <c r="M393" s="1652">
        <v>44547</v>
      </c>
    </row>
    <row r="394" spans="1:13" s="1353" customFormat="1" ht="14.4">
      <c r="A394" s="1647">
        <v>387</v>
      </c>
      <c r="B394" s="1648" t="s">
        <v>1015</v>
      </c>
      <c r="C394" s="1648" t="s">
        <v>4656</v>
      </c>
      <c r="D394" s="1654" t="s">
        <v>154</v>
      </c>
      <c r="E394" s="1654" t="s">
        <v>788</v>
      </c>
      <c r="F394" s="1647" t="s">
        <v>5098</v>
      </c>
      <c r="G394" s="1647">
        <v>90</v>
      </c>
      <c r="H394" s="1663" t="s">
        <v>1858</v>
      </c>
      <c r="I394" s="1647" t="s">
        <v>958</v>
      </c>
      <c r="J394" s="1666" t="s">
        <v>5135</v>
      </c>
      <c r="K394" s="1665">
        <v>1.1793981481481482E-2</v>
      </c>
      <c r="L394" s="1654" t="s">
        <v>5130</v>
      </c>
      <c r="M394" s="1652">
        <v>44547</v>
      </c>
    </row>
    <row r="395" spans="1:13" s="1353" customFormat="1" ht="14.4">
      <c r="A395" s="1647">
        <v>388</v>
      </c>
      <c r="B395" s="1648" t="s">
        <v>1015</v>
      </c>
      <c r="C395" s="1648" t="s">
        <v>4656</v>
      </c>
      <c r="D395" s="1654" t="s">
        <v>154</v>
      </c>
      <c r="E395" s="1654" t="s">
        <v>788</v>
      </c>
      <c r="F395" s="1647" t="s">
        <v>5098</v>
      </c>
      <c r="G395" s="1647">
        <v>90</v>
      </c>
      <c r="H395" s="1663" t="s">
        <v>1858</v>
      </c>
      <c r="I395" s="1647" t="s">
        <v>970</v>
      </c>
      <c r="J395" s="1666" t="s">
        <v>5135</v>
      </c>
      <c r="K395" s="1665">
        <v>1.1793981481481482E-2</v>
      </c>
      <c r="L395" s="1654" t="s">
        <v>5130</v>
      </c>
      <c r="M395" s="1652">
        <v>44547</v>
      </c>
    </row>
    <row r="396" spans="1:13" s="1353" customFormat="1" ht="14.4">
      <c r="A396" s="1601">
        <v>389</v>
      </c>
      <c r="B396" s="1602" t="s">
        <v>990</v>
      </c>
      <c r="C396" s="1603" t="s">
        <v>2516</v>
      </c>
      <c r="D396" s="1602" t="s">
        <v>5110</v>
      </c>
      <c r="E396" s="1603" t="s">
        <v>4903</v>
      </c>
      <c r="F396" s="1601" t="s">
        <v>5098</v>
      </c>
      <c r="G396" s="1601">
        <v>105</v>
      </c>
      <c r="H396" s="1602" t="s">
        <v>1861</v>
      </c>
      <c r="I396" s="1601" t="s">
        <v>968</v>
      </c>
      <c r="J396" s="1669">
        <v>18.2</v>
      </c>
      <c r="K396" s="1669" t="s">
        <v>4797</v>
      </c>
      <c r="L396" s="1603" t="s">
        <v>5144</v>
      </c>
      <c r="M396" s="1604">
        <v>44572</v>
      </c>
    </row>
    <row r="397" spans="1:13" s="1353" customFormat="1" ht="14.4">
      <c r="A397" s="1601">
        <v>390</v>
      </c>
      <c r="B397" s="1602" t="s">
        <v>990</v>
      </c>
      <c r="C397" s="1603" t="s">
        <v>2516</v>
      </c>
      <c r="D397" s="1602" t="s">
        <v>5110</v>
      </c>
      <c r="E397" s="1603" t="s">
        <v>4903</v>
      </c>
      <c r="F397" s="1601" t="s">
        <v>5098</v>
      </c>
      <c r="G397" s="1601">
        <v>105</v>
      </c>
      <c r="H397" s="1602" t="s">
        <v>1861</v>
      </c>
      <c r="I397" s="1601" t="s">
        <v>980</v>
      </c>
      <c r="J397" s="1669">
        <v>19.3</v>
      </c>
      <c r="K397" s="1669" t="s">
        <v>4797</v>
      </c>
      <c r="L397" s="1603" t="s">
        <v>5144</v>
      </c>
      <c r="M397" s="1604">
        <v>44572</v>
      </c>
    </row>
    <row r="398" spans="1:13" s="1353" customFormat="1" ht="14.4">
      <c r="A398" s="1601">
        <v>391</v>
      </c>
      <c r="B398" s="1602" t="s">
        <v>990</v>
      </c>
      <c r="C398" s="1603" t="s">
        <v>2516</v>
      </c>
      <c r="D398" s="1602" t="s">
        <v>5110</v>
      </c>
      <c r="E398" s="1603" t="s">
        <v>4903</v>
      </c>
      <c r="F398" s="1601" t="s">
        <v>5098</v>
      </c>
      <c r="G398" s="1601">
        <v>105</v>
      </c>
      <c r="H398" s="1602" t="s">
        <v>1861</v>
      </c>
      <c r="I398" s="1601" t="s">
        <v>985</v>
      </c>
      <c r="J398" s="1669">
        <v>20.9</v>
      </c>
      <c r="K398" s="1669" t="s">
        <v>4797</v>
      </c>
      <c r="L398" s="1603" t="s">
        <v>5144</v>
      </c>
      <c r="M398" s="1604">
        <v>44572</v>
      </c>
    </row>
    <row r="399" spans="1:13" s="1353" customFormat="1" ht="14.4">
      <c r="A399" s="1601">
        <v>392</v>
      </c>
      <c r="B399" s="1602" t="s">
        <v>990</v>
      </c>
      <c r="C399" s="1603" t="s">
        <v>2516</v>
      </c>
      <c r="D399" s="1602" t="s">
        <v>5110</v>
      </c>
      <c r="E399" s="1603" t="s">
        <v>4903</v>
      </c>
      <c r="F399" s="1601" t="s">
        <v>5098</v>
      </c>
      <c r="G399" s="1601">
        <v>105</v>
      </c>
      <c r="H399" s="1602" t="s">
        <v>1861</v>
      </c>
      <c r="I399" s="1601" t="s">
        <v>958</v>
      </c>
      <c r="J399" s="1669">
        <v>22.7</v>
      </c>
      <c r="K399" s="1669" t="s">
        <v>4797</v>
      </c>
      <c r="L399" s="1603" t="s">
        <v>5144</v>
      </c>
      <c r="M399" s="1604">
        <v>44572</v>
      </c>
    </row>
    <row r="400" spans="1:13" s="1353" customFormat="1" ht="14.4">
      <c r="A400" s="1601">
        <v>393</v>
      </c>
      <c r="B400" s="1602" t="s">
        <v>990</v>
      </c>
      <c r="C400" s="1603" t="s">
        <v>2516</v>
      </c>
      <c r="D400" s="1602" t="s">
        <v>5110</v>
      </c>
      <c r="E400" s="1603" t="s">
        <v>4903</v>
      </c>
      <c r="F400" s="1601" t="s">
        <v>5098</v>
      </c>
      <c r="G400" s="1601">
        <v>105</v>
      </c>
      <c r="H400" s="1602" t="s">
        <v>1861</v>
      </c>
      <c r="I400" s="1601" t="s">
        <v>970</v>
      </c>
      <c r="J400" s="1669">
        <v>24.9</v>
      </c>
      <c r="K400" s="1669" t="s">
        <v>4797</v>
      </c>
      <c r="L400" s="1603" t="s">
        <v>5144</v>
      </c>
      <c r="M400" s="1604">
        <v>44572</v>
      </c>
    </row>
    <row r="401" spans="1:13" s="1356" customFormat="1" ht="14.4">
      <c r="A401" s="1615">
        <v>394</v>
      </c>
      <c r="B401" s="1613" t="s">
        <v>1015</v>
      </c>
      <c r="C401" s="1614" t="s">
        <v>4659</v>
      </c>
      <c r="D401" s="1613" t="s">
        <v>629</v>
      </c>
      <c r="E401" s="1614" t="s">
        <v>4903</v>
      </c>
      <c r="F401" s="1615" t="s">
        <v>5098</v>
      </c>
      <c r="G401" s="1615">
        <v>105</v>
      </c>
      <c r="H401" s="1613" t="s">
        <v>1861</v>
      </c>
      <c r="I401" s="1615" t="s">
        <v>968</v>
      </c>
      <c r="J401" s="1497">
        <v>47.7</v>
      </c>
      <c r="K401" s="1497" t="s">
        <v>4797</v>
      </c>
      <c r="L401" s="1614" t="s">
        <v>5144</v>
      </c>
      <c r="M401" s="1604">
        <v>44582</v>
      </c>
    </row>
    <row r="402" spans="1:13" s="1356" customFormat="1" ht="14.4">
      <c r="A402" s="1601">
        <v>395</v>
      </c>
      <c r="B402" s="1602" t="s">
        <v>1015</v>
      </c>
      <c r="C402" s="1603" t="s">
        <v>4659</v>
      </c>
      <c r="D402" s="1602" t="s">
        <v>629</v>
      </c>
      <c r="E402" s="1603" t="s">
        <v>4903</v>
      </c>
      <c r="F402" s="1601" t="s">
        <v>5098</v>
      </c>
      <c r="G402" s="1601">
        <v>105</v>
      </c>
      <c r="H402" s="1602" t="s">
        <v>1861</v>
      </c>
      <c r="I402" s="1601" t="s">
        <v>980</v>
      </c>
      <c r="J402" s="1497">
        <v>47.7</v>
      </c>
      <c r="K402" s="1497" t="s">
        <v>4797</v>
      </c>
      <c r="L402" s="1603" t="s">
        <v>5144</v>
      </c>
      <c r="M402" s="1604">
        <v>44582</v>
      </c>
    </row>
    <row r="403" spans="1:13" s="1356" customFormat="1" ht="14.4">
      <c r="A403" s="1601">
        <v>396</v>
      </c>
      <c r="B403" s="1602" t="s">
        <v>1015</v>
      </c>
      <c r="C403" s="1603" t="s">
        <v>4659</v>
      </c>
      <c r="D403" s="1602" t="s">
        <v>629</v>
      </c>
      <c r="E403" s="1603" t="s">
        <v>4903</v>
      </c>
      <c r="F403" s="1601" t="s">
        <v>5098</v>
      </c>
      <c r="G403" s="1601">
        <v>105</v>
      </c>
      <c r="H403" s="1602" t="s">
        <v>1861</v>
      </c>
      <c r="I403" s="1601" t="s">
        <v>985</v>
      </c>
      <c r="J403" s="1497">
        <v>47.7</v>
      </c>
      <c r="K403" s="1497" t="s">
        <v>4797</v>
      </c>
      <c r="L403" s="1603" t="s">
        <v>5144</v>
      </c>
      <c r="M403" s="1604">
        <v>44582</v>
      </c>
    </row>
    <row r="404" spans="1:13" s="1356" customFormat="1" ht="14.4">
      <c r="A404" s="1601">
        <v>397</v>
      </c>
      <c r="B404" s="1602" t="s">
        <v>1015</v>
      </c>
      <c r="C404" s="1603" t="s">
        <v>4659</v>
      </c>
      <c r="D404" s="1602" t="s">
        <v>629</v>
      </c>
      <c r="E404" s="1603" t="s">
        <v>4903</v>
      </c>
      <c r="F404" s="1601" t="s">
        <v>5098</v>
      </c>
      <c r="G404" s="1601">
        <v>105</v>
      </c>
      <c r="H404" s="1602" t="s">
        <v>1861</v>
      </c>
      <c r="I404" s="1601" t="s">
        <v>958</v>
      </c>
      <c r="J404" s="1497">
        <v>48.3</v>
      </c>
      <c r="K404" s="1497" t="s">
        <v>4797</v>
      </c>
      <c r="L404" s="1603" t="s">
        <v>5144</v>
      </c>
      <c r="M404" s="1604">
        <v>44582</v>
      </c>
    </row>
    <row r="405" spans="1:13" s="1356" customFormat="1" ht="14.4">
      <c r="A405" s="1601">
        <v>398</v>
      </c>
      <c r="B405" s="1602" t="s">
        <v>1015</v>
      </c>
      <c r="C405" s="1603" t="s">
        <v>4659</v>
      </c>
      <c r="D405" s="1602" t="s">
        <v>629</v>
      </c>
      <c r="E405" s="1603" t="s">
        <v>4903</v>
      </c>
      <c r="F405" s="1601" t="s">
        <v>5098</v>
      </c>
      <c r="G405" s="1601">
        <v>105</v>
      </c>
      <c r="H405" s="1602" t="s">
        <v>1861</v>
      </c>
      <c r="I405" s="1601" t="s">
        <v>970</v>
      </c>
      <c r="J405" s="1497">
        <v>49.6</v>
      </c>
      <c r="K405" s="1497" t="s">
        <v>4797</v>
      </c>
      <c r="L405" s="1603" t="s">
        <v>5144</v>
      </c>
      <c r="M405" s="1604">
        <v>44582</v>
      </c>
    </row>
    <row r="406" spans="1:13" s="1356" customFormat="1" ht="28.8">
      <c r="A406" s="1601">
        <v>399</v>
      </c>
      <c r="B406" s="1602" t="s">
        <v>1015</v>
      </c>
      <c r="C406" s="1603" t="s">
        <v>4659</v>
      </c>
      <c r="D406" s="1602" t="s">
        <v>629</v>
      </c>
      <c r="E406" s="1603" t="s">
        <v>4903</v>
      </c>
      <c r="F406" s="1601" t="s">
        <v>5098</v>
      </c>
      <c r="G406" s="1601">
        <v>85</v>
      </c>
      <c r="H406" s="1602" t="s">
        <v>1857</v>
      </c>
      <c r="I406" s="1601" t="s">
        <v>968</v>
      </c>
      <c r="J406" s="1497"/>
      <c r="K406" s="1497">
        <v>-20</v>
      </c>
      <c r="L406" s="1603" t="s">
        <v>5145</v>
      </c>
      <c r="M406" s="1604">
        <v>44589</v>
      </c>
    </row>
    <row r="407" spans="1:13" s="1356" customFormat="1" ht="28.8">
      <c r="A407" s="1601">
        <v>400</v>
      </c>
      <c r="B407" s="1602" t="s">
        <v>1015</v>
      </c>
      <c r="C407" s="1603" t="s">
        <v>4659</v>
      </c>
      <c r="D407" s="1602" t="s">
        <v>629</v>
      </c>
      <c r="E407" s="1603" t="s">
        <v>4903</v>
      </c>
      <c r="F407" s="1601" t="s">
        <v>5098</v>
      </c>
      <c r="G407" s="1601">
        <v>85</v>
      </c>
      <c r="H407" s="1602" t="s">
        <v>1857</v>
      </c>
      <c r="I407" s="1601" t="s">
        <v>980</v>
      </c>
      <c r="J407" s="1497"/>
      <c r="K407" s="1497">
        <v>-20</v>
      </c>
      <c r="L407" s="1603" t="s">
        <v>5145</v>
      </c>
      <c r="M407" s="1604">
        <v>44589</v>
      </c>
    </row>
    <row r="408" spans="1:13" s="1356" customFormat="1" ht="28.8">
      <c r="A408" s="1601">
        <v>401</v>
      </c>
      <c r="B408" s="1602" t="s">
        <v>1015</v>
      </c>
      <c r="C408" s="1603" t="s">
        <v>4659</v>
      </c>
      <c r="D408" s="1602" t="s">
        <v>629</v>
      </c>
      <c r="E408" s="1603" t="s">
        <v>4903</v>
      </c>
      <c r="F408" s="1601" t="s">
        <v>5098</v>
      </c>
      <c r="G408" s="1601">
        <v>85</v>
      </c>
      <c r="H408" s="1602" t="s">
        <v>1857</v>
      </c>
      <c r="I408" s="1601" t="s">
        <v>985</v>
      </c>
      <c r="J408" s="1497"/>
      <c r="K408" s="1497">
        <v>-20</v>
      </c>
      <c r="L408" s="1603" t="s">
        <v>5145</v>
      </c>
      <c r="M408" s="1604">
        <v>44589</v>
      </c>
    </row>
    <row r="409" spans="1:13" s="1356" customFormat="1" ht="28.8">
      <c r="A409" s="1601">
        <v>402</v>
      </c>
      <c r="B409" s="1602" t="s">
        <v>1015</v>
      </c>
      <c r="C409" s="1603" t="s">
        <v>4659</v>
      </c>
      <c r="D409" s="1602" t="s">
        <v>629</v>
      </c>
      <c r="E409" s="1603" t="s">
        <v>4903</v>
      </c>
      <c r="F409" s="1601" t="s">
        <v>5098</v>
      </c>
      <c r="G409" s="1601">
        <v>85</v>
      </c>
      <c r="H409" s="1602" t="s">
        <v>1857</v>
      </c>
      <c r="I409" s="1601" t="s">
        <v>958</v>
      </c>
      <c r="J409" s="1497"/>
      <c r="K409" s="1497">
        <v>-20</v>
      </c>
      <c r="L409" s="1603" t="s">
        <v>5145</v>
      </c>
      <c r="M409" s="1604">
        <v>44589</v>
      </c>
    </row>
    <row r="410" spans="1:13" s="1356" customFormat="1" ht="28.8">
      <c r="A410" s="1601">
        <v>403</v>
      </c>
      <c r="B410" s="1602" t="s">
        <v>1015</v>
      </c>
      <c r="C410" s="1603" t="s">
        <v>4659</v>
      </c>
      <c r="D410" s="1602" t="s">
        <v>629</v>
      </c>
      <c r="E410" s="1603" t="s">
        <v>4903</v>
      </c>
      <c r="F410" s="1601" t="s">
        <v>5098</v>
      </c>
      <c r="G410" s="1601">
        <v>85</v>
      </c>
      <c r="H410" s="1602" t="s">
        <v>1857</v>
      </c>
      <c r="I410" s="1601" t="s">
        <v>970</v>
      </c>
      <c r="J410" s="1497"/>
      <c r="K410" s="1497">
        <v>-20</v>
      </c>
      <c r="L410" s="1603" t="s">
        <v>5145</v>
      </c>
      <c r="M410" s="1604">
        <v>44589</v>
      </c>
    </row>
    <row r="411" spans="1:13" s="1356" customFormat="1" ht="28.8">
      <c r="A411" s="1601">
        <v>404</v>
      </c>
      <c r="B411" s="1602" t="s">
        <v>1015</v>
      </c>
      <c r="C411" s="1603" t="s">
        <v>4659</v>
      </c>
      <c r="D411" s="1602" t="s">
        <v>629</v>
      </c>
      <c r="E411" s="1603" t="s">
        <v>4903</v>
      </c>
      <c r="F411" s="1601" t="s">
        <v>5098</v>
      </c>
      <c r="G411" s="1601">
        <v>90</v>
      </c>
      <c r="H411" s="1670" t="s">
        <v>1858</v>
      </c>
      <c r="I411" s="1601" t="s">
        <v>968</v>
      </c>
      <c r="J411" s="1497">
        <v>-20</v>
      </c>
      <c r="K411" s="1497">
        <v>0</v>
      </c>
      <c r="L411" s="1603" t="s">
        <v>5146</v>
      </c>
      <c r="M411" s="1604">
        <v>44589</v>
      </c>
    </row>
    <row r="412" spans="1:13" s="1356" customFormat="1" ht="28.8">
      <c r="A412" s="1601">
        <v>405</v>
      </c>
      <c r="B412" s="1602" t="s">
        <v>1015</v>
      </c>
      <c r="C412" s="1603" t="s">
        <v>4659</v>
      </c>
      <c r="D412" s="1602" t="s">
        <v>629</v>
      </c>
      <c r="E412" s="1603" t="s">
        <v>4903</v>
      </c>
      <c r="F412" s="1601" t="s">
        <v>5098</v>
      </c>
      <c r="G412" s="1601">
        <v>90</v>
      </c>
      <c r="H412" s="1670" t="s">
        <v>1858</v>
      </c>
      <c r="I412" s="1601" t="s">
        <v>980</v>
      </c>
      <c r="J412" s="1497">
        <v>-20</v>
      </c>
      <c r="K412" s="1497">
        <v>0</v>
      </c>
      <c r="L412" s="1603" t="s">
        <v>5146</v>
      </c>
      <c r="M412" s="1604">
        <v>44589</v>
      </c>
    </row>
    <row r="413" spans="1:13" s="1356" customFormat="1" ht="28.8">
      <c r="A413" s="1601">
        <v>406</v>
      </c>
      <c r="B413" s="1602" t="s">
        <v>1015</v>
      </c>
      <c r="C413" s="1603" t="s">
        <v>4659</v>
      </c>
      <c r="D413" s="1602" t="s">
        <v>629</v>
      </c>
      <c r="E413" s="1603" t="s">
        <v>4903</v>
      </c>
      <c r="F413" s="1601" t="s">
        <v>5098</v>
      </c>
      <c r="G413" s="1601">
        <v>90</v>
      </c>
      <c r="H413" s="1670" t="s">
        <v>1858</v>
      </c>
      <c r="I413" s="1601" t="s">
        <v>985</v>
      </c>
      <c r="J413" s="1497">
        <v>-20</v>
      </c>
      <c r="K413" s="1497">
        <v>0</v>
      </c>
      <c r="L413" s="1603" t="s">
        <v>5146</v>
      </c>
      <c r="M413" s="1604">
        <v>44589</v>
      </c>
    </row>
    <row r="414" spans="1:13" s="1356" customFormat="1" ht="28.8">
      <c r="A414" s="1601">
        <v>407</v>
      </c>
      <c r="B414" s="1602" t="s">
        <v>1015</v>
      </c>
      <c r="C414" s="1603" t="s">
        <v>4659</v>
      </c>
      <c r="D414" s="1602" t="s">
        <v>629</v>
      </c>
      <c r="E414" s="1603" t="s">
        <v>4903</v>
      </c>
      <c r="F414" s="1601" t="s">
        <v>5098</v>
      </c>
      <c r="G414" s="1601">
        <v>90</v>
      </c>
      <c r="H414" s="1670" t="s">
        <v>1858</v>
      </c>
      <c r="I414" s="1601" t="s">
        <v>958</v>
      </c>
      <c r="J414" s="1497">
        <v>-20</v>
      </c>
      <c r="K414" s="1497">
        <v>0</v>
      </c>
      <c r="L414" s="1603" t="s">
        <v>5146</v>
      </c>
      <c r="M414" s="1604">
        <v>44589</v>
      </c>
    </row>
    <row r="415" spans="1:13" s="1356" customFormat="1" ht="28.8">
      <c r="A415" s="1601">
        <v>408</v>
      </c>
      <c r="B415" s="1602" t="s">
        <v>1015</v>
      </c>
      <c r="C415" s="1603" t="s">
        <v>4659</v>
      </c>
      <c r="D415" s="1602" t="s">
        <v>629</v>
      </c>
      <c r="E415" s="1603" t="s">
        <v>4903</v>
      </c>
      <c r="F415" s="1601" t="s">
        <v>5098</v>
      </c>
      <c r="G415" s="1601">
        <v>90</v>
      </c>
      <c r="H415" s="1670" t="s">
        <v>1858</v>
      </c>
      <c r="I415" s="1601" t="s">
        <v>970</v>
      </c>
      <c r="J415" s="1497">
        <v>-20</v>
      </c>
      <c r="K415" s="1497">
        <v>0</v>
      </c>
      <c r="L415" s="1603" t="s">
        <v>5146</v>
      </c>
      <c r="M415" s="1604">
        <v>44589</v>
      </c>
    </row>
    <row r="416" spans="1:13" s="1353" customFormat="1" ht="28.8">
      <c r="A416" s="1601">
        <v>409</v>
      </c>
      <c r="B416" s="1602" t="s">
        <v>1022</v>
      </c>
      <c r="C416" s="1603" t="s">
        <v>2293</v>
      </c>
      <c r="D416" s="1602" t="s">
        <v>629</v>
      </c>
      <c r="E416" s="1603" t="s">
        <v>4903</v>
      </c>
      <c r="F416" s="1601" t="s">
        <v>5098</v>
      </c>
      <c r="G416" s="1601">
        <v>85</v>
      </c>
      <c r="H416" s="1602" t="s">
        <v>1857</v>
      </c>
      <c r="I416" s="1601" t="s">
        <v>968</v>
      </c>
      <c r="J416" s="1497"/>
      <c r="K416" s="1497">
        <v>-5</v>
      </c>
      <c r="L416" s="1603" t="s">
        <v>5147</v>
      </c>
      <c r="M416" s="1604">
        <v>44589</v>
      </c>
    </row>
    <row r="417" spans="1:13" s="1353" customFormat="1" ht="28.8">
      <c r="A417" s="1601">
        <v>410</v>
      </c>
      <c r="B417" s="1602" t="s">
        <v>1022</v>
      </c>
      <c r="C417" s="1603" t="s">
        <v>2293</v>
      </c>
      <c r="D417" s="1602" t="s">
        <v>629</v>
      </c>
      <c r="E417" s="1603" t="s">
        <v>4903</v>
      </c>
      <c r="F417" s="1601" t="s">
        <v>5098</v>
      </c>
      <c r="G417" s="1601">
        <v>85</v>
      </c>
      <c r="H417" s="1602" t="s">
        <v>1857</v>
      </c>
      <c r="I417" s="1601" t="s">
        <v>980</v>
      </c>
      <c r="J417" s="1497"/>
      <c r="K417" s="1497">
        <v>-5</v>
      </c>
      <c r="L417" s="1603" t="s">
        <v>5147</v>
      </c>
      <c r="M417" s="1604">
        <v>44589</v>
      </c>
    </row>
    <row r="418" spans="1:13" s="1353" customFormat="1" ht="28.8">
      <c r="A418" s="1601">
        <v>411</v>
      </c>
      <c r="B418" s="1602" t="s">
        <v>1022</v>
      </c>
      <c r="C418" s="1603" t="s">
        <v>2293</v>
      </c>
      <c r="D418" s="1602" t="s">
        <v>629</v>
      </c>
      <c r="E418" s="1603" t="s">
        <v>4903</v>
      </c>
      <c r="F418" s="1601" t="s">
        <v>5098</v>
      </c>
      <c r="G418" s="1601">
        <v>85</v>
      </c>
      <c r="H418" s="1602" t="s">
        <v>1857</v>
      </c>
      <c r="I418" s="1601" t="s">
        <v>985</v>
      </c>
      <c r="J418" s="1497"/>
      <c r="K418" s="1497">
        <v>-5</v>
      </c>
      <c r="L418" s="1603" t="s">
        <v>5147</v>
      </c>
      <c r="M418" s="1604">
        <v>44589</v>
      </c>
    </row>
    <row r="419" spans="1:13" s="1353" customFormat="1" ht="28.8">
      <c r="A419" s="1601">
        <v>412</v>
      </c>
      <c r="B419" s="1602" t="s">
        <v>1022</v>
      </c>
      <c r="C419" s="1603" t="s">
        <v>2293</v>
      </c>
      <c r="D419" s="1602" t="s">
        <v>629</v>
      </c>
      <c r="E419" s="1603" t="s">
        <v>4903</v>
      </c>
      <c r="F419" s="1601" t="s">
        <v>5098</v>
      </c>
      <c r="G419" s="1601">
        <v>85</v>
      </c>
      <c r="H419" s="1602" t="s">
        <v>1857</v>
      </c>
      <c r="I419" s="1601" t="s">
        <v>958</v>
      </c>
      <c r="J419" s="1497"/>
      <c r="K419" s="1497">
        <v>-5</v>
      </c>
      <c r="L419" s="1603" t="s">
        <v>5147</v>
      </c>
      <c r="M419" s="1604">
        <v>44589</v>
      </c>
    </row>
    <row r="420" spans="1:13" s="1353" customFormat="1" ht="28.8">
      <c r="A420" s="1601">
        <v>413</v>
      </c>
      <c r="B420" s="1602" t="s">
        <v>1022</v>
      </c>
      <c r="C420" s="1603" t="s">
        <v>2293</v>
      </c>
      <c r="D420" s="1602" t="s">
        <v>629</v>
      </c>
      <c r="E420" s="1603" t="s">
        <v>4903</v>
      </c>
      <c r="F420" s="1601" t="s">
        <v>5098</v>
      </c>
      <c r="G420" s="1601">
        <v>85</v>
      </c>
      <c r="H420" s="1602" t="s">
        <v>1857</v>
      </c>
      <c r="I420" s="1601" t="s">
        <v>970</v>
      </c>
      <c r="J420" s="1497"/>
      <c r="K420" s="1497">
        <v>-5</v>
      </c>
      <c r="L420" s="1603" t="s">
        <v>5147</v>
      </c>
      <c r="M420" s="1604">
        <v>44589</v>
      </c>
    </row>
    <row r="421" spans="1:13" s="1353" customFormat="1" ht="28.8">
      <c r="A421" s="1601">
        <v>414</v>
      </c>
      <c r="B421" s="1602" t="s">
        <v>1022</v>
      </c>
      <c r="C421" s="1603" t="s">
        <v>2293</v>
      </c>
      <c r="D421" s="1602" t="s">
        <v>629</v>
      </c>
      <c r="E421" s="1603" t="s">
        <v>4903</v>
      </c>
      <c r="F421" s="1601" t="s">
        <v>5098</v>
      </c>
      <c r="G421" s="1601">
        <v>90</v>
      </c>
      <c r="H421" s="1670" t="s">
        <v>1858</v>
      </c>
      <c r="I421" s="1601" t="s">
        <v>968</v>
      </c>
      <c r="J421" s="1497">
        <v>-5</v>
      </c>
      <c r="K421" s="1497">
        <v>0</v>
      </c>
      <c r="L421" s="1603" t="s">
        <v>5146</v>
      </c>
      <c r="M421" s="1604">
        <v>44589</v>
      </c>
    </row>
    <row r="422" spans="1:13" s="1353" customFormat="1" ht="28.8">
      <c r="A422" s="1601">
        <v>415</v>
      </c>
      <c r="B422" s="1602" t="s">
        <v>1022</v>
      </c>
      <c r="C422" s="1603" t="s">
        <v>2293</v>
      </c>
      <c r="D422" s="1602" t="s">
        <v>629</v>
      </c>
      <c r="E422" s="1603" t="s">
        <v>4903</v>
      </c>
      <c r="F422" s="1601" t="s">
        <v>5098</v>
      </c>
      <c r="G422" s="1601">
        <v>90</v>
      </c>
      <c r="H422" s="1670" t="s">
        <v>1858</v>
      </c>
      <c r="I422" s="1601" t="s">
        <v>980</v>
      </c>
      <c r="J422" s="1497">
        <v>-5</v>
      </c>
      <c r="K422" s="1497">
        <v>0</v>
      </c>
      <c r="L422" s="1603" t="s">
        <v>5146</v>
      </c>
      <c r="M422" s="1604">
        <v>44589</v>
      </c>
    </row>
    <row r="423" spans="1:13" s="1353" customFormat="1" ht="28.8">
      <c r="A423" s="1601">
        <v>416</v>
      </c>
      <c r="B423" s="1602" t="s">
        <v>1022</v>
      </c>
      <c r="C423" s="1603" t="s">
        <v>2293</v>
      </c>
      <c r="D423" s="1602" t="s">
        <v>629</v>
      </c>
      <c r="E423" s="1603" t="s">
        <v>4903</v>
      </c>
      <c r="F423" s="1601" t="s">
        <v>5098</v>
      </c>
      <c r="G423" s="1601">
        <v>90</v>
      </c>
      <c r="H423" s="1670" t="s">
        <v>1858</v>
      </c>
      <c r="I423" s="1601" t="s">
        <v>985</v>
      </c>
      <c r="J423" s="1497">
        <v>-5</v>
      </c>
      <c r="K423" s="1497">
        <v>0</v>
      </c>
      <c r="L423" s="1603" t="s">
        <v>5146</v>
      </c>
      <c r="M423" s="1604">
        <v>44589</v>
      </c>
    </row>
    <row r="424" spans="1:13" s="1353" customFormat="1" ht="28.8">
      <c r="A424" s="1601">
        <v>417</v>
      </c>
      <c r="B424" s="1602" t="s">
        <v>1022</v>
      </c>
      <c r="C424" s="1603" t="s">
        <v>2293</v>
      </c>
      <c r="D424" s="1602" t="s">
        <v>629</v>
      </c>
      <c r="E424" s="1603" t="s">
        <v>4903</v>
      </c>
      <c r="F424" s="1601" t="s">
        <v>5098</v>
      </c>
      <c r="G424" s="1601">
        <v>90</v>
      </c>
      <c r="H424" s="1670" t="s">
        <v>1858</v>
      </c>
      <c r="I424" s="1601" t="s">
        <v>958</v>
      </c>
      <c r="J424" s="1497">
        <v>-5</v>
      </c>
      <c r="K424" s="1497">
        <v>0</v>
      </c>
      <c r="L424" s="1603" t="s">
        <v>5146</v>
      </c>
      <c r="M424" s="1604">
        <v>44589</v>
      </c>
    </row>
    <row r="425" spans="1:13" s="1353" customFormat="1" ht="28.8">
      <c r="A425" s="1601">
        <v>418</v>
      </c>
      <c r="B425" s="1602" t="s">
        <v>1022</v>
      </c>
      <c r="C425" s="1603" t="s">
        <v>2293</v>
      </c>
      <c r="D425" s="1602" t="s">
        <v>629</v>
      </c>
      <c r="E425" s="1603" t="s">
        <v>4903</v>
      </c>
      <c r="F425" s="1601" t="s">
        <v>5098</v>
      </c>
      <c r="G425" s="1601">
        <v>90</v>
      </c>
      <c r="H425" s="1670" t="s">
        <v>1858</v>
      </c>
      <c r="I425" s="1601" t="s">
        <v>970</v>
      </c>
      <c r="J425" s="1497">
        <v>-5</v>
      </c>
      <c r="K425" s="1497">
        <v>0</v>
      </c>
      <c r="L425" s="1603" t="s">
        <v>5146</v>
      </c>
      <c r="M425" s="1604">
        <v>44589</v>
      </c>
    </row>
    <row r="426" spans="1:13" s="1353" customFormat="1" ht="28.8">
      <c r="A426" s="1601">
        <v>419</v>
      </c>
      <c r="B426" s="1602" t="s">
        <v>972</v>
      </c>
      <c r="C426" s="1603" t="s">
        <v>2078</v>
      </c>
      <c r="D426" s="1602" t="s">
        <v>629</v>
      </c>
      <c r="E426" s="1603" t="s">
        <v>4903</v>
      </c>
      <c r="F426" s="1601" t="s">
        <v>5098</v>
      </c>
      <c r="G426" s="1601">
        <v>85</v>
      </c>
      <c r="H426" s="1602" t="s">
        <v>1857</v>
      </c>
      <c r="I426" s="1601" t="s">
        <v>968</v>
      </c>
      <c r="J426" s="1782"/>
      <c r="K426" s="1782">
        <v>-109.5</v>
      </c>
      <c r="L426" s="1603" t="s">
        <v>5148</v>
      </c>
      <c r="M426" s="1618">
        <v>44589</v>
      </c>
    </row>
    <row r="427" spans="1:13" s="1353" customFormat="1" ht="28.8">
      <c r="A427" s="1601">
        <v>420</v>
      </c>
      <c r="B427" s="1602" t="s">
        <v>972</v>
      </c>
      <c r="C427" s="1603" t="s">
        <v>2078</v>
      </c>
      <c r="D427" s="1602" t="s">
        <v>629</v>
      </c>
      <c r="E427" s="1603" t="s">
        <v>4903</v>
      </c>
      <c r="F427" s="1601" t="s">
        <v>5098</v>
      </c>
      <c r="G427" s="1601">
        <v>85</v>
      </c>
      <c r="H427" s="1602" t="s">
        <v>1857</v>
      </c>
      <c r="I427" s="1601" t="s">
        <v>980</v>
      </c>
      <c r="J427" s="1782"/>
      <c r="K427" s="1782">
        <v>-109.5</v>
      </c>
      <c r="L427" s="1603" t="s">
        <v>5148</v>
      </c>
      <c r="M427" s="1604">
        <v>44589</v>
      </c>
    </row>
    <row r="428" spans="1:13" s="1353" customFormat="1" ht="28.8">
      <c r="A428" s="1601">
        <v>421</v>
      </c>
      <c r="B428" s="1602" t="s">
        <v>972</v>
      </c>
      <c r="C428" s="1603" t="s">
        <v>2078</v>
      </c>
      <c r="D428" s="1602" t="s">
        <v>629</v>
      </c>
      <c r="E428" s="1603" t="s">
        <v>4903</v>
      </c>
      <c r="F428" s="1601" t="s">
        <v>5098</v>
      </c>
      <c r="G428" s="1601">
        <v>85</v>
      </c>
      <c r="H428" s="1602" t="s">
        <v>1857</v>
      </c>
      <c r="I428" s="1601" t="s">
        <v>985</v>
      </c>
      <c r="J428" s="1782"/>
      <c r="K428" s="1782">
        <v>-109.5</v>
      </c>
      <c r="L428" s="1603" t="s">
        <v>5148</v>
      </c>
      <c r="M428" s="1604">
        <v>44589</v>
      </c>
    </row>
    <row r="429" spans="1:13" s="1353" customFormat="1" ht="28.8">
      <c r="A429" s="1601">
        <v>422</v>
      </c>
      <c r="B429" s="1602" t="s">
        <v>972</v>
      </c>
      <c r="C429" s="1603" t="s">
        <v>2078</v>
      </c>
      <c r="D429" s="1602" t="s">
        <v>629</v>
      </c>
      <c r="E429" s="1603" t="s">
        <v>4903</v>
      </c>
      <c r="F429" s="1601" t="s">
        <v>5098</v>
      </c>
      <c r="G429" s="1601">
        <v>85</v>
      </c>
      <c r="H429" s="1602" t="s">
        <v>1857</v>
      </c>
      <c r="I429" s="1601" t="s">
        <v>958</v>
      </c>
      <c r="J429" s="1782"/>
      <c r="K429" s="1782">
        <v>-109.5</v>
      </c>
      <c r="L429" s="1603" t="s">
        <v>5148</v>
      </c>
      <c r="M429" s="1604">
        <v>44589</v>
      </c>
    </row>
    <row r="430" spans="1:13" s="1353" customFormat="1" ht="28.8">
      <c r="A430" s="1601">
        <v>423</v>
      </c>
      <c r="B430" s="1602" t="s">
        <v>972</v>
      </c>
      <c r="C430" s="1603" t="s">
        <v>2078</v>
      </c>
      <c r="D430" s="1602" t="s">
        <v>629</v>
      </c>
      <c r="E430" s="1603" t="s">
        <v>4903</v>
      </c>
      <c r="F430" s="1601" t="s">
        <v>5098</v>
      </c>
      <c r="G430" s="1601">
        <v>85</v>
      </c>
      <c r="H430" s="1602" t="s">
        <v>1857</v>
      </c>
      <c r="I430" s="1601" t="s">
        <v>970</v>
      </c>
      <c r="J430" s="1782"/>
      <c r="K430" s="1782">
        <v>-109.5</v>
      </c>
      <c r="L430" s="1603" t="s">
        <v>5148</v>
      </c>
      <c r="M430" s="1604">
        <v>44589</v>
      </c>
    </row>
    <row r="431" spans="1:13" s="1353" customFormat="1" ht="28.8">
      <c r="A431" s="1601">
        <v>424</v>
      </c>
      <c r="B431" s="1602" t="s">
        <v>972</v>
      </c>
      <c r="C431" s="1603" t="s">
        <v>2078</v>
      </c>
      <c r="D431" s="1602" t="s">
        <v>629</v>
      </c>
      <c r="E431" s="1603" t="s">
        <v>4903</v>
      </c>
      <c r="F431" s="1601" t="s">
        <v>5098</v>
      </c>
      <c r="G431" s="1601">
        <v>90</v>
      </c>
      <c r="H431" s="1670" t="s">
        <v>1858</v>
      </c>
      <c r="I431" s="1601" t="s">
        <v>968</v>
      </c>
      <c r="J431" s="1782">
        <v>-109.5</v>
      </c>
      <c r="K431" s="1782">
        <v>0</v>
      </c>
      <c r="L431" s="1603" t="s">
        <v>5146</v>
      </c>
      <c r="M431" s="1604">
        <v>44589</v>
      </c>
    </row>
    <row r="432" spans="1:13" s="1353" customFormat="1" ht="28.8">
      <c r="A432" s="1601">
        <v>425</v>
      </c>
      <c r="B432" s="1602" t="s">
        <v>972</v>
      </c>
      <c r="C432" s="1603" t="s">
        <v>2078</v>
      </c>
      <c r="D432" s="1602" t="s">
        <v>629</v>
      </c>
      <c r="E432" s="1603" t="s">
        <v>4903</v>
      </c>
      <c r="F432" s="1601" t="s">
        <v>5098</v>
      </c>
      <c r="G432" s="1601">
        <v>90</v>
      </c>
      <c r="H432" s="1670" t="s">
        <v>1858</v>
      </c>
      <c r="I432" s="1601" t="s">
        <v>980</v>
      </c>
      <c r="J432" s="1782">
        <v>-109.5</v>
      </c>
      <c r="K432" s="1782">
        <v>0</v>
      </c>
      <c r="L432" s="1603" t="s">
        <v>5146</v>
      </c>
      <c r="M432" s="1604">
        <v>44589</v>
      </c>
    </row>
    <row r="433" spans="1:13" s="1353" customFormat="1" ht="28.8">
      <c r="A433" s="1601">
        <v>426</v>
      </c>
      <c r="B433" s="1602" t="s">
        <v>972</v>
      </c>
      <c r="C433" s="1603" t="s">
        <v>2078</v>
      </c>
      <c r="D433" s="1602" t="s">
        <v>629</v>
      </c>
      <c r="E433" s="1603" t="s">
        <v>4903</v>
      </c>
      <c r="F433" s="1601" t="s">
        <v>5098</v>
      </c>
      <c r="G433" s="1601">
        <v>90</v>
      </c>
      <c r="H433" s="1670" t="s">
        <v>1858</v>
      </c>
      <c r="I433" s="1601" t="s">
        <v>985</v>
      </c>
      <c r="J433" s="1782">
        <v>-109.5</v>
      </c>
      <c r="K433" s="1782">
        <v>0</v>
      </c>
      <c r="L433" s="1603" t="s">
        <v>5146</v>
      </c>
      <c r="M433" s="1604">
        <v>44589</v>
      </c>
    </row>
    <row r="434" spans="1:13" s="1353" customFormat="1" ht="28.8">
      <c r="A434" s="1601">
        <v>427</v>
      </c>
      <c r="B434" s="1602" t="s">
        <v>972</v>
      </c>
      <c r="C434" s="1603" t="s">
        <v>2078</v>
      </c>
      <c r="D434" s="1602" t="s">
        <v>629</v>
      </c>
      <c r="E434" s="1603" t="s">
        <v>4903</v>
      </c>
      <c r="F434" s="1601" t="s">
        <v>5098</v>
      </c>
      <c r="G434" s="1601">
        <v>90</v>
      </c>
      <c r="H434" s="1670" t="s">
        <v>1858</v>
      </c>
      <c r="I434" s="1601" t="s">
        <v>958</v>
      </c>
      <c r="J434" s="1782">
        <v>-109.5</v>
      </c>
      <c r="K434" s="1782">
        <v>0</v>
      </c>
      <c r="L434" s="1603" t="s">
        <v>5146</v>
      </c>
      <c r="M434" s="1604">
        <v>44589</v>
      </c>
    </row>
    <row r="435" spans="1:13" s="1353" customFormat="1" ht="28.8">
      <c r="A435" s="1601">
        <v>428</v>
      </c>
      <c r="B435" s="1602" t="s">
        <v>972</v>
      </c>
      <c r="C435" s="1603" t="s">
        <v>2078</v>
      </c>
      <c r="D435" s="1602" t="s">
        <v>629</v>
      </c>
      <c r="E435" s="1603" t="s">
        <v>4903</v>
      </c>
      <c r="F435" s="1601" t="s">
        <v>5098</v>
      </c>
      <c r="G435" s="1601">
        <v>90</v>
      </c>
      <c r="H435" s="1670" t="s">
        <v>1858</v>
      </c>
      <c r="I435" s="1601" t="s">
        <v>970</v>
      </c>
      <c r="J435" s="1782">
        <v>-109.5</v>
      </c>
      <c r="K435" s="1782">
        <v>0</v>
      </c>
      <c r="L435" s="1603" t="s">
        <v>5146</v>
      </c>
      <c r="M435" s="1604">
        <v>44589</v>
      </c>
    </row>
    <row r="436" spans="1:13" s="1353" customFormat="1" ht="57.6">
      <c r="A436" s="1601">
        <v>429</v>
      </c>
      <c r="B436" s="1603" t="s">
        <v>5045</v>
      </c>
      <c r="C436" s="1597"/>
      <c r="D436" s="1598" t="s">
        <v>5046</v>
      </c>
      <c r="E436" s="1603" t="s">
        <v>788</v>
      </c>
      <c r="F436" s="1601" t="s">
        <v>5098</v>
      </c>
      <c r="G436" s="1661" t="s">
        <v>5149</v>
      </c>
      <c r="H436" s="1601" t="s">
        <v>5149</v>
      </c>
      <c r="I436" s="1601" t="s">
        <v>4962</v>
      </c>
      <c r="J436" s="1785" t="s">
        <v>5048</v>
      </c>
      <c r="K436" s="1601"/>
      <c r="L436" s="1598" t="s">
        <v>5150</v>
      </c>
      <c r="M436" s="1851">
        <v>44634</v>
      </c>
    </row>
    <row r="437" spans="1:13" s="1353" customFormat="1" ht="57.6">
      <c r="A437" s="1868">
        <f>A436+1</f>
        <v>430</v>
      </c>
      <c r="B437" s="1870" t="s">
        <v>990</v>
      </c>
      <c r="C437" s="1869" t="s">
        <v>1136</v>
      </c>
      <c r="D437" s="1870" t="s">
        <v>1135</v>
      </c>
      <c r="E437" s="1870" t="s">
        <v>5054</v>
      </c>
      <c r="F437" s="1868" t="s">
        <v>5098</v>
      </c>
      <c r="G437" s="1871">
        <v>41</v>
      </c>
      <c r="H437" s="1868" t="s">
        <v>1090</v>
      </c>
      <c r="I437" s="1868" t="s">
        <v>874</v>
      </c>
      <c r="J437" s="1875" t="s">
        <v>978</v>
      </c>
      <c r="K437" s="1868" t="s">
        <v>966</v>
      </c>
      <c r="L437" s="1870" t="s">
        <v>5055</v>
      </c>
      <c r="M437" s="1876">
        <v>44900</v>
      </c>
    </row>
    <row r="438" spans="1:13" s="1353" customFormat="1" ht="28.8">
      <c r="A438" s="1882">
        <f t="shared" ref="A438:A456" si="0">A437+1</f>
        <v>431</v>
      </c>
      <c r="B438" s="1884" t="s">
        <v>999</v>
      </c>
      <c r="C438" s="1883" t="s">
        <v>3607</v>
      </c>
      <c r="D438" s="1884" t="s">
        <v>629</v>
      </c>
      <c r="E438" s="1884" t="s">
        <v>5073</v>
      </c>
      <c r="F438" s="1882" t="s">
        <v>5098</v>
      </c>
      <c r="G438" s="1885">
        <v>100</v>
      </c>
      <c r="H438" s="1882" t="s">
        <v>1860</v>
      </c>
      <c r="I438" s="1882" t="s">
        <v>968</v>
      </c>
      <c r="J438" s="1924"/>
      <c r="K438" s="1913">
        <v>3</v>
      </c>
      <c r="L438" s="1914" t="s">
        <v>5074</v>
      </c>
      <c r="M438" s="1886">
        <v>44915</v>
      </c>
    </row>
    <row r="439" spans="1:13" s="1353" customFormat="1" ht="28.8">
      <c r="A439" s="1882">
        <f t="shared" si="0"/>
        <v>432</v>
      </c>
      <c r="B439" s="1884" t="s">
        <v>999</v>
      </c>
      <c r="C439" s="1883" t="s">
        <v>3607</v>
      </c>
      <c r="D439" s="1884" t="s">
        <v>629</v>
      </c>
      <c r="E439" s="1884" t="s">
        <v>5073</v>
      </c>
      <c r="F439" s="1882" t="s">
        <v>5098</v>
      </c>
      <c r="G439" s="1885">
        <v>100</v>
      </c>
      <c r="H439" s="1882" t="s">
        <v>1860</v>
      </c>
      <c r="I439" s="1882" t="s">
        <v>980</v>
      </c>
      <c r="J439" s="1924"/>
      <c r="K439" s="1913">
        <v>6</v>
      </c>
      <c r="L439" s="1914" t="s">
        <v>5074</v>
      </c>
      <c r="M439" s="1886">
        <v>44915</v>
      </c>
    </row>
    <row r="440" spans="1:13" s="1353" customFormat="1" ht="28.8">
      <c r="A440" s="1882">
        <f t="shared" si="0"/>
        <v>433</v>
      </c>
      <c r="B440" s="1884" t="s">
        <v>999</v>
      </c>
      <c r="C440" s="1883" t="s">
        <v>3607</v>
      </c>
      <c r="D440" s="1884" t="s">
        <v>629</v>
      </c>
      <c r="E440" s="1884" t="s">
        <v>5073</v>
      </c>
      <c r="F440" s="1882" t="s">
        <v>5098</v>
      </c>
      <c r="G440" s="1885">
        <v>100</v>
      </c>
      <c r="H440" s="1882" t="s">
        <v>1860</v>
      </c>
      <c r="I440" s="1882" t="s">
        <v>985</v>
      </c>
      <c r="J440" s="1924"/>
      <c r="K440" s="1913">
        <v>9.1</v>
      </c>
      <c r="L440" s="1914" t="s">
        <v>5074</v>
      </c>
      <c r="M440" s="1886">
        <v>44915</v>
      </c>
    </row>
    <row r="441" spans="1:13" s="1353" customFormat="1" ht="28.8">
      <c r="A441" s="1882">
        <f t="shared" si="0"/>
        <v>434</v>
      </c>
      <c r="B441" s="1884" t="s">
        <v>999</v>
      </c>
      <c r="C441" s="1883" t="s">
        <v>3607</v>
      </c>
      <c r="D441" s="1884" t="s">
        <v>629</v>
      </c>
      <c r="E441" s="1884" t="s">
        <v>5073</v>
      </c>
      <c r="F441" s="1882" t="s">
        <v>5098</v>
      </c>
      <c r="G441" s="1885">
        <v>100</v>
      </c>
      <c r="H441" s="1882" t="s">
        <v>1860</v>
      </c>
      <c r="I441" s="1882" t="s">
        <v>958</v>
      </c>
      <c r="J441" s="1924"/>
      <c r="K441" s="1913">
        <v>12.3</v>
      </c>
      <c r="L441" s="1914" t="s">
        <v>5074</v>
      </c>
      <c r="M441" s="1886">
        <v>44915</v>
      </c>
    </row>
    <row r="442" spans="1:13" s="1353" customFormat="1" ht="28.8">
      <c r="A442" s="1882">
        <f t="shared" si="0"/>
        <v>435</v>
      </c>
      <c r="B442" s="1884" t="s">
        <v>999</v>
      </c>
      <c r="C442" s="1883" t="s">
        <v>3607</v>
      </c>
      <c r="D442" s="1884" t="s">
        <v>629</v>
      </c>
      <c r="E442" s="1884" t="s">
        <v>5073</v>
      </c>
      <c r="F442" s="1882" t="s">
        <v>5098</v>
      </c>
      <c r="G442" s="1885">
        <v>100</v>
      </c>
      <c r="H442" s="1882" t="s">
        <v>1860</v>
      </c>
      <c r="I442" s="1882" t="s">
        <v>970</v>
      </c>
      <c r="J442" s="1924"/>
      <c r="K442" s="1913">
        <v>15.6</v>
      </c>
      <c r="L442" s="1914" t="s">
        <v>5074</v>
      </c>
      <c r="M442" s="1886">
        <v>44915</v>
      </c>
    </row>
    <row r="443" spans="1:13" s="1353" customFormat="1" ht="28.8">
      <c r="A443" s="1882">
        <f t="shared" si="0"/>
        <v>436</v>
      </c>
      <c r="B443" s="1884" t="s">
        <v>1022</v>
      </c>
      <c r="C443" s="1883" t="s">
        <v>2293</v>
      </c>
      <c r="D443" s="1884" t="s">
        <v>629</v>
      </c>
      <c r="E443" s="1884" t="s">
        <v>1022</v>
      </c>
      <c r="F443" s="1882" t="s">
        <v>5098</v>
      </c>
      <c r="G443" s="1885">
        <v>115</v>
      </c>
      <c r="H443" s="2037" t="s">
        <v>1907</v>
      </c>
      <c r="I443" s="1882" t="s">
        <v>874</v>
      </c>
      <c r="J443" s="1924">
        <v>-0.191</v>
      </c>
      <c r="K443" s="1882">
        <v>-0.26200000000000001</v>
      </c>
      <c r="L443" s="1884" t="s">
        <v>5151</v>
      </c>
      <c r="M443" s="2038">
        <v>45002</v>
      </c>
    </row>
    <row r="444" spans="1:13" s="1353" customFormat="1" ht="28.8">
      <c r="A444" s="1882">
        <f t="shared" si="0"/>
        <v>437</v>
      </c>
      <c r="B444" s="1884" t="s">
        <v>1022</v>
      </c>
      <c r="C444" s="1883" t="s">
        <v>2293</v>
      </c>
      <c r="D444" s="1884" t="s">
        <v>629</v>
      </c>
      <c r="E444" s="1884" t="s">
        <v>1022</v>
      </c>
      <c r="F444" s="1882" t="s">
        <v>5098</v>
      </c>
      <c r="G444" s="1885">
        <v>115</v>
      </c>
      <c r="H444" s="2037" t="s">
        <v>1908</v>
      </c>
      <c r="I444" s="1882" t="s">
        <v>874</v>
      </c>
      <c r="J444" s="1924">
        <v>-0.26200000000000001</v>
      </c>
      <c r="K444" s="1882">
        <v>-0.191</v>
      </c>
      <c r="L444" s="1884" t="s">
        <v>5152</v>
      </c>
      <c r="M444" s="2038">
        <v>45002</v>
      </c>
    </row>
    <row r="445" spans="1:13" s="1353" customFormat="1" ht="43.2">
      <c r="A445" s="1882">
        <f t="shared" si="0"/>
        <v>438</v>
      </c>
      <c r="B445" s="1884" t="s">
        <v>1003</v>
      </c>
      <c r="C445" s="1883" t="s">
        <v>3791</v>
      </c>
      <c r="D445" s="1884" t="s">
        <v>629</v>
      </c>
      <c r="E445" s="1884" t="s">
        <v>5153</v>
      </c>
      <c r="F445" s="1882" t="s">
        <v>5098</v>
      </c>
      <c r="G445" s="1885">
        <v>59</v>
      </c>
      <c r="H445" s="1882" t="s">
        <v>1855</v>
      </c>
      <c r="I445" s="1882" t="s">
        <v>970</v>
      </c>
      <c r="J445" s="1924">
        <v>20.399999999999999</v>
      </c>
      <c r="K445" s="1882">
        <v>20.5</v>
      </c>
      <c r="L445" s="2044" t="s">
        <v>5154</v>
      </c>
      <c r="M445" s="2038">
        <v>45009</v>
      </c>
    </row>
    <row r="446" spans="1:13" s="1353" customFormat="1" ht="43.2">
      <c r="A446" s="1882">
        <f t="shared" si="0"/>
        <v>439</v>
      </c>
      <c r="B446" s="1884" t="s">
        <v>1003</v>
      </c>
      <c r="C446" s="1883" t="s">
        <v>3779</v>
      </c>
      <c r="D446" s="1884" t="s">
        <v>178</v>
      </c>
      <c r="E446" s="1884" t="s">
        <v>5153</v>
      </c>
      <c r="F446" s="1882" t="s">
        <v>5098</v>
      </c>
      <c r="G446" s="1885">
        <v>59</v>
      </c>
      <c r="H446" s="1882" t="s">
        <v>1855</v>
      </c>
      <c r="I446" s="1882" t="s">
        <v>958</v>
      </c>
      <c r="J446" s="1924">
        <v>254.8</v>
      </c>
      <c r="K446" s="1882">
        <v>254.7</v>
      </c>
      <c r="L446" s="2044" t="s">
        <v>5154</v>
      </c>
      <c r="M446" s="2038">
        <v>45009</v>
      </c>
    </row>
    <row r="447" spans="1:13" s="1353" customFormat="1" ht="43.2">
      <c r="A447" s="1882">
        <f t="shared" si="0"/>
        <v>440</v>
      </c>
      <c r="B447" s="1884" t="s">
        <v>1003</v>
      </c>
      <c r="C447" s="1883" t="s">
        <v>3779</v>
      </c>
      <c r="D447" s="1884" t="s">
        <v>178</v>
      </c>
      <c r="E447" s="1884" t="s">
        <v>5153</v>
      </c>
      <c r="F447" s="1882" t="s">
        <v>5098</v>
      </c>
      <c r="G447" s="1885">
        <v>59</v>
      </c>
      <c r="H447" s="1882" t="s">
        <v>1855</v>
      </c>
      <c r="I447" s="1882" t="s">
        <v>970</v>
      </c>
      <c r="J447" s="1924">
        <v>251.1</v>
      </c>
      <c r="K447" s="1882">
        <v>249.3</v>
      </c>
      <c r="L447" s="2044" t="s">
        <v>5154</v>
      </c>
      <c r="M447" s="2038">
        <v>45009</v>
      </c>
    </row>
    <row r="448" spans="1:13" s="1353" customFormat="1" ht="28.8">
      <c r="A448" s="1882">
        <f t="shared" si="0"/>
        <v>441</v>
      </c>
      <c r="B448" s="1884" t="s">
        <v>972</v>
      </c>
      <c r="C448" s="1883" t="s">
        <v>2085</v>
      </c>
      <c r="D448" s="1884" t="s">
        <v>687</v>
      </c>
      <c r="E448" s="1884" t="s">
        <v>972</v>
      </c>
      <c r="F448" s="1882" t="s">
        <v>5098</v>
      </c>
      <c r="G448" s="1885">
        <v>115</v>
      </c>
      <c r="H448" s="2037" t="s">
        <v>1907</v>
      </c>
      <c r="I448" s="1882" t="s">
        <v>874</v>
      </c>
      <c r="J448" s="1924">
        <v>-10.994</v>
      </c>
      <c r="K448" s="1882">
        <v>-10.944000000000001</v>
      </c>
      <c r="L448" s="1884" t="s">
        <v>5155</v>
      </c>
      <c r="M448" s="2038">
        <v>45065</v>
      </c>
    </row>
    <row r="449" spans="1:13" s="1353" customFormat="1" ht="14.4">
      <c r="A449" s="1861">
        <f t="shared" si="0"/>
        <v>442</v>
      </c>
      <c r="B449" s="1863"/>
      <c r="C449" s="1862"/>
      <c r="D449" s="1863"/>
      <c r="E449" s="1863"/>
      <c r="F449" s="1861"/>
      <c r="G449" s="1864"/>
      <c r="H449" s="1861"/>
      <c r="I449" s="1861"/>
      <c r="J449" s="1866"/>
      <c r="K449" s="1861"/>
      <c r="L449" s="1863"/>
      <c r="M449" s="1867"/>
    </row>
    <row r="450" spans="1:13" s="1353" customFormat="1" ht="14.4">
      <c r="A450" s="1861">
        <f t="shared" si="0"/>
        <v>443</v>
      </c>
      <c r="B450" s="1863"/>
      <c r="C450" s="1862"/>
      <c r="D450" s="1863"/>
      <c r="E450" s="1863"/>
      <c r="F450" s="1861"/>
      <c r="G450" s="1864"/>
      <c r="H450" s="1861"/>
      <c r="I450" s="1861"/>
      <c r="J450" s="1866"/>
      <c r="K450" s="1861"/>
      <c r="L450" s="1863"/>
      <c r="M450" s="1867"/>
    </row>
    <row r="451" spans="1:13" s="1353" customFormat="1" ht="14.4">
      <c r="A451" s="1861">
        <f t="shared" si="0"/>
        <v>444</v>
      </c>
      <c r="B451" s="1863"/>
      <c r="C451" s="1862"/>
      <c r="D451" s="1863"/>
      <c r="E451" s="1863"/>
      <c r="F451" s="1861"/>
      <c r="G451" s="1864"/>
      <c r="H451" s="1861"/>
      <c r="I451" s="1861"/>
      <c r="J451" s="1866"/>
      <c r="K451" s="1861"/>
      <c r="L451" s="1863"/>
      <c r="M451" s="1867"/>
    </row>
    <row r="452" spans="1:13" s="1353" customFormat="1" ht="14.4">
      <c r="A452" s="1861">
        <f t="shared" si="0"/>
        <v>445</v>
      </c>
      <c r="B452" s="1863"/>
      <c r="C452" s="1862"/>
      <c r="D452" s="1863"/>
      <c r="E452" s="1863"/>
      <c r="F452" s="1861"/>
      <c r="G452" s="1864"/>
      <c r="H452" s="1861"/>
      <c r="I452" s="1861"/>
      <c r="J452" s="1866"/>
      <c r="K452" s="1861"/>
      <c r="L452" s="1863"/>
      <c r="M452" s="1867"/>
    </row>
    <row r="453" spans="1:13" s="1353" customFormat="1" ht="14.4">
      <c r="A453" s="1861">
        <f t="shared" si="0"/>
        <v>446</v>
      </c>
      <c r="B453" s="1863"/>
      <c r="C453" s="1862"/>
      <c r="D453" s="1863"/>
      <c r="E453" s="1863"/>
      <c r="F453" s="1861"/>
      <c r="G453" s="1864"/>
      <c r="H453" s="1861"/>
      <c r="I453" s="1861"/>
      <c r="J453" s="1866"/>
      <c r="K453" s="1861"/>
      <c r="L453" s="1863"/>
      <c r="M453" s="1867"/>
    </row>
    <row r="454" spans="1:13" s="1353" customFormat="1" ht="14.4">
      <c r="A454" s="1861">
        <f t="shared" si="0"/>
        <v>447</v>
      </c>
      <c r="B454" s="1863"/>
      <c r="C454" s="1862"/>
      <c r="D454" s="1863"/>
      <c r="E454" s="1863"/>
      <c r="F454" s="1861"/>
      <c r="G454" s="1864"/>
      <c r="H454" s="1861"/>
      <c r="I454" s="1861"/>
      <c r="J454" s="1866"/>
      <c r="K454" s="1861"/>
      <c r="L454" s="1863"/>
      <c r="M454" s="1867"/>
    </row>
    <row r="455" spans="1:13" s="1353" customFormat="1" ht="14.4">
      <c r="A455" s="1861">
        <f t="shared" si="0"/>
        <v>448</v>
      </c>
      <c r="B455" s="1863"/>
      <c r="C455" s="1862"/>
      <c r="D455" s="1863"/>
      <c r="E455" s="1863"/>
      <c r="F455" s="1861"/>
      <c r="G455" s="1864"/>
      <c r="H455" s="1861"/>
      <c r="I455" s="1861"/>
      <c r="J455" s="1866"/>
      <c r="K455" s="1861"/>
      <c r="L455" s="1863"/>
      <c r="M455" s="1867"/>
    </row>
    <row r="456" spans="1:13" s="1353" customFormat="1" ht="14.4">
      <c r="A456" s="1861">
        <f t="shared" si="0"/>
        <v>449</v>
      </c>
      <c r="B456" s="1863"/>
      <c r="C456" s="1862"/>
      <c r="D456" s="1863"/>
      <c r="E456" s="1863"/>
      <c r="F456" s="1861"/>
      <c r="G456" s="1864"/>
      <c r="H456" s="1861"/>
      <c r="I456" s="1861"/>
      <c r="J456" s="1866"/>
      <c r="K456" s="1861"/>
      <c r="L456" s="1863"/>
      <c r="M456" s="1867"/>
    </row>
    <row r="457" spans="1:13" s="1353" customFormat="1" ht="14.4">
      <c r="A457" s="1861">
        <f t="shared" ref="A457" si="1">A456+1</f>
        <v>450</v>
      </c>
      <c r="B457" s="1863"/>
      <c r="C457" s="1862"/>
      <c r="D457" s="1863"/>
      <c r="E457" s="1863"/>
      <c r="F457" s="1861"/>
      <c r="G457" s="1864"/>
      <c r="H457" s="1861"/>
      <c r="I457" s="1861"/>
      <c r="J457" s="1866"/>
      <c r="K457" s="1861"/>
      <c r="L457" s="1863"/>
      <c r="M457" s="1867"/>
    </row>
    <row r="458" spans="1:13" s="1353" customFormat="1" ht="14.4">
      <c r="B458" s="1506"/>
      <c r="D458" s="2151"/>
      <c r="E458" s="2151"/>
      <c r="F458" s="1551"/>
      <c r="G458" s="1551"/>
      <c r="H458" s="1551"/>
      <c r="I458" s="1551"/>
      <c r="J458" s="1551"/>
      <c r="K458" s="1551"/>
      <c r="L458" s="2151"/>
    </row>
    <row r="459" spans="1:13" s="1353" customFormat="1" ht="14.4">
      <c r="B459" s="1506"/>
      <c r="D459" s="2151"/>
      <c r="E459" s="2151"/>
      <c r="F459" s="1551"/>
      <c r="G459" s="1551"/>
      <c r="H459" s="1551"/>
      <c r="I459" s="1551"/>
      <c r="J459" s="1551"/>
      <c r="K459" s="1551"/>
      <c r="L459" s="2151"/>
    </row>
    <row r="460" spans="1:13" s="1353" customFormat="1" ht="14.4">
      <c r="B460" s="1506"/>
      <c r="D460" s="2151"/>
      <c r="E460" s="2151"/>
      <c r="F460" s="1551"/>
      <c r="G460" s="1551"/>
      <c r="H460" s="1551"/>
      <c r="I460" s="1551"/>
      <c r="J460" s="1551"/>
      <c r="K460" s="1551"/>
      <c r="L460" s="2151"/>
    </row>
    <row r="461" spans="1:13" s="1353" customFormat="1" ht="14.4">
      <c r="B461" s="1506"/>
      <c r="D461" s="2151"/>
      <c r="E461" s="2151"/>
      <c r="F461" s="1551"/>
      <c r="G461" s="1551"/>
      <c r="H461" s="1551"/>
      <c r="I461" s="1551"/>
      <c r="J461" s="1551"/>
      <c r="K461" s="1551"/>
      <c r="L461" s="2151"/>
    </row>
    <row r="462" spans="1:13" s="1353" customFormat="1" ht="14.4">
      <c r="B462" s="1506"/>
      <c r="D462" s="2151"/>
      <c r="E462" s="2151"/>
      <c r="F462" s="1551"/>
      <c r="G462" s="1551"/>
      <c r="H462" s="1551"/>
      <c r="I462" s="1551"/>
      <c r="J462" s="1551"/>
      <c r="K462" s="1551"/>
      <c r="L462" s="2151"/>
    </row>
    <row r="463" spans="1:13" s="1353" customFormat="1" ht="14.4">
      <c r="B463" s="1506"/>
      <c r="D463" s="2151"/>
      <c r="E463" s="2151"/>
      <c r="F463" s="1551"/>
      <c r="G463" s="1551"/>
      <c r="H463" s="1551"/>
      <c r="I463" s="1551"/>
      <c r="J463" s="1551"/>
      <c r="K463" s="1551"/>
      <c r="L463" s="2151"/>
    </row>
    <row r="464" spans="1:13" s="1353" customFormat="1" ht="14.4">
      <c r="B464" s="1506"/>
      <c r="D464" s="2151"/>
      <c r="E464" s="2151"/>
      <c r="F464" s="1551"/>
      <c r="G464" s="1551"/>
      <c r="H464" s="1551"/>
      <c r="I464" s="1551"/>
      <c r="J464" s="1551"/>
      <c r="K464" s="1551"/>
      <c r="L464" s="2151"/>
    </row>
    <row r="465" spans="2:12" s="1353" customFormat="1" ht="14.4">
      <c r="B465" s="1506"/>
      <c r="D465" s="2151"/>
      <c r="E465" s="2151"/>
      <c r="F465" s="1551"/>
      <c r="G465" s="1551"/>
      <c r="H465" s="1551"/>
      <c r="I465" s="1551"/>
      <c r="J465" s="1551"/>
      <c r="K465" s="1551"/>
      <c r="L465" s="2151"/>
    </row>
    <row r="466" spans="2:12" s="1353" customFormat="1" ht="14.4">
      <c r="B466" s="1506"/>
      <c r="D466" s="2151"/>
      <c r="E466" s="2151"/>
      <c r="F466" s="1551"/>
      <c r="G466" s="1551"/>
      <c r="H466" s="1551"/>
      <c r="I466" s="1551"/>
      <c r="J466" s="1551"/>
      <c r="K466" s="1551"/>
      <c r="L466" s="2151"/>
    </row>
    <row r="467" spans="2:12" s="1353" customFormat="1" ht="14.4">
      <c r="B467" s="1506"/>
      <c r="D467" s="2151"/>
      <c r="E467" s="2151"/>
      <c r="F467" s="1551"/>
      <c r="G467" s="1551"/>
      <c r="H467" s="1551"/>
      <c r="I467" s="1551"/>
      <c r="J467" s="1551"/>
      <c r="K467" s="1551"/>
      <c r="L467" s="2151"/>
    </row>
    <row r="468" spans="2:12" s="1353" customFormat="1" ht="14.4">
      <c r="B468" s="1506"/>
      <c r="D468" s="2151"/>
      <c r="E468" s="2151"/>
      <c r="F468" s="1551"/>
      <c r="G468" s="1551"/>
      <c r="H468" s="1551"/>
      <c r="I468" s="1551"/>
      <c r="J468" s="1551"/>
      <c r="K468" s="1551"/>
      <c r="L468" s="2151"/>
    </row>
    <row r="469" spans="2:12" s="1353" customFormat="1" ht="14.4">
      <c r="B469" s="1506"/>
      <c r="D469" s="2151"/>
      <c r="E469" s="2151"/>
      <c r="F469" s="1551"/>
      <c r="G469" s="1551"/>
      <c r="H469" s="1551"/>
      <c r="I469" s="1551"/>
      <c r="J469" s="1551"/>
      <c r="K469" s="1551"/>
      <c r="L469" s="2151"/>
    </row>
    <row r="470" spans="2:12" s="1353" customFormat="1" ht="14.4">
      <c r="B470" s="1506"/>
      <c r="D470" s="2151"/>
      <c r="E470" s="2151"/>
      <c r="F470" s="1551"/>
      <c r="G470" s="1551"/>
      <c r="H470" s="1551"/>
      <c r="I470" s="1551"/>
      <c r="J470" s="1551"/>
      <c r="K470" s="1551"/>
      <c r="L470" s="2151"/>
    </row>
    <row r="471" spans="2:12" s="1353" customFormat="1" ht="14.4">
      <c r="B471" s="1506"/>
      <c r="D471" s="2151"/>
      <c r="E471" s="2151"/>
      <c r="F471" s="1551"/>
      <c r="G471" s="1551"/>
      <c r="H471" s="1551"/>
      <c r="I471" s="1551"/>
      <c r="J471" s="1551"/>
      <c r="K471" s="1551"/>
      <c r="L471" s="2151"/>
    </row>
    <row r="472" spans="2:12" s="1353" customFormat="1" ht="14.4">
      <c r="B472" s="1506"/>
      <c r="D472" s="2151"/>
      <c r="E472" s="2151"/>
      <c r="F472" s="1551"/>
      <c r="G472" s="1551"/>
      <c r="H472" s="1551"/>
      <c r="I472" s="1551"/>
      <c r="J472" s="1551"/>
      <c r="K472" s="1551"/>
      <c r="L472" s="2151"/>
    </row>
    <row r="473" spans="2:12" s="1353" customFormat="1" ht="14.4">
      <c r="B473" s="1506"/>
      <c r="D473" s="2151"/>
      <c r="E473" s="2151"/>
      <c r="F473" s="1551"/>
      <c r="G473" s="1551"/>
      <c r="H473" s="1551"/>
      <c r="I473" s="1551"/>
      <c r="J473" s="1551"/>
      <c r="K473" s="1551"/>
      <c r="L473" s="2151"/>
    </row>
    <row r="474" spans="2:12" s="1353" customFormat="1" ht="14.4">
      <c r="B474" s="1506"/>
      <c r="D474" s="2151"/>
      <c r="E474" s="2151"/>
      <c r="F474" s="1551"/>
      <c r="G474" s="1551"/>
      <c r="H474" s="1551"/>
      <c r="I474" s="1551"/>
      <c r="J474" s="1551"/>
      <c r="K474" s="1551"/>
      <c r="L474" s="2151"/>
    </row>
    <row r="475" spans="2:12" s="1353" customFormat="1" ht="14.4">
      <c r="B475" s="1506"/>
      <c r="D475" s="2151"/>
      <c r="E475" s="2151"/>
      <c r="F475" s="1551"/>
      <c r="G475" s="1551"/>
      <c r="H475" s="1551"/>
      <c r="I475" s="1551"/>
      <c r="J475" s="1551"/>
      <c r="K475" s="1551"/>
      <c r="L475" s="2151"/>
    </row>
    <row r="476" spans="2:12" s="1353" customFormat="1" ht="14.4">
      <c r="B476" s="1506"/>
      <c r="D476" s="2151"/>
      <c r="E476" s="2151"/>
      <c r="F476" s="1551"/>
      <c r="G476" s="1551"/>
      <c r="H476" s="1551"/>
      <c r="I476" s="1551"/>
      <c r="J476" s="1551"/>
      <c r="K476" s="1551"/>
      <c r="L476" s="2151"/>
    </row>
    <row r="477" spans="2:12" s="1353" customFormat="1" ht="14.4">
      <c r="B477" s="1506"/>
      <c r="D477" s="2151"/>
      <c r="E477" s="2151"/>
      <c r="F477" s="1551"/>
      <c r="G477" s="1551"/>
      <c r="H477" s="1551"/>
      <c r="I477" s="1551"/>
      <c r="J477" s="1551"/>
      <c r="K477" s="1551"/>
      <c r="L477" s="2151"/>
    </row>
    <row r="478" spans="2:12" s="1353" customFormat="1" ht="14.4">
      <c r="B478" s="1506"/>
      <c r="D478" s="2151"/>
      <c r="E478" s="2151"/>
      <c r="F478" s="1551"/>
      <c r="G478" s="1551"/>
      <c r="H478" s="1551"/>
      <c r="I478" s="1551"/>
      <c r="J478" s="1551"/>
      <c r="K478" s="1551"/>
      <c r="L478" s="2151"/>
    </row>
    <row r="479" spans="2:12" s="1353" customFormat="1" ht="14.4">
      <c r="B479" s="1506"/>
      <c r="D479" s="2151"/>
      <c r="E479" s="2151"/>
      <c r="F479" s="1551"/>
      <c r="G479" s="1551"/>
      <c r="H479" s="1551"/>
      <c r="I479" s="1551"/>
      <c r="J479" s="1551"/>
      <c r="K479" s="1551"/>
      <c r="L479" s="2151"/>
    </row>
    <row r="480" spans="2:12" s="1353" customFormat="1" ht="14.4">
      <c r="B480" s="1506"/>
      <c r="D480" s="2151"/>
      <c r="E480" s="2151"/>
      <c r="F480" s="1551"/>
      <c r="G480" s="1551"/>
      <c r="H480" s="1551"/>
      <c r="I480" s="1551"/>
      <c r="J480" s="1551"/>
      <c r="K480" s="1551"/>
      <c r="L480" s="2151"/>
    </row>
    <row r="481" spans="2:12" s="1353" customFormat="1" ht="14.4">
      <c r="B481" s="1506"/>
      <c r="D481" s="2151"/>
      <c r="E481" s="2151"/>
      <c r="F481" s="1551"/>
      <c r="G481" s="1551"/>
      <c r="H481" s="1551"/>
      <c r="I481" s="1551"/>
      <c r="J481" s="1551"/>
      <c r="K481" s="1551"/>
      <c r="L481" s="2151"/>
    </row>
    <row r="482" spans="2:12" s="1353" customFormat="1" ht="14.4">
      <c r="B482" s="1506"/>
      <c r="D482" s="2151"/>
      <c r="E482" s="2151"/>
      <c r="F482" s="1551"/>
      <c r="G482" s="1551"/>
      <c r="H482" s="1551"/>
      <c r="I482" s="1551"/>
      <c r="J482" s="1551"/>
      <c r="K482" s="1551"/>
      <c r="L482" s="2151"/>
    </row>
    <row r="483" spans="2:12" s="1353" customFormat="1" ht="14.4">
      <c r="B483" s="1506"/>
      <c r="D483" s="2151"/>
      <c r="E483" s="2151"/>
      <c r="F483" s="1551"/>
      <c r="G483" s="1551"/>
      <c r="H483" s="1551"/>
      <c r="I483" s="1551"/>
      <c r="J483" s="1551"/>
      <c r="K483" s="1551"/>
      <c r="L483" s="2151"/>
    </row>
    <row r="484" spans="2:12" s="1353" customFormat="1" ht="14.4">
      <c r="B484" s="1506"/>
      <c r="D484" s="2151"/>
      <c r="E484" s="2151"/>
      <c r="F484" s="1551"/>
      <c r="G484" s="1551"/>
      <c r="H484" s="1551"/>
      <c r="I484" s="1551"/>
      <c r="J484" s="1551"/>
      <c r="K484" s="1551"/>
      <c r="L484" s="2151"/>
    </row>
    <row r="485" spans="2:12" s="1353" customFormat="1" ht="14.4">
      <c r="B485" s="1506"/>
      <c r="D485" s="2151"/>
      <c r="E485" s="2151"/>
      <c r="F485" s="1551"/>
      <c r="G485" s="1551"/>
      <c r="H485" s="1551"/>
      <c r="I485" s="1551"/>
      <c r="J485" s="1551"/>
      <c r="K485" s="1551"/>
      <c r="L485" s="2151"/>
    </row>
    <row r="486" spans="2:12" s="1353" customFormat="1" ht="14.4">
      <c r="B486" s="1506"/>
      <c r="D486" s="2151"/>
      <c r="E486" s="2151"/>
      <c r="F486" s="1551"/>
      <c r="G486" s="1551"/>
      <c r="H486" s="1551"/>
      <c r="I486" s="1551"/>
      <c r="J486" s="1551"/>
      <c r="K486" s="1551"/>
      <c r="L486" s="2151"/>
    </row>
    <row r="487" spans="2:12" s="1353" customFormat="1" ht="14.4">
      <c r="B487" s="1506"/>
      <c r="D487" s="2151"/>
      <c r="E487" s="2151"/>
      <c r="F487" s="1551"/>
      <c r="G487" s="1551"/>
      <c r="H487" s="1551"/>
      <c r="I487" s="1551"/>
      <c r="J487" s="1551"/>
      <c r="K487" s="1551"/>
      <c r="L487" s="2151"/>
    </row>
    <row r="488" spans="2:12" s="1353" customFormat="1" ht="14.4">
      <c r="B488" s="1506"/>
      <c r="D488" s="2151"/>
      <c r="E488" s="2151"/>
      <c r="F488" s="1551"/>
      <c r="G488" s="1551"/>
      <c r="H488" s="1551"/>
      <c r="I488" s="1551"/>
      <c r="J488" s="1551"/>
      <c r="K488" s="1551"/>
      <c r="L488" s="2151"/>
    </row>
    <row r="489" spans="2:12" s="1353" customFormat="1" ht="14.4">
      <c r="B489" s="1506"/>
      <c r="D489" s="2151"/>
      <c r="E489" s="2151"/>
      <c r="F489" s="1551"/>
      <c r="G489" s="1551"/>
      <c r="H489" s="1551"/>
      <c r="I489" s="1551"/>
      <c r="J489" s="1551"/>
      <c r="K489" s="1551"/>
      <c r="L489" s="2151"/>
    </row>
    <row r="490" spans="2:12" s="1353" customFormat="1" ht="14.4">
      <c r="B490" s="1506"/>
      <c r="D490" s="2151"/>
      <c r="E490" s="2151"/>
      <c r="F490" s="1551"/>
      <c r="G490" s="1551"/>
      <c r="H490" s="1551"/>
      <c r="I490" s="1551"/>
      <c r="J490" s="1551"/>
      <c r="K490" s="1551"/>
      <c r="L490" s="2151"/>
    </row>
    <row r="491" spans="2:12" s="1353" customFormat="1" ht="14.4">
      <c r="B491" s="1506"/>
      <c r="D491" s="2151"/>
      <c r="E491" s="2151"/>
      <c r="F491" s="1551"/>
      <c r="G491" s="1551"/>
      <c r="H491" s="1551"/>
      <c r="I491" s="1551"/>
      <c r="J491" s="1551"/>
      <c r="K491" s="1551"/>
      <c r="L491" s="2151"/>
    </row>
    <row r="492" spans="2:12" s="1353" customFormat="1" ht="14.4">
      <c r="B492" s="1506"/>
      <c r="D492" s="2151"/>
      <c r="E492" s="2151"/>
      <c r="F492" s="1551"/>
      <c r="G492" s="1551"/>
      <c r="H492" s="1551"/>
      <c r="I492" s="1551"/>
      <c r="J492" s="1551"/>
      <c r="K492" s="1551"/>
      <c r="L492" s="2151"/>
    </row>
    <row r="493" spans="2:12" s="1353" customFormat="1" ht="14.4">
      <c r="B493" s="1506"/>
      <c r="D493" s="2151"/>
      <c r="E493" s="2151"/>
      <c r="F493" s="1551"/>
      <c r="G493" s="1551"/>
      <c r="H493" s="1551"/>
      <c r="I493" s="1551"/>
      <c r="J493" s="1551"/>
      <c r="K493" s="1551"/>
      <c r="L493" s="2151"/>
    </row>
    <row r="494" spans="2:12" s="1353" customFormat="1" ht="14.4">
      <c r="B494" s="1506"/>
      <c r="D494" s="2151"/>
      <c r="E494" s="2151"/>
      <c r="F494" s="1551"/>
      <c r="G494" s="1551"/>
      <c r="H494" s="1551"/>
      <c r="I494" s="1551"/>
      <c r="J494" s="1551"/>
      <c r="K494" s="1551"/>
      <c r="L494" s="2151"/>
    </row>
    <row r="495" spans="2:12" s="1353" customFormat="1" ht="14.4">
      <c r="B495" s="1506"/>
      <c r="D495" s="2151"/>
      <c r="E495" s="2151"/>
      <c r="F495" s="1551"/>
      <c r="G495" s="1551"/>
      <c r="H495" s="1551"/>
      <c r="I495" s="1551"/>
      <c r="J495" s="1551"/>
      <c r="K495" s="1551"/>
      <c r="L495" s="2151"/>
    </row>
    <row r="496" spans="2:12" s="1353" customFormat="1" ht="14.4">
      <c r="B496" s="1506"/>
      <c r="D496" s="2151"/>
      <c r="E496" s="2151"/>
      <c r="F496" s="1551"/>
      <c r="G496" s="1551"/>
      <c r="H496" s="1551"/>
      <c r="I496" s="1551"/>
      <c r="J496" s="1551"/>
      <c r="K496" s="1551"/>
      <c r="L496" s="2151"/>
    </row>
    <row r="497" spans="2:12" s="1353" customFormat="1" ht="14.4">
      <c r="B497" s="1506"/>
      <c r="D497" s="2151"/>
      <c r="E497" s="2151"/>
      <c r="F497" s="1551"/>
      <c r="G497" s="1551"/>
      <c r="H497" s="1551"/>
      <c r="I497" s="1551"/>
      <c r="J497" s="1551"/>
      <c r="K497" s="1551"/>
      <c r="L497" s="2151"/>
    </row>
    <row r="498" spans="2:12" s="1353" customFormat="1" ht="14.4">
      <c r="B498" s="1506"/>
      <c r="D498" s="2151"/>
      <c r="E498" s="2151"/>
      <c r="F498" s="1551"/>
      <c r="G498" s="1551"/>
      <c r="H498" s="1551"/>
      <c r="I498" s="1551"/>
      <c r="J498" s="1551"/>
      <c r="K498" s="1551"/>
      <c r="L498" s="2151"/>
    </row>
    <row r="499" spans="2:12" s="1353" customFormat="1" ht="14.4">
      <c r="B499" s="1506"/>
      <c r="D499" s="2151"/>
      <c r="E499" s="2151"/>
      <c r="F499" s="1551"/>
      <c r="G499" s="1551"/>
      <c r="H499" s="1551"/>
      <c r="I499" s="1551"/>
      <c r="J499" s="1551"/>
      <c r="K499" s="1551"/>
      <c r="L499" s="2151"/>
    </row>
    <row r="500" spans="2:12" s="1353" customFormat="1" ht="14.4">
      <c r="B500" s="1506"/>
      <c r="D500" s="2151"/>
      <c r="E500" s="2151"/>
      <c r="F500" s="1551"/>
      <c r="G500" s="1551"/>
      <c r="H500" s="1551"/>
      <c r="I500" s="1551"/>
      <c r="J500" s="1551"/>
      <c r="K500" s="1551"/>
      <c r="L500" s="2151"/>
    </row>
    <row r="501" spans="2:12" s="1353" customFormat="1" ht="14.4">
      <c r="B501" s="1506"/>
      <c r="D501" s="2151"/>
      <c r="E501" s="2151"/>
      <c r="F501" s="1551"/>
      <c r="G501" s="1551"/>
      <c r="H501" s="1551"/>
      <c r="I501" s="1551"/>
      <c r="J501" s="1551"/>
      <c r="K501" s="1551"/>
      <c r="L501" s="2151"/>
    </row>
    <row r="502" spans="2:12" s="1353" customFormat="1" ht="14.4">
      <c r="B502" s="1506"/>
      <c r="D502" s="2151"/>
      <c r="E502" s="2151"/>
      <c r="F502" s="1551"/>
      <c r="G502" s="1551"/>
      <c r="H502" s="1551"/>
      <c r="I502" s="1551"/>
      <c r="J502" s="1551"/>
      <c r="K502" s="1551"/>
      <c r="L502" s="2151"/>
    </row>
    <row r="503" spans="2:12" s="1353" customFormat="1" ht="14.4">
      <c r="B503" s="1506"/>
      <c r="D503" s="2151"/>
      <c r="E503" s="2151"/>
      <c r="F503" s="1551"/>
      <c r="G503" s="1551"/>
      <c r="H503" s="1551"/>
      <c r="I503" s="1551"/>
      <c r="J503" s="1551"/>
      <c r="K503" s="1551"/>
      <c r="L503" s="2151"/>
    </row>
    <row r="504" spans="2:12" s="1353" customFormat="1" ht="14.4">
      <c r="B504" s="1506"/>
      <c r="D504" s="2151"/>
      <c r="E504" s="2151"/>
      <c r="F504" s="1551"/>
      <c r="G504" s="1551"/>
      <c r="H504" s="1551"/>
      <c r="I504" s="1551"/>
      <c r="J504" s="1551"/>
      <c r="K504" s="1551"/>
      <c r="L504" s="2151"/>
    </row>
    <row r="505" spans="2:12" s="1353" customFormat="1" ht="14.4">
      <c r="B505" s="1506"/>
      <c r="D505" s="2151"/>
      <c r="E505" s="2151"/>
      <c r="F505" s="1551"/>
      <c r="G505" s="1551"/>
      <c r="H505" s="1551"/>
      <c r="I505" s="1551"/>
      <c r="J505" s="1551"/>
      <c r="K505" s="1551"/>
      <c r="L505" s="2151"/>
    </row>
    <row r="506" spans="2:12" s="1353" customFormat="1" ht="14.4">
      <c r="B506" s="1506"/>
      <c r="D506" s="2151"/>
      <c r="E506" s="2151"/>
      <c r="F506" s="1551"/>
      <c r="G506" s="1551"/>
      <c r="H506" s="1551"/>
      <c r="I506" s="1551"/>
      <c r="J506" s="1551"/>
      <c r="K506" s="1551"/>
      <c r="L506" s="2151"/>
    </row>
    <row r="507" spans="2:12" s="1353" customFormat="1" ht="14.4">
      <c r="B507" s="1506"/>
      <c r="D507" s="2151"/>
      <c r="E507" s="2151"/>
      <c r="F507" s="1551"/>
      <c r="G507" s="1551"/>
      <c r="H507" s="1551"/>
      <c r="I507" s="1551"/>
      <c r="J507" s="1551"/>
      <c r="K507" s="1551"/>
      <c r="L507" s="2151"/>
    </row>
    <row r="508" spans="2:12" s="1353" customFormat="1" ht="14.4">
      <c r="B508" s="1506"/>
      <c r="D508" s="2151"/>
      <c r="E508" s="2151"/>
      <c r="F508" s="1551"/>
      <c r="G508" s="1551"/>
      <c r="H508" s="1551"/>
      <c r="I508" s="1551"/>
      <c r="J508" s="1551"/>
      <c r="K508" s="1551"/>
      <c r="L508" s="2151"/>
    </row>
    <row r="509" spans="2:12" s="1353" customFormat="1" ht="14.4">
      <c r="B509" s="1506"/>
      <c r="D509" s="2151"/>
      <c r="E509" s="2151"/>
      <c r="F509" s="1551"/>
      <c r="G509" s="1551"/>
      <c r="H509" s="1551"/>
      <c r="I509" s="1551"/>
      <c r="J509" s="1551"/>
      <c r="K509" s="1551"/>
      <c r="L509" s="2151"/>
    </row>
    <row r="510" spans="2:12" s="1353" customFormat="1" ht="14.4">
      <c r="B510" s="1506"/>
      <c r="D510" s="2151"/>
      <c r="E510" s="2151"/>
      <c r="F510" s="1551"/>
      <c r="G510" s="1551"/>
      <c r="H510" s="1551"/>
      <c r="I510" s="1551"/>
      <c r="J510" s="1551"/>
      <c r="K510" s="1551"/>
      <c r="L510" s="2151"/>
    </row>
    <row r="511" spans="2:12" s="1353" customFormat="1" ht="14.4">
      <c r="B511" s="1506"/>
      <c r="D511" s="2151"/>
      <c r="E511" s="2151"/>
      <c r="F511" s="1551"/>
      <c r="G511" s="1551"/>
      <c r="H511" s="1551"/>
      <c r="I511" s="1551"/>
      <c r="J511" s="1551"/>
      <c r="K511" s="1551"/>
      <c r="L511" s="2151"/>
    </row>
    <row r="512" spans="2:12" s="1353" customFormat="1" ht="14.4">
      <c r="B512" s="1506"/>
      <c r="D512" s="2151"/>
      <c r="E512" s="2151"/>
      <c r="F512" s="1551"/>
      <c r="G512" s="1551"/>
      <c r="H512" s="1551"/>
      <c r="I512" s="1551"/>
      <c r="J512" s="1551"/>
      <c r="K512" s="1551"/>
      <c r="L512" s="2151"/>
    </row>
    <row r="513" spans="2:12" s="1353" customFormat="1" ht="14.4">
      <c r="B513" s="1506"/>
      <c r="D513" s="2151"/>
      <c r="E513" s="2151"/>
      <c r="F513" s="1551"/>
      <c r="G513" s="1551"/>
      <c r="H513" s="1551"/>
      <c r="I513" s="1551"/>
      <c r="J513" s="1551"/>
      <c r="K513" s="1551"/>
      <c r="L513" s="2151"/>
    </row>
    <row r="514" spans="2:12" s="1353" customFormat="1" ht="14.4">
      <c r="B514" s="1506"/>
      <c r="D514" s="2151"/>
      <c r="E514" s="2151"/>
      <c r="F514" s="1551"/>
      <c r="G514" s="1551"/>
      <c r="H514" s="1551"/>
      <c r="I514" s="1551"/>
      <c r="J514" s="1551"/>
      <c r="K514" s="1551"/>
      <c r="L514" s="2151"/>
    </row>
    <row r="515" spans="2:12" s="1353" customFormat="1" ht="14.4">
      <c r="B515" s="1506"/>
      <c r="D515" s="2151"/>
      <c r="E515" s="2151"/>
      <c r="F515" s="1551"/>
      <c r="G515" s="1551"/>
      <c r="H515" s="1551"/>
      <c r="I515" s="1551"/>
      <c r="J515" s="1551"/>
      <c r="K515" s="1551"/>
      <c r="L515" s="2151"/>
    </row>
    <row r="516" spans="2:12" s="1353" customFormat="1" ht="14.4">
      <c r="B516" s="1506"/>
      <c r="D516" s="2151"/>
      <c r="E516" s="2151"/>
      <c r="F516" s="1551"/>
      <c r="G516" s="1551"/>
      <c r="H516" s="1551"/>
      <c r="I516" s="1551"/>
      <c r="J516" s="1551"/>
      <c r="K516" s="1551"/>
      <c r="L516" s="2151"/>
    </row>
    <row r="517" spans="2:12" s="1353" customFormat="1" ht="14.4">
      <c r="B517" s="1506"/>
      <c r="D517" s="2151"/>
      <c r="E517" s="2151"/>
      <c r="F517" s="1551"/>
      <c r="G517" s="1551"/>
      <c r="H517" s="1551"/>
      <c r="I517" s="1551"/>
      <c r="J517" s="1551"/>
      <c r="K517" s="1551"/>
      <c r="L517" s="2151"/>
    </row>
    <row r="518" spans="2:12" s="1353" customFormat="1" ht="14.4">
      <c r="B518" s="1506"/>
      <c r="D518" s="2151"/>
      <c r="E518" s="2151"/>
      <c r="F518" s="1551"/>
      <c r="G518" s="1551"/>
      <c r="H518" s="1551"/>
      <c r="I518" s="1551"/>
      <c r="J518" s="1551"/>
      <c r="K518" s="1551"/>
      <c r="L518" s="2151"/>
    </row>
    <row r="519" spans="2:12" s="1353" customFormat="1" ht="14.4">
      <c r="B519" s="1506"/>
      <c r="D519" s="2151"/>
      <c r="E519" s="2151"/>
      <c r="F519" s="1551"/>
      <c r="G519" s="1551"/>
      <c r="H519" s="1551"/>
      <c r="I519" s="1551"/>
      <c r="J519" s="1551"/>
      <c r="K519" s="1551"/>
      <c r="L519" s="2151"/>
    </row>
    <row r="520" spans="2:12" s="1353" customFormat="1" ht="14.4">
      <c r="B520" s="1506"/>
      <c r="D520" s="2151"/>
      <c r="E520" s="2151"/>
      <c r="F520" s="1551"/>
      <c r="G520" s="1551"/>
      <c r="H520" s="1551"/>
      <c r="I520" s="1551"/>
      <c r="J520" s="1551"/>
      <c r="K520" s="1551"/>
      <c r="L520" s="2151"/>
    </row>
    <row r="521" spans="2:12" s="1353" customFormat="1" ht="14.4">
      <c r="B521" s="1506"/>
      <c r="D521" s="2151"/>
      <c r="E521" s="2151"/>
      <c r="F521" s="1551"/>
      <c r="G521" s="1551"/>
      <c r="H521" s="1551"/>
      <c r="I521" s="1551"/>
      <c r="J521" s="1551"/>
      <c r="K521" s="1551"/>
      <c r="L521" s="2151"/>
    </row>
    <row r="522" spans="2:12" s="1353" customFormat="1" ht="14.4">
      <c r="B522" s="1506"/>
      <c r="D522" s="2151"/>
      <c r="E522" s="2151"/>
      <c r="F522" s="1551"/>
      <c r="G522" s="1551"/>
      <c r="H522" s="1551"/>
      <c r="I522" s="1551"/>
      <c r="J522" s="1551"/>
      <c r="K522" s="1551"/>
      <c r="L522" s="2151"/>
    </row>
    <row r="523" spans="2:12" s="1353" customFormat="1" ht="14.4">
      <c r="B523" s="1506"/>
      <c r="D523" s="2151"/>
      <c r="E523" s="2151"/>
      <c r="F523" s="1551"/>
      <c r="G523" s="1551"/>
      <c r="H523" s="1551"/>
      <c r="I523" s="1551"/>
      <c r="J523" s="1551"/>
      <c r="K523" s="1551"/>
      <c r="L523" s="2151"/>
    </row>
    <row r="524" spans="2:12" s="1353" customFormat="1" ht="14.4">
      <c r="B524" s="1506"/>
      <c r="D524" s="2151"/>
      <c r="E524" s="2151"/>
      <c r="F524" s="1551"/>
      <c r="G524" s="1551"/>
      <c r="H524" s="1551"/>
      <c r="I524" s="1551"/>
      <c r="J524" s="1551"/>
      <c r="K524" s="1551"/>
      <c r="L524" s="2151"/>
    </row>
    <row r="525" spans="2:12" s="1353" customFormat="1" ht="14.4">
      <c r="B525" s="1506"/>
      <c r="D525" s="2151"/>
      <c r="E525" s="2151"/>
      <c r="F525" s="1551"/>
      <c r="G525" s="1551"/>
      <c r="H525" s="1551"/>
      <c r="I525" s="1551"/>
      <c r="J525" s="1551"/>
      <c r="K525" s="1551"/>
      <c r="L525" s="2151"/>
    </row>
    <row r="526" spans="2:12" s="1353" customFormat="1" ht="14.4">
      <c r="B526" s="1506"/>
      <c r="D526" s="2151"/>
      <c r="E526" s="2151"/>
      <c r="F526" s="1551"/>
      <c r="G526" s="1551"/>
      <c r="H526" s="1551"/>
      <c r="I526" s="1551"/>
      <c r="J526" s="1551"/>
      <c r="K526" s="1551"/>
      <c r="L526" s="2151"/>
    </row>
    <row r="527" spans="2:12" s="1353" customFormat="1" ht="14.4">
      <c r="B527" s="1506"/>
      <c r="D527" s="2151"/>
      <c r="E527" s="2151"/>
      <c r="F527" s="1551"/>
      <c r="G527" s="1551"/>
      <c r="H527" s="1551"/>
      <c r="I527" s="1551"/>
      <c r="J527" s="1551"/>
      <c r="K527" s="1551"/>
      <c r="L527" s="2151"/>
    </row>
    <row r="528" spans="2:12" s="1353" customFormat="1" ht="14.4">
      <c r="B528" s="1506"/>
      <c r="D528" s="2151"/>
      <c r="E528" s="2151"/>
      <c r="F528" s="1551"/>
      <c r="G528" s="1551"/>
      <c r="H528" s="1551"/>
      <c r="I528" s="1551"/>
      <c r="J528" s="1551"/>
      <c r="K528" s="1551"/>
      <c r="L528" s="2151"/>
    </row>
    <row r="529" spans="2:12" s="1353" customFormat="1" ht="14.4">
      <c r="B529" s="1506"/>
      <c r="D529" s="2151"/>
      <c r="E529" s="2151"/>
      <c r="F529" s="1551"/>
      <c r="G529" s="1551"/>
      <c r="H529" s="1551"/>
      <c r="I529" s="1551"/>
      <c r="J529" s="1551"/>
      <c r="K529" s="1551"/>
      <c r="L529" s="2151"/>
    </row>
    <row r="530" spans="2:12" s="1353" customFormat="1" ht="14.4">
      <c r="B530" s="1506"/>
      <c r="D530" s="2151"/>
      <c r="E530" s="2151"/>
      <c r="F530" s="1551"/>
      <c r="G530" s="1551"/>
      <c r="H530" s="1551"/>
      <c r="I530" s="1551"/>
      <c r="J530" s="1551"/>
      <c r="K530" s="1551"/>
      <c r="L530" s="2151"/>
    </row>
    <row r="531" spans="2:12" s="1353" customFormat="1" ht="14.4">
      <c r="B531" s="1506"/>
      <c r="D531" s="2151"/>
      <c r="E531" s="2151"/>
      <c r="F531" s="1551"/>
      <c r="G531" s="1551"/>
      <c r="H531" s="1551"/>
      <c r="I531" s="1551"/>
      <c r="J531" s="1551"/>
      <c r="K531" s="1551"/>
      <c r="L531" s="2151"/>
    </row>
    <row r="532" spans="2:12" s="1353" customFormat="1" ht="14.4">
      <c r="B532" s="1506"/>
      <c r="D532" s="2151"/>
      <c r="E532" s="2151"/>
      <c r="F532" s="1551"/>
      <c r="G532" s="1551"/>
      <c r="H532" s="1551"/>
      <c r="I532" s="1551"/>
      <c r="J532" s="1551"/>
      <c r="K532" s="1551"/>
      <c r="L532" s="2151"/>
    </row>
    <row r="533" spans="2:12" s="1353" customFormat="1" ht="14.4">
      <c r="B533" s="1506"/>
      <c r="D533" s="2151"/>
      <c r="E533" s="2151"/>
      <c r="F533" s="1551"/>
      <c r="G533" s="1551"/>
      <c r="H533" s="1551"/>
      <c r="I533" s="1551"/>
      <c r="J533" s="1551"/>
      <c r="K533" s="1551"/>
      <c r="L533" s="2151"/>
    </row>
    <row r="534" spans="2:12" s="1353" customFormat="1" ht="14.4">
      <c r="B534" s="1506"/>
      <c r="D534" s="2151"/>
      <c r="E534" s="2151"/>
      <c r="F534" s="1551"/>
      <c r="G534" s="1551"/>
      <c r="H534" s="1551"/>
      <c r="I534" s="1551"/>
      <c r="J534" s="1551"/>
      <c r="K534" s="1551"/>
      <c r="L534" s="2151"/>
    </row>
    <row r="535" spans="2:12" s="1353" customFormat="1" ht="14.4">
      <c r="B535" s="1506"/>
      <c r="D535" s="2151"/>
      <c r="E535" s="2151"/>
      <c r="F535" s="1551"/>
      <c r="G535" s="1551"/>
      <c r="H535" s="1551"/>
      <c r="I535" s="1551"/>
      <c r="J535" s="1551"/>
      <c r="K535" s="1551"/>
      <c r="L535" s="2151"/>
    </row>
    <row r="536" spans="2:12" s="1353" customFormat="1" ht="14.4">
      <c r="B536" s="1506"/>
      <c r="D536" s="2151"/>
      <c r="E536" s="2151"/>
      <c r="F536" s="1551"/>
      <c r="G536" s="1551"/>
      <c r="H536" s="1551"/>
      <c r="I536" s="1551"/>
      <c r="J536" s="1551"/>
      <c r="K536" s="1551"/>
      <c r="L536" s="2151"/>
    </row>
    <row r="537" spans="2:12" s="1353" customFormat="1" ht="14.4">
      <c r="B537" s="1506"/>
      <c r="D537" s="2151"/>
      <c r="E537" s="2151"/>
      <c r="F537" s="1551"/>
      <c r="G537" s="1551"/>
      <c r="H537" s="1551"/>
      <c r="I537" s="1551"/>
      <c r="J537" s="1551"/>
      <c r="K537" s="1551"/>
      <c r="L537" s="2151"/>
    </row>
    <row r="538" spans="2:12" s="1353" customFormat="1" ht="14.4">
      <c r="B538" s="1506"/>
      <c r="D538" s="2151"/>
      <c r="E538" s="2151"/>
      <c r="F538" s="1551"/>
      <c r="G538" s="1551"/>
      <c r="H538" s="1551"/>
      <c r="I538" s="1551"/>
      <c r="J538" s="1551"/>
      <c r="K538" s="1551"/>
      <c r="L538" s="2151"/>
    </row>
    <row r="539" spans="2:12" s="1353" customFormat="1" ht="14.4">
      <c r="B539" s="1506"/>
      <c r="D539" s="2151"/>
      <c r="E539" s="2151"/>
      <c r="F539" s="1551"/>
      <c r="G539" s="1551"/>
      <c r="H539" s="1551"/>
      <c r="I539" s="1551"/>
      <c r="J539" s="1551"/>
      <c r="K539" s="1551"/>
      <c r="L539" s="2151"/>
    </row>
    <row r="540" spans="2:12" s="1353" customFormat="1" ht="14.4">
      <c r="B540" s="1506"/>
      <c r="D540" s="2151"/>
      <c r="E540" s="2151"/>
      <c r="F540" s="1551"/>
      <c r="G540" s="1551"/>
      <c r="H540" s="1551"/>
      <c r="I540" s="1551"/>
      <c r="J540" s="1551"/>
      <c r="K540" s="1551"/>
      <c r="L540" s="2151"/>
    </row>
    <row r="541" spans="2:12" s="1353" customFormat="1" ht="14.4">
      <c r="B541" s="1506"/>
      <c r="D541" s="2151"/>
      <c r="E541" s="2151"/>
      <c r="F541" s="1551"/>
      <c r="G541" s="1551"/>
      <c r="H541" s="1551"/>
      <c r="I541" s="1551"/>
      <c r="J541" s="1551"/>
      <c r="K541" s="1551"/>
      <c r="L541" s="2151"/>
    </row>
    <row r="542" spans="2:12" s="1353" customFormat="1" ht="14.4">
      <c r="B542" s="1506"/>
      <c r="D542" s="2151"/>
      <c r="E542" s="2151"/>
      <c r="F542" s="1551"/>
      <c r="G542" s="1551"/>
      <c r="H542" s="1551"/>
      <c r="I542" s="1551"/>
      <c r="J542" s="1551"/>
      <c r="K542" s="1551"/>
      <c r="L542" s="2151"/>
    </row>
    <row r="543" spans="2:12" s="1353" customFormat="1" ht="14.4">
      <c r="B543" s="1506"/>
      <c r="D543" s="2151"/>
      <c r="E543" s="2151"/>
      <c r="F543" s="1551"/>
      <c r="G543" s="1551"/>
      <c r="H543" s="1551"/>
      <c r="I543" s="1551"/>
      <c r="J543" s="1551"/>
      <c r="K543" s="1551"/>
      <c r="L543" s="2151"/>
    </row>
    <row r="544" spans="2:12" s="1353" customFormat="1" ht="14.4">
      <c r="B544" s="1506"/>
      <c r="D544" s="2151"/>
      <c r="E544" s="2151"/>
      <c r="F544" s="1551"/>
      <c r="G544" s="1551"/>
      <c r="H544" s="1551"/>
      <c r="I544" s="1551"/>
      <c r="J544" s="1551"/>
      <c r="K544" s="1551"/>
      <c r="L544" s="2151"/>
    </row>
    <row r="545" spans="2:12" s="1353" customFormat="1" ht="14.4">
      <c r="B545" s="1506"/>
      <c r="D545" s="2151"/>
      <c r="E545" s="2151"/>
      <c r="F545" s="1551"/>
      <c r="G545" s="1551"/>
      <c r="H545" s="1551"/>
      <c r="I545" s="1551"/>
      <c r="J545" s="1551"/>
      <c r="K545" s="1551"/>
      <c r="L545" s="2151"/>
    </row>
    <row r="546" spans="2:12" s="1353" customFormat="1" ht="14.4">
      <c r="B546" s="1506"/>
      <c r="D546" s="2151"/>
      <c r="E546" s="2151"/>
      <c r="F546" s="1551"/>
      <c r="G546" s="1551"/>
      <c r="H546" s="1551"/>
      <c r="I546" s="1551"/>
      <c r="J546" s="1551"/>
      <c r="K546" s="1551"/>
      <c r="L546" s="2151"/>
    </row>
    <row r="547" spans="2:12" s="1353" customFormat="1" ht="14.4">
      <c r="B547" s="1506"/>
      <c r="D547" s="2151"/>
      <c r="E547" s="2151"/>
      <c r="F547" s="1551"/>
      <c r="G547" s="1551"/>
      <c r="H547" s="1551"/>
      <c r="I547" s="1551"/>
      <c r="J547" s="1551"/>
      <c r="K547" s="1551"/>
      <c r="L547" s="2151"/>
    </row>
    <row r="548" spans="2:12" s="1353" customFormat="1" ht="14.4">
      <c r="B548" s="1506"/>
      <c r="D548" s="2151"/>
      <c r="E548" s="2151"/>
      <c r="F548" s="1551"/>
      <c r="G548" s="1551"/>
      <c r="H548" s="1551"/>
      <c r="I548" s="1551"/>
      <c r="J548" s="1551"/>
      <c r="K548" s="1551"/>
      <c r="L548" s="2151"/>
    </row>
    <row r="549" spans="2:12" s="1353" customFormat="1" ht="14.4">
      <c r="B549" s="1506"/>
      <c r="D549" s="2151"/>
      <c r="E549" s="2151"/>
      <c r="F549" s="1551"/>
      <c r="G549" s="1551"/>
      <c r="H549" s="1551"/>
      <c r="I549" s="1551"/>
      <c r="J549" s="1551"/>
      <c r="K549" s="1551"/>
      <c r="L549" s="2151"/>
    </row>
    <row r="550" spans="2:12" s="1353" customFormat="1" ht="14.4">
      <c r="B550" s="1506"/>
      <c r="D550" s="2151"/>
      <c r="E550" s="2151"/>
      <c r="F550" s="1551"/>
      <c r="G550" s="1551"/>
      <c r="H550" s="1551"/>
      <c r="I550" s="1551"/>
      <c r="J550" s="1551"/>
      <c r="K550" s="1551"/>
      <c r="L550" s="2151"/>
    </row>
    <row r="551" spans="2:12" s="1353" customFormat="1" ht="14.4">
      <c r="B551" s="1506"/>
      <c r="D551" s="2151"/>
      <c r="E551" s="2151"/>
      <c r="F551" s="1551"/>
      <c r="G551" s="1551"/>
      <c r="H551" s="1551"/>
      <c r="I551" s="1551"/>
      <c r="J551" s="1551"/>
      <c r="K551" s="1551"/>
      <c r="L551" s="2151"/>
    </row>
    <row r="552" spans="2:12" s="1353" customFormat="1" ht="14.4">
      <c r="B552" s="1506"/>
      <c r="D552" s="2151"/>
      <c r="E552" s="2151"/>
      <c r="F552" s="1551"/>
      <c r="G552" s="1551"/>
      <c r="H552" s="1551"/>
      <c r="I552" s="1551"/>
      <c r="J552" s="1551"/>
      <c r="K552" s="1551"/>
      <c r="L552" s="2151"/>
    </row>
    <row r="553" spans="2:12" s="1353" customFormat="1" ht="14.4">
      <c r="B553" s="1506"/>
      <c r="D553" s="2151"/>
      <c r="E553" s="2151"/>
      <c r="F553" s="1551"/>
      <c r="G553" s="1551"/>
      <c r="H553" s="1551"/>
      <c r="I553" s="1551"/>
      <c r="J553" s="1551"/>
      <c r="K553" s="1551"/>
      <c r="L553" s="2151"/>
    </row>
    <row r="554" spans="2:12" s="1353" customFormat="1" ht="14.4">
      <c r="B554" s="1506"/>
      <c r="D554" s="2151"/>
      <c r="E554" s="2151"/>
      <c r="F554" s="1551"/>
      <c r="G554" s="1551"/>
      <c r="H554" s="1551"/>
      <c r="I554" s="1551"/>
      <c r="J554" s="1551"/>
      <c r="K554" s="1551"/>
      <c r="L554" s="2151"/>
    </row>
    <row r="555" spans="2:12" s="1353" customFormat="1" ht="14.4">
      <c r="B555" s="1506"/>
      <c r="D555" s="2151"/>
      <c r="E555" s="2151"/>
      <c r="F555" s="1551"/>
      <c r="G555" s="1551"/>
      <c r="H555" s="1551"/>
      <c r="I555" s="1551"/>
      <c r="J555" s="1551"/>
      <c r="K555" s="1551"/>
      <c r="L555" s="2151"/>
    </row>
    <row r="556" spans="2:12" s="1353" customFormat="1" ht="14.4">
      <c r="B556" s="1506"/>
      <c r="D556" s="2151"/>
      <c r="E556" s="2151"/>
      <c r="F556" s="1551"/>
      <c r="G556" s="1551"/>
      <c r="H556" s="1551"/>
      <c r="I556" s="1551"/>
      <c r="J556" s="1551"/>
      <c r="K556" s="1551"/>
      <c r="L556" s="2151"/>
    </row>
    <row r="557" spans="2:12" s="1353" customFormat="1" ht="14.4">
      <c r="B557" s="1506"/>
      <c r="D557" s="2151"/>
      <c r="E557" s="2151"/>
      <c r="F557" s="1551"/>
      <c r="G557" s="1551"/>
      <c r="H557" s="1551"/>
      <c r="I557" s="1551"/>
      <c r="J557" s="1551"/>
      <c r="K557" s="1551"/>
      <c r="L557" s="2151"/>
    </row>
    <row r="558" spans="2:12" s="1353" customFormat="1" ht="14.4">
      <c r="B558" s="1506"/>
      <c r="D558" s="2151"/>
      <c r="E558" s="2151"/>
      <c r="F558" s="1551"/>
      <c r="G558" s="1551"/>
      <c r="H558" s="1551"/>
      <c r="I558" s="1551"/>
      <c r="J558" s="1551"/>
      <c r="K558" s="1551"/>
      <c r="L558" s="2151"/>
    </row>
    <row r="559" spans="2:12" s="1353" customFormat="1" ht="14.4">
      <c r="B559" s="1506"/>
      <c r="D559" s="2151"/>
      <c r="E559" s="2151"/>
      <c r="F559" s="1551"/>
      <c r="G559" s="1551"/>
      <c r="H559" s="1551"/>
      <c r="I559" s="1551"/>
      <c r="J559" s="1551"/>
      <c r="K559" s="1551"/>
      <c r="L559" s="2151"/>
    </row>
    <row r="560" spans="2:12" s="1353" customFormat="1" ht="14.4">
      <c r="B560" s="1506"/>
      <c r="D560" s="2151"/>
      <c r="E560" s="2151"/>
      <c r="F560" s="1551"/>
      <c r="G560" s="1551"/>
      <c r="H560" s="1551"/>
      <c r="I560" s="1551"/>
      <c r="J560" s="1551"/>
      <c r="K560" s="1551"/>
      <c r="L560" s="2151"/>
    </row>
    <row r="561" spans="2:12" s="1353" customFormat="1" ht="14.4">
      <c r="B561" s="1506"/>
      <c r="D561" s="2151"/>
      <c r="E561" s="2151"/>
      <c r="F561" s="1551"/>
      <c r="G561" s="1551"/>
      <c r="H561" s="1551"/>
      <c r="I561" s="1551"/>
      <c r="J561" s="1551"/>
      <c r="K561" s="1551"/>
      <c r="L561" s="2151"/>
    </row>
    <row r="562" spans="2:12" s="1353" customFormat="1" ht="14.4">
      <c r="B562" s="1506"/>
      <c r="D562" s="2151"/>
      <c r="E562" s="2151"/>
      <c r="F562" s="1551"/>
      <c r="G562" s="1551"/>
      <c r="H562" s="1551"/>
      <c r="I562" s="1551"/>
      <c r="J562" s="1551"/>
      <c r="K562" s="1551"/>
      <c r="L562" s="2151"/>
    </row>
    <row r="563" spans="2:12" s="1353" customFormat="1" ht="14.4">
      <c r="B563" s="1506"/>
      <c r="D563" s="2151"/>
      <c r="E563" s="2151"/>
      <c r="F563" s="1551"/>
      <c r="G563" s="1551"/>
      <c r="H563" s="1551"/>
      <c r="I563" s="1551"/>
      <c r="J563" s="1551"/>
      <c r="K563" s="1551"/>
      <c r="L563" s="2151"/>
    </row>
    <row r="564" spans="2:12" s="1353" customFormat="1" ht="14.4">
      <c r="B564" s="1506"/>
      <c r="D564" s="2151"/>
      <c r="E564" s="2151"/>
      <c r="F564" s="1551"/>
      <c r="G564" s="1551"/>
      <c r="H564" s="1551"/>
      <c r="I564" s="1551"/>
      <c r="J564" s="1551"/>
      <c r="K564" s="1551"/>
      <c r="L564" s="2151"/>
    </row>
    <row r="565" spans="2:12" s="1353" customFormat="1" ht="14.4">
      <c r="B565" s="1506"/>
      <c r="D565" s="2151"/>
      <c r="E565" s="2151"/>
      <c r="F565" s="1551"/>
      <c r="G565" s="1551"/>
      <c r="H565" s="1551"/>
      <c r="I565" s="1551"/>
      <c r="J565" s="1551"/>
      <c r="K565" s="1551"/>
      <c r="L565" s="2151"/>
    </row>
    <row r="566" spans="2:12" s="1353" customFormat="1" ht="14.4">
      <c r="B566" s="1506"/>
      <c r="D566" s="2151"/>
      <c r="E566" s="2151"/>
      <c r="F566" s="1551"/>
      <c r="G566" s="1551"/>
      <c r="H566" s="1551"/>
      <c r="I566" s="1551"/>
      <c r="J566" s="1551"/>
      <c r="K566" s="1551"/>
      <c r="L566" s="2151"/>
    </row>
    <row r="567" spans="2:12" s="1353" customFormat="1" ht="14.4">
      <c r="B567" s="1506"/>
      <c r="D567" s="2151"/>
      <c r="E567" s="2151"/>
      <c r="F567" s="1551"/>
      <c r="G567" s="1551"/>
      <c r="H567" s="1551"/>
      <c r="I567" s="1551"/>
      <c r="J567" s="1551"/>
      <c r="K567" s="1551"/>
      <c r="L567" s="2151"/>
    </row>
    <row r="568" spans="2:12" s="1353" customFormat="1" ht="14.4">
      <c r="B568" s="1506"/>
      <c r="D568" s="2151"/>
      <c r="E568" s="2151"/>
      <c r="F568" s="1551"/>
      <c r="G568" s="1551"/>
      <c r="H568" s="1551"/>
      <c r="I568" s="1551"/>
      <c r="J568" s="1551"/>
      <c r="K568" s="1551"/>
      <c r="L568" s="2151"/>
    </row>
    <row r="569" spans="2:12" s="1353" customFormat="1" ht="14.4">
      <c r="B569" s="1506"/>
      <c r="D569" s="2151"/>
      <c r="E569" s="2151"/>
      <c r="F569" s="1551"/>
      <c r="G569" s="1551"/>
      <c r="H569" s="1551"/>
      <c r="I569" s="1551"/>
      <c r="J569" s="1551"/>
      <c r="K569" s="1551"/>
      <c r="L569" s="2151"/>
    </row>
    <row r="570" spans="2:12" s="1353" customFormat="1" ht="14.4">
      <c r="B570" s="1506"/>
      <c r="D570" s="2151"/>
      <c r="E570" s="2151"/>
      <c r="F570" s="1551"/>
      <c r="G570" s="1551"/>
      <c r="H570" s="1551"/>
      <c r="I570" s="1551"/>
      <c r="J570" s="1551"/>
      <c r="K570" s="1551"/>
      <c r="L570" s="2151"/>
    </row>
    <row r="571" spans="2:12" s="1353" customFormat="1" ht="14.4">
      <c r="B571" s="1506"/>
      <c r="D571" s="2151"/>
      <c r="E571" s="2151"/>
      <c r="F571" s="1551"/>
      <c r="G571" s="1551"/>
      <c r="H571" s="1551"/>
      <c r="I571" s="1551"/>
      <c r="J571" s="1551"/>
      <c r="K571" s="1551"/>
      <c r="L571" s="2151"/>
    </row>
    <row r="572" spans="2:12" s="1353" customFormat="1" ht="14.4">
      <c r="B572" s="1506"/>
      <c r="D572" s="2151"/>
      <c r="E572" s="2151"/>
      <c r="F572" s="1551"/>
      <c r="G572" s="1551"/>
      <c r="H572" s="1551"/>
      <c r="I572" s="1551"/>
      <c r="J572" s="1551"/>
      <c r="K572" s="1551"/>
      <c r="L572" s="2151"/>
    </row>
    <row r="573" spans="2:12" s="1353" customFormat="1" ht="14.4">
      <c r="B573" s="1506"/>
      <c r="D573" s="2151"/>
      <c r="E573" s="2151"/>
      <c r="F573" s="1551"/>
      <c r="G573" s="1551"/>
      <c r="H573" s="1551"/>
      <c r="I573" s="1551"/>
      <c r="J573" s="1551"/>
      <c r="K573" s="1551"/>
      <c r="L573" s="2151"/>
    </row>
    <row r="574" spans="2:12" s="1353" customFormat="1" ht="14.4">
      <c r="B574" s="1506"/>
      <c r="D574" s="2151"/>
      <c r="E574" s="2151"/>
      <c r="F574" s="1551"/>
      <c r="G574" s="1551"/>
      <c r="H574" s="1551"/>
      <c r="I574" s="1551"/>
      <c r="J574" s="1551"/>
      <c r="K574" s="1551"/>
      <c r="L574" s="2151"/>
    </row>
    <row r="575" spans="2:12" s="1353" customFormat="1" ht="14.4">
      <c r="B575" s="1506"/>
      <c r="D575" s="2151"/>
      <c r="E575" s="2151"/>
      <c r="F575" s="1551"/>
      <c r="G575" s="1551"/>
      <c r="H575" s="1551"/>
      <c r="I575" s="1551"/>
      <c r="J575" s="1551"/>
      <c r="K575" s="1551"/>
      <c r="L575" s="2151"/>
    </row>
    <row r="576" spans="2:12" s="1353" customFormat="1" ht="14.4">
      <c r="B576" s="1506"/>
      <c r="D576" s="2151"/>
      <c r="E576" s="2151"/>
      <c r="F576" s="1551"/>
      <c r="G576" s="1551"/>
      <c r="H576" s="1551"/>
      <c r="I576" s="1551"/>
      <c r="J576" s="1551"/>
      <c r="K576" s="1551"/>
      <c r="L576" s="2151"/>
    </row>
    <row r="577" spans="2:12" s="1353" customFormat="1" ht="14.4">
      <c r="B577" s="1506"/>
      <c r="D577" s="2151"/>
      <c r="E577" s="2151"/>
      <c r="F577" s="1551"/>
      <c r="G577" s="1551"/>
      <c r="H577" s="1551"/>
      <c r="I577" s="1551"/>
      <c r="J577" s="1551"/>
      <c r="K577" s="1551"/>
      <c r="L577" s="2151"/>
    </row>
    <row r="578" spans="2:12" s="1353" customFormat="1" ht="14.4">
      <c r="B578" s="1506"/>
      <c r="D578" s="2151"/>
      <c r="E578" s="2151"/>
      <c r="F578" s="1551"/>
      <c r="G578" s="1551"/>
      <c r="H578" s="1551"/>
      <c r="I578" s="1551"/>
      <c r="J578" s="1551"/>
      <c r="K578" s="1551"/>
      <c r="L578" s="2151"/>
    </row>
    <row r="579" spans="2:12" s="1353" customFormat="1" ht="14.4">
      <c r="B579" s="1506"/>
      <c r="D579" s="2151"/>
      <c r="E579" s="2151"/>
      <c r="F579" s="1551"/>
      <c r="G579" s="1551"/>
      <c r="H579" s="1551"/>
      <c r="I579" s="1551"/>
      <c r="J579" s="1551"/>
      <c r="K579" s="1551"/>
      <c r="L579" s="2151"/>
    </row>
    <row r="580" spans="2:12" s="1353" customFormat="1" ht="14.4">
      <c r="B580" s="1506"/>
      <c r="D580" s="2151"/>
      <c r="E580" s="2151"/>
      <c r="F580" s="1551"/>
      <c r="G580" s="1551"/>
      <c r="H580" s="1551"/>
      <c r="I580" s="1551"/>
      <c r="J580" s="1551"/>
      <c r="K580" s="1551"/>
      <c r="L580" s="2151"/>
    </row>
    <row r="581" spans="2:12" s="1353" customFormat="1" ht="14.4">
      <c r="B581" s="1506"/>
      <c r="D581" s="2151"/>
      <c r="E581" s="2151"/>
      <c r="F581" s="1551"/>
      <c r="G581" s="1551"/>
      <c r="H581" s="1551"/>
      <c r="I581" s="1551"/>
      <c r="J581" s="1551"/>
      <c r="K581" s="1551"/>
      <c r="L581" s="2151"/>
    </row>
    <row r="582" spans="2:12" s="1353" customFormat="1" ht="14.4">
      <c r="B582" s="1506"/>
      <c r="D582" s="2151"/>
      <c r="E582" s="2151"/>
      <c r="F582" s="1551"/>
      <c r="G582" s="1551"/>
      <c r="H582" s="1551"/>
      <c r="I582" s="1551"/>
      <c r="J582" s="1551"/>
      <c r="K582" s="1551"/>
      <c r="L582" s="2151"/>
    </row>
    <row r="583" spans="2:12" s="1353" customFormat="1" ht="14.4">
      <c r="B583" s="1506"/>
      <c r="D583" s="2151"/>
      <c r="E583" s="2151"/>
      <c r="F583" s="1551"/>
      <c r="G583" s="1551"/>
      <c r="H583" s="1551"/>
      <c r="I583" s="1551"/>
      <c r="J583" s="1551"/>
      <c r="K583" s="1551"/>
      <c r="L583" s="2151"/>
    </row>
    <row r="584" spans="2:12" s="1353" customFormat="1" ht="14.4">
      <c r="B584" s="1506"/>
      <c r="D584" s="2151"/>
      <c r="E584" s="2151"/>
      <c r="F584" s="1551"/>
      <c r="G584" s="1551"/>
      <c r="H584" s="1551"/>
      <c r="I584" s="1551"/>
      <c r="J584" s="1551"/>
      <c r="K584" s="1551"/>
      <c r="L584" s="2151"/>
    </row>
    <row r="585" spans="2:12" s="1353" customFormat="1" ht="14.4">
      <c r="B585" s="1506"/>
      <c r="D585" s="2151"/>
      <c r="E585" s="2151"/>
      <c r="F585" s="1551"/>
      <c r="G585" s="1551"/>
      <c r="H585" s="1551"/>
      <c r="I585" s="1551"/>
      <c r="J585" s="1551"/>
      <c r="K585" s="1551"/>
      <c r="L585" s="2151"/>
    </row>
    <row r="586" spans="2:12" s="1353" customFormat="1" ht="14.4">
      <c r="B586" s="1506"/>
      <c r="D586" s="2151"/>
      <c r="E586" s="2151"/>
      <c r="F586" s="1551"/>
      <c r="G586" s="1551"/>
      <c r="H586" s="1551"/>
      <c r="I586" s="1551"/>
      <c r="J586" s="1551"/>
      <c r="K586" s="1551"/>
      <c r="L586" s="2151"/>
    </row>
    <row r="587" spans="2:12" s="1353" customFormat="1" ht="14.4">
      <c r="B587" s="1506"/>
      <c r="D587" s="2151"/>
      <c r="E587" s="2151"/>
      <c r="F587" s="1551"/>
      <c r="G587" s="1551"/>
      <c r="H587" s="1551"/>
      <c r="I587" s="1551"/>
      <c r="J587" s="1551"/>
      <c r="K587" s="1551"/>
      <c r="L587" s="2151"/>
    </row>
    <row r="588" spans="2:12" s="1353" customFormat="1" ht="14.4">
      <c r="B588" s="1506"/>
      <c r="D588" s="2151"/>
      <c r="E588" s="2151"/>
      <c r="F588" s="1551"/>
      <c r="G588" s="1551"/>
      <c r="H588" s="1551"/>
      <c r="I588" s="1551"/>
      <c r="J588" s="1551"/>
      <c r="K588" s="1551"/>
      <c r="L588" s="2151"/>
    </row>
    <row r="589" spans="2:12" s="1353" customFormat="1" ht="14.4">
      <c r="B589" s="1506"/>
      <c r="D589" s="2151"/>
      <c r="E589" s="2151"/>
      <c r="F589" s="1551"/>
      <c r="G589" s="1551"/>
      <c r="H589" s="1551"/>
      <c r="I589" s="1551"/>
      <c r="J589" s="1551"/>
      <c r="K589" s="1551"/>
      <c r="L589" s="2151"/>
    </row>
    <row r="590" spans="2:12" s="1353" customFormat="1" ht="14.4">
      <c r="B590" s="1506"/>
      <c r="D590" s="2151"/>
      <c r="E590" s="2151"/>
      <c r="F590" s="1551"/>
      <c r="G590" s="1551"/>
      <c r="H590" s="1551"/>
      <c r="I590" s="1551"/>
      <c r="J590" s="1551"/>
      <c r="K590" s="1551"/>
      <c r="L590" s="2151"/>
    </row>
    <row r="591" spans="2:12" s="1353" customFormat="1" ht="14.4">
      <c r="B591" s="1506"/>
      <c r="D591" s="2151"/>
      <c r="E591" s="2151"/>
      <c r="F591" s="1551"/>
      <c r="G591" s="1551"/>
      <c r="H591" s="1551"/>
      <c r="I591" s="1551"/>
      <c r="J591" s="1551"/>
      <c r="K591" s="1551"/>
      <c r="L591" s="2151"/>
    </row>
    <row r="592" spans="2:12" s="1353" customFormat="1" ht="14.4">
      <c r="B592" s="1506"/>
      <c r="D592" s="2151"/>
      <c r="E592" s="2151"/>
      <c r="F592" s="1551"/>
      <c r="G592" s="1551"/>
      <c r="H592" s="1551"/>
      <c r="I592" s="1551"/>
      <c r="J592" s="1551"/>
      <c r="K592" s="1551"/>
      <c r="L592" s="2151"/>
    </row>
    <row r="593" spans="2:12" s="1353" customFormat="1" ht="14.4">
      <c r="B593" s="1506"/>
      <c r="D593" s="2151"/>
      <c r="E593" s="2151"/>
      <c r="F593" s="1551"/>
      <c r="G593" s="1551"/>
      <c r="H593" s="1551"/>
      <c r="I593" s="1551"/>
      <c r="J593" s="1551"/>
      <c r="K593" s="1551"/>
      <c r="L593" s="2151"/>
    </row>
    <row r="594" spans="2:12" s="1353" customFormat="1" ht="14.4">
      <c r="B594" s="1506"/>
      <c r="D594" s="2151"/>
      <c r="E594" s="2151"/>
      <c r="F594" s="1551"/>
      <c r="G594" s="1551"/>
      <c r="H594" s="1551"/>
      <c r="I594" s="1551"/>
      <c r="J594" s="1551"/>
      <c r="K594" s="1551"/>
      <c r="L594" s="2151"/>
    </row>
    <row r="595" spans="2:12" s="1353" customFormat="1" ht="14.4">
      <c r="B595" s="1506"/>
      <c r="D595" s="2151"/>
      <c r="E595" s="2151"/>
      <c r="F595" s="1551"/>
      <c r="G595" s="1551"/>
      <c r="H595" s="1551"/>
      <c r="I595" s="1551"/>
      <c r="J595" s="1551"/>
      <c r="K595" s="1551"/>
      <c r="L595" s="2151"/>
    </row>
    <row r="596" spans="2:12" s="1353" customFormat="1" ht="14.4">
      <c r="B596" s="1506"/>
      <c r="D596" s="2151"/>
      <c r="E596" s="2151"/>
      <c r="F596" s="1551"/>
      <c r="G596" s="1551"/>
      <c r="H596" s="1551"/>
      <c r="I596" s="1551"/>
      <c r="J596" s="1551"/>
      <c r="K596" s="1551"/>
      <c r="L596" s="2151"/>
    </row>
    <row r="597" spans="2:12" s="1353" customFormat="1" ht="14.4">
      <c r="B597" s="1506"/>
      <c r="D597" s="2151"/>
      <c r="E597" s="2151"/>
      <c r="F597" s="1551"/>
      <c r="G597" s="1551"/>
      <c r="H597" s="1551"/>
      <c r="I597" s="1551"/>
      <c r="J597" s="1551"/>
      <c r="K597" s="1551"/>
      <c r="L597" s="2151"/>
    </row>
    <row r="598" spans="2:12" s="1353" customFormat="1" ht="14.4">
      <c r="B598" s="1506"/>
      <c r="D598" s="2151"/>
      <c r="E598" s="2151"/>
      <c r="F598" s="1551"/>
      <c r="G598" s="1551"/>
      <c r="H598" s="1551"/>
      <c r="I598" s="1551"/>
      <c r="J598" s="1551"/>
      <c r="K598" s="1551"/>
      <c r="L598" s="2151"/>
    </row>
    <row r="599" spans="2:12" s="1353" customFormat="1" ht="14.4">
      <c r="B599" s="1506"/>
      <c r="D599" s="2151"/>
      <c r="E599" s="2151"/>
      <c r="F599" s="1551"/>
      <c r="G599" s="1551"/>
      <c r="H599" s="1551"/>
      <c r="I599" s="1551"/>
      <c r="J599" s="1551"/>
      <c r="K599" s="1551"/>
      <c r="L599" s="2151"/>
    </row>
    <row r="600" spans="2:12" s="1353" customFormat="1" ht="14.4">
      <c r="B600" s="1506"/>
      <c r="D600" s="2151"/>
      <c r="E600" s="2151"/>
      <c r="F600" s="1551"/>
      <c r="G600" s="1551"/>
      <c r="H600" s="1551"/>
      <c r="I600" s="1551"/>
      <c r="J600" s="1551"/>
      <c r="K600" s="1551"/>
      <c r="L600" s="2151"/>
    </row>
    <row r="601" spans="2:12" s="1353" customFormat="1" ht="14.4">
      <c r="B601" s="1506"/>
      <c r="D601" s="2151"/>
      <c r="E601" s="2151"/>
      <c r="F601" s="1551"/>
      <c r="G601" s="1551"/>
      <c r="H601" s="1551"/>
      <c r="I601" s="1551"/>
      <c r="J601" s="1551"/>
      <c r="K601" s="1551"/>
      <c r="L601" s="2151"/>
    </row>
    <row r="602" spans="2:12" s="1353" customFormat="1" ht="14.4">
      <c r="B602" s="1506"/>
      <c r="D602" s="2151"/>
      <c r="E602" s="2151"/>
      <c r="F602" s="1551"/>
      <c r="G602" s="1551"/>
      <c r="H602" s="1551"/>
      <c r="I602" s="1551"/>
      <c r="J602" s="1551"/>
      <c r="K602" s="1551"/>
      <c r="L602" s="2151"/>
    </row>
    <row r="603" spans="2:12" s="1353" customFormat="1" ht="14.4">
      <c r="B603" s="1506"/>
      <c r="D603" s="2151"/>
      <c r="E603" s="2151"/>
      <c r="F603" s="1551"/>
      <c r="G603" s="1551"/>
      <c r="H603" s="1551"/>
      <c r="I603" s="1551"/>
      <c r="J603" s="1551"/>
      <c r="K603" s="1551"/>
      <c r="L603" s="2151"/>
    </row>
    <row r="604" spans="2:12" s="1353" customFormat="1" ht="14.4">
      <c r="B604" s="1506"/>
      <c r="D604" s="2151"/>
      <c r="E604" s="2151"/>
      <c r="F604" s="1551"/>
      <c r="G604" s="1551"/>
      <c r="H604" s="1551"/>
      <c r="I604" s="1551"/>
      <c r="J604" s="1551"/>
      <c r="K604" s="1551"/>
      <c r="L604" s="2151"/>
    </row>
    <row r="605" spans="2:12" s="1353" customFormat="1" ht="14.4">
      <c r="B605" s="1506"/>
      <c r="D605" s="2151"/>
      <c r="E605" s="2151"/>
      <c r="F605" s="1551"/>
      <c r="G605" s="1551"/>
      <c r="H605" s="1551"/>
      <c r="I605" s="1551"/>
      <c r="J605" s="1551"/>
      <c r="K605" s="1551"/>
      <c r="L605" s="2151"/>
    </row>
    <row r="606" spans="2:12" s="1353" customFormat="1" ht="14.4">
      <c r="B606" s="1506"/>
      <c r="D606" s="2151"/>
      <c r="E606" s="2151"/>
      <c r="F606" s="1551"/>
      <c r="G606" s="1551"/>
      <c r="H606" s="1551"/>
      <c r="I606" s="1551"/>
      <c r="J606" s="1551"/>
      <c r="K606" s="1551"/>
      <c r="L606" s="2151"/>
    </row>
    <row r="607" spans="2:12" s="1353" customFormat="1" ht="14.4">
      <c r="B607" s="1506"/>
      <c r="D607" s="2151"/>
      <c r="E607" s="2151"/>
      <c r="F607" s="1551"/>
      <c r="G607" s="1551"/>
      <c r="H607" s="1551"/>
      <c r="I607" s="1551"/>
      <c r="J607" s="1551"/>
      <c r="K607" s="1551"/>
      <c r="L607" s="2151"/>
    </row>
    <row r="608" spans="2:12" s="1353" customFormat="1" ht="14.4">
      <c r="B608" s="1506"/>
      <c r="D608" s="2151"/>
      <c r="E608" s="2151"/>
      <c r="F608" s="1551"/>
      <c r="G608" s="1551"/>
      <c r="H608" s="1551"/>
      <c r="I608" s="1551"/>
      <c r="J608" s="1551"/>
      <c r="K608" s="1551"/>
      <c r="L608" s="2151"/>
    </row>
    <row r="609" spans="2:12" s="1353" customFormat="1" ht="14.4">
      <c r="B609" s="1506"/>
      <c r="D609" s="2151"/>
      <c r="E609" s="2151"/>
      <c r="F609" s="1551"/>
      <c r="G609" s="1551"/>
      <c r="H609" s="1551"/>
      <c r="I609" s="1551"/>
      <c r="J609" s="1551"/>
      <c r="K609" s="1551"/>
      <c r="L609" s="2151"/>
    </row>
    <row r="610" spans="2:12" s="1353" customFormat="1" ht="14.4">
      <c r="B610" s="1506"/>
      <c r="D610" s="2151"/>
      <c r="E610" s="2151"/>
      <c r="F610" s="1551"/>
      <c r="G610" s="1551"/>
      <c r="H610" s="1551"/>
      <c r="I610" s="1551"/>
      <c r="J610" s="1551"/>
      <c r="K610" s="1551"/>
      <c r="L610" s="2151"/>
    </row>
    <row r="611" spans="2:12" s="1353" customFormat="1" ht="14.4">
      <c r="B611" s="1506"/>
      <c r="D611" s="2151"/>
      <c r="E611" s="2151"/>
      <c r="F611" s="1551"/>
      <c r="G611" s="1551"/>
      <c r="H611" s="1551"/>
      <c r="I611" s="1551"/>
      <c r="J611" s="1551"/>
      <c r="K611" s="1551"/>
      <c r="L611" s="2151"/>
    </row>
    <row r="612" spans="2:12" s="1353" customFormat="1" ht="14.4">
      <c r="B612" s="1506"/>
      <c r="D612" s="2151"/>
      <c r="E612" s="2151"/>
      <c r="F612" s="1551"/>
      <c r="G612" s="1551"/>
      <c r="H612" s="1551"/>
      <c r="I612" s="1551"/>
      <c r="J612" s="1551"/>
      <c r="K612" s="1551"/>
      <c r="L612" s="2151"/>
    </row>
    <row r="613" spans="2:12" s="1353" customFormat="1" ht="14.4">
      <c r="B613" s="1506"/>
      <c r="D613" s="2151"/>
      <c r="E613" s="2151"/>
      <c r="F613" s="1551"/>
      <c r="G613" s="1551"/>
      <c r="H613" s="1551"/>
      <c r="I613" s="1551"/>
      <c r="J613" s="1551"/>
      <c r="K613" s="1551"/>
      <c r="L613" s="2151"/>
    </row>
    <row r="614" spans="2:12" s="1353" customFormat="1" ht="14.4">
      <c r="B614" s="1506"/>
      <c r="D614" s="2151"/>
      <c r="E614" s="2151"/>
      <c r="F614" s="1551"/>
      <c r="G614" s="1551"/>
      <c r="H614" s="1551"/>
      <c r="I614" s="1551"/>
      <c r="J614" s="1551"/>
      <c r="K614" s="1551"/>
      <c r="L614" s="2151"/>
    </row>
    <row r="615" spans="2:12" s="1353" customFormat="1" ht="14.4">
      <c r="B615" s="1506"/>
      <c r="D615" s="2151"/>
      <c r="E615" s="2151"/>
      <c r="F615" s="1551"/>
      <c r="G615" s="1551"/>
      <c r="H615" s="1551"/>
      <c r="I615" s="1551"/>
      <c r="J615" s="1551"/>
      <c r="K615" s="1551"/>
      <c r="L615" s="2151"/>
    </row>
    <row r="616" spans="2:12" s="1353" customFormat="1" ht="14.4">
      <c r="B616" s="1506"/>
      <c r="D616" s="2151"/>
      <c r="E616" s="2151"/>
      <c r="F616" s="1551"/>
      <c r="G616" s="1551"/>
      <c r="H616" s="1551"/>
      <c r="I616" s="1551"/>
      <c r="J616" s="1551"/>
      <c r="K616" s="1551"/>
      <c r="L616" s="2151"/>
    </row>
    <row r="617" spans="2:12" s="1353" customFormat="1" ht="14.4">
      <c r="B617" s="1506"/>
      <c r="D617" s="2151"/>
      <c r="E617" s="2151"/>
      <c r="F617" s="1551"/>
      <c r="G617" s="1551"/>
      <c r="H617" s="1551"/>
      <c r="I617" s="1551"/>
      <c r="J617" s="1551"/>
      <c r="K617" s="1551"/>
      <c r="L617" s="2151"/>
    </row>
    <row r="618" spans="2:12" s="1353" customFormat="1" ht="14.4">
      <c r="B618" s="1506"/>
      <c r="D618" s="2151"/>
      <c r="E618" s="2151"/>
      <c r="F618" s="1551"/>
      <c r="G618" s="1551"/>
      <c r="H618" s="1551"/>
      <c r="I618" s="1551"/>
      <c r="J618" s="1551"/>
      <c r="K618" s="1551"/>
      <c r="L618" s="2151"/>
    </row>
    <row r="619" spans="2:12" s="1353" customFormat="1" ht="14.4">
      <c r="B619" s="1506"/>
      <c r="D619" s="2151"/>
      <c r="E619" s="2151"/>
      <c r="F619" s="1551"/>
      <c r="G619" s="1551"/>
      <c r="H619" s="1551"/>
      <c r="I619" s="1551"/>
      <c r="J619" s="1551"/>
      <c r="K619" s="1551"/>
      <c r="L619" s="2151"/>
    </row>
    <row r="620" spans="2:12" s="1353" customFormat="1" ht="14.4">
      <c r="B620" s="1506"/>
      <c r="D620" s="2151"/>
      <c r="E620" s="2151"/>
      <c r="F620" s="1551"/>
      <c r="G620" s="1551"/>
      <c r="H620" s="1551"/>
      <c r="I620" s="1551"/>
      <c r="J620" s="1551"/>
      <c r="K620" s="1551"/>
      <c r="L620" s="2151"/>
    </row>
    <row r="621" spans="2:12" s="1353" customFormat="1" ht="14.4">
      <c r="B621" s="1506"/>
      <c r="D621" s="2151"/>
      <c r="E621" s="2151"/>
      <c r="F621" s="1551"/>
      <c r="G621" s="1551"/>
      <c r="H621" s="1551"/>
      <c r="I621" s="1551"/>
      <c r="J621" s="1551"/>
      <c r="K621" s="1551"/>
      <c r="L621" s="2151"/>
    </row>
    <row r="622" spans="2:12" s="1353" customFormat="1" ht="14.4">
      <c r="B622" s="1506"/>
      <c r="D622" s="2151"/>
      <c r="E622" s="2151"/>
      <c r="F622" s="1551"/>
      <c r="G622" s="1551"/>
      <c r="H622" s="1551"/>
      <c r="I622" s="1551"/>
      <c r="J622" s="1551"/>
      <c r="K622" s="1551"/>
      <c r="L622" s="2151"/>
    </row>
    <row r="623" spans="2:12" s="1353" customFormat="1" ht="14.4">
      <c r="B623" s="1506"/>
      <c r="D623" s="2151"/>
      <c r="E623" s="2151"/>
      <c r="F623" s="1551"/>
      <c r="G623" s="1551"/>
      <c r="H623" s="1551"/>
      <c r="I623" s="1551"/>
      <c r="J623" s="1551"/>
      <c r="K623" s="1551"/>
      <c r="L623" s="2151"/>
    </row>
    <row r="624" spans="2:12" s="1353" customFormat="1" ht="14.4">
      <c r="B624" s="1506"/>
      <c r="D624" s="2151"/>
      <c r="E624" s="2151"/>
      <c r="F624" s="1551"/>
      <c r="G624" s="1551"/>
      <c r="H624" s="1551"/>
      <c r="I624" s="1551"/>
      <c r="J624" s="1551"/>
      <c r="K624" s="1551"/>
      <c r="L624" s="2151"/>
    </row>
    <row r="625" spans="2:12" s="1353" customFormat="1" ht="14.4">
      <c r="B625" s="1506"/>
      <c r="D625" s="2151"/>
      <c r="E625" s="2151"/>
      <c r="F625" s="1551"/>
      <c r="G625" s="1551"/>
      <c r="H625" s="1551"/>
      <c r="I625" s="1551"/>
      <c r="J625" s="1551"/>
      <c r="K625" s="1551"/>
      <c r="L625" s="2151"/>
    </row>
    <row r="626" spans="2:12" s="1353" customFormat="1" ht="14.4">
      <c r="B626" s="1506"/>
      <c r="D626" s="2151"/>
      <c r="E626" s="2151"/>
      <c r="F626" s="1551"/>
      <c r="G626" s="1551"/>
      <c r="H626" s="1551"/>
      <c r="I626" s="1551"/>
      <c r="J626" s="1551"/>
      <c r="K626" s="1551"/>
      <c r="L626" s="2151"/>
    </row>
    <row r="627" spans="2:12" s="1353" customFormat="1" ht="14.4">
      <c r="B627" s="1506"/>
      <c r="D627" s="2151"/>
      <c r="E627" s="2151"/>
      <c r="F627" s="1551"/>
      <c r="G627" s="1551"/>
      <c r="H627" s="1551"/>
      <c r="I627" s="1551"/>
      <c r="J627" s="1551"/>
      <c r="K627" s="1551"/>
      <c r="L627" s="2151"/>
    </row>
    <row r="628" spans="2:12" s="1353" customFormat="1" ht="14.4">
      <c r="B628" s="1506"/>
      <c r="D628" s="2151"/>
      <c r="E628" s="2151"/>
      <c r="F628" s="1551"/>
      <c r="G628" s="1551"/>
      <c r="H628" s="1551"/>
      <c r="I628" s="1551"/>
      <c r="J628" s="1551"/>
      <c r="K628" s="1551"/>
      <c r="L628" s="2151"/>
    </row>
    <row r="629" spans="2:12" s="1353" customFormat="1" ht="14.4">
      <c r="B629" s="1506"/>
      <c r="D629" s="2151"/>
      <c r="E629" s="2151"/>
      <c r="F629" s="1551"/>
      <c r="G629" s="1551"/>
      <c r="H629" s="1551"/>
      <c r="I629" s="1551"/>
      <c r="J629" s="1551"/>
      <c r="K629" s="1551"/>
      <c r="L629" s="2151"/>
    </row>
    <row r="630" spans="2:12" s="1353" customFormat="1" ht="14.4">
      <c r="B630" s="1506"/>
      <c r="D630" s="2151"/>
      <c r="E630" s="2151"/>
      <c r="F630" s="1551"/>
      <c r="G630" s="1551"/>
      <c r="H630" s="1551"/>
      <c r="I630" s="1551"/>
      <c r="J630" s="1551"/>
      <c r="K630" s="1551"/>
      <c r="L630" s="2151"/>
    </row>
    <row r="631" spans="2:12" s="1353" customFormat="1" ht="14.4">
      <c r="B631" s="1506"/>
      <c r="D631" s="2151"/>
      <c r="E631" s="2151"/>
      <c r="F631" s="1551"/>
      <c r="G631" s="1551"/>
      <c r="H631" s="1551"/>
      <c r="I631" s="1551"/>
      <c r="J631" s="1551"/>
      <c r="K631" s="1551"/>
      <c r="L631" s="2151"/>
    </row>
    <row r="632" spans="2:12" s="1353" customFormat="1" ht="14.4">
      <c r="B632" s="1506"/>
      <c r="D632" s="2151"/>
      <c r="E632" s="2151"/>
      <c r="F632" s="1551"/>
      <c r="G632" s="1551"/>
      <c r="H632" s="1551"/>
      <c r="I632" s="1551"/>
      <c r="J632" s="1551"/>
      <c r="K632" s="1551"/>
      <c r="L632" s="2151"/>
    </row>
    <row r="633" spans="2:12" s="1353" customFormat="1" ht="14.4">
      <c r="B633" s="1506"/>
      <c r="D633" s="2151"/>
      <c r="E633" s="2151"/>
      <c r="F633" s="1551"/>
      <c r="G633" s="1551"/>
      <c r="H633" s="1551"/>
      <c r="I633" s="1551"/>
      <c r="J633" s="1551"/>
      <c r="K633" s="1551"/>
      <c r="L633" s="2151"/>
    </row>
    <row r="634" spans="2:12" s="1353" customFormat="1" ht="14.4">
      <c r="B634" s="1506"/>
      <c r="D634" s="2151"/>
      <c r="E634" s="2151"/>
      <c r="F634" s="1551"/>
      <c r="G634" s="1551"/>
      <c r="H634" s="1551"/>
      <c r="I634" s="1551"/>
      <c r="J634" s="1551"/>
      <c r="K634" s="1551"/>
      <c r="L634" s="2151"/>
    </row>
    <row r="635" spans="2:12" s="1353" customFormat="1" ht="14.4">
      <c r="B635" s="1506"/>
      <c r="D635" s="2151"/>
      <c r="E635" s="2151"/>
      <c r="F635" s="1551"/>
      <c r="G635" s="1551"/>
      <c r="H635" s="1551"/>
      <c r="I635" s="1551"/>
      <c r="J635" s="1551"/>
      <c r="K635" s="1551"/>
      <c r="L635" s="2151"/>
    </row>
    <row r="636" spans="2:12" s="1353" customFormat="1" ht="14.4">
      <c r="B636" s="1506"/>
      <c r="D636" s="2151"/>
      <c r="E636" s="2151"/>
      <c r="F636" s="1551"/>
      <c r="G636" s="1551"/>
      <c r="H636" s="1551"/>
      <c r="I636" s="1551"/>
      <c r="J636" s="1551"/>
      <c r="K636" s="1551"/>
      <c r="L636" s="2151"/>
    </row>
    <row r="637" spans="2:12" s="1353" customFormat="1" ht="14.4">
      <c r="B637" s="1506"/>
      <c r="D637" s="2151"/>
      <c r="E637" s="2151"/>
      <c r="F637" s="1551"/>
      <c r="G637" s="1551"/>
      <c r="H637" s="1551"/>
      <c r="I637" s="1551"/>
      <c r="J637" s="1551"/>
      <c r="K637" s="1551"/>
      <c r="L637" s="2151"/>
    </row>
    <row r="638" spans="2:12" s="1353" customFormat="1" ht="14.4">
      <c r="B638" s="1506"/>
      <c r="D638" s="2151"/>
      <c r="E638" s="2151"/>
      <c r="F638" s="1551"/>
      <c r="G638" s="1551"/>
      <c r="H638" s="1551"/>
      <c r="I638" s="1551"/>
      <c r="J638" s="1551"/>
      <c r="K638" s="1551"/>
      <c r="L638" s="2151"/>
    </row>
    <row r="639" spans="2:12" s="1353" customFormat="1" ht="14.4">
      <c r="B639" s="1506"/>
      <c r="D639" s="2151"/>
      <c r="E639" s="2151"/>
      <c r="F639" s="1551"/>
      <c r="G639" s="1551"/>
      <c r="H639" s="1551"/>
      <c r="I639" s="1551"/>
      <c r="J639" s="1551"/>
      <c r="K639" s="1551"/>
      <c r="L639" s="2151"/>
    </row>
    <row r="640" spans="2:12" s="1353" customFormat="1" ht="14.4">
      <c r="B640" s="1506"/>
      <c r="D640" s="2151"/>
      <c r="E640" s="2151"/>
      <c r="F640" s="1551"/>
      <c r="G640" s="1551"/>
      <c r="H640" s="1551"/>
      <c r="I640" s="1551"/>
      <c r="J640" s="1551"/>
      <c r="K640" s="1551"/>
      <c r="L640" s="2151"/>
    </row>
    <row r="641" spans="2:12" s="1353" customFormat="1" ht="14.4">
      <c r="B641" s="1506"/>
      <c r="D641" s="2151"/>
      <c r="E641" s="2151"/>
      <c r="F641" s="1551"/>
      <c r="G641" s="1551"/>
      <c r="H641" s="1551"/>
      <c r="I641" s="1551"/>
      <c r="J641" s="1551"/>
      <c r="K641" s="1551"/>
      <c r="L641" s="2151"/>
    </row>
    <row r="642" spans="2:12" s="1353" customFormat="1" ht="14.4">
      <c r="B642" s="1506"/>
      <c r="D642" s="2151"/>
      <c r="E642" s="2151"/>
      <c r="F642" s="1551"/>
      <c r="G642" s="1551"/>
      <c r="H642" s="1551"/>
      <c r="I642" s="1551"/>
      <c r="J642" s="1551"/>
      <c r="K642" s="1551"/>
      <c r="L642" s="2151"/>
    </row>
    <row r="643" spans="2:12" s="1353" customFormat="1" ht="14.4">
      <c r="B643" s="1506"/>
      <c r="D643" s="2151"/>
      <c r="E643" s="2151"/>
      <c r="F643" s="1551"/>
      <c r="G643" s="1551"/>
      <c r="H643" s="1551"/>
      <c r="I643" s="1551"/>
      <c r="J643" s="1551"/>
      <c r="K643" s="1551"/>
      <c r="L643" s="2151"/>
    </row>
    <row r="644" spans="2:12" s="1353" customFormat="1" ht="14.4">
      <c r="B644" s="1506"/>
      <c r="D644" s="2151"/>
      <c r="E644" s="2151"/>
      <c r="F644" s="1551"/>
      <c r="G644" s="1551"/>
      <c r="H644" s="1551"/>
      <c r="I644" s="1551"/>
      <c r="J644" s="1551"/>
      <c r="K644" s="1551"/>
      <c r="L644" s="2151"/>
    </row>
    <row r="645" spans="2:12" s="1353" customFormat="1" ht="14.4">
      <c r="B645" s="1506"/>
      <c r="D645" s="2151"/>
      <c r="E645" s="2151"/>
      <c r="F645" s="1551"/>
      <c r="G645" s="1551"/>
      <c r="H645" s="1551"/>
      <c r="I645" s="1551"/>
      <c r="J645" s="1551"/>
      <c r="K645" s="1551"/>
      <c r="L645" s="2151"/>
    </row>
    <row r="646" spans="2:12" s="1353" customFormat="1" ht="14.4">
      <c r="B646" s="1506"/>
      <c r="D646" s="2151"/>
      <c r="E646" s="2151"/>
      <c r="F646" s="1551"/>
      <c r="G646" s="1551"/>
      <c r="H646" s="1551"/>
      <c r="I646" s="1551"/>
      <c r="J646" s="1551"/>
      <c r="K646" s="1551"/>
      <c r="L646" s="2151"/>
    </row>
    <row r="647" spans="2:12" s="1353" customFormat="1" ht="14.4">
      <c r="B647" s="1506"/>
      <c r="D647" s="2151"/>
      <c r="E647" s="2151"/>
      <c r="F647" s="1551"/>
      <c r="G647" s="1551"/>
      <c r="H647" s="1551"/>
      <c r="I647" s="1551"/>
      <c r="J647" s="1551"/>
      <c r="K647" s="1551"/>
      <c r="L647" s="2151"/>
    </row>
    <row r="648" spans="2:12" s="1353" customFormat="1" ht="14.4">
      <c r="B648" s="1506"/>
      <c r="D648" s="2151"/>
      <c r="E648" s="2151"/>
      <c r="F648" s="1551"/>
      <c r="G648" s="1551"/>
      <c r="H648" s="1551"/>
      <c r="I648" s="1551"/>
      <c r="J648" s="1551"/>
      <c r="K648" s="1551"/>
      <c r="L648" s="2151"/>
    </row>
    <row r="649" spans="2:12" s="1353" customFormat="1" ht="14.4">
      <c r="B649" s="1506"/>
      <c r="D649" s="2151"/>
      <c r="E649" s="2151"/>
      <c r="F649" s="1551"/>
      <c r="G649" s="1551"/>
      <c r="H649" s="1551"/>
      <c r="I649" s="1551"/>
      <c r="J649" s="1551"/>
      <c r="K649" s="1551"/>
      <c r="L649" s="2151"/>
    </row>
    <row r="650" spans="2:12" s="1353" customFormat="1" ht="14.4">
      <c r="B650" s="1506"/>
      <c r="D650" s="2151"/>
      <c r="E650" s="2151"/>
      <c r="F650" s="1551"/>
      <c r="G650" s="1551"/>
      <c r="H650" s="1551"/>
      <c r="I650" s="1551"/>
      <c r="J650" s="1551"/>
      <c r="K650" s="1551"/>
      <c r="L650" s="2151"/>
    </row>
    <row r="651" spans="2:12" s="1353" customFormat="1" ht="14.4">
      <c r="B651" s="1506"/>
      <c r="D651" s="2151"/>
      <c r="E651" s="2151"/>
      <c r="F651" s="1551"/>
      <c r="G651" s="1551"/>
      <c r="H651" s="1551"/>
      <c r="I651" s="1551"/>
      <c r="J651" s="1551"/>
      <c r="K651" s="1551"/>
      <c r="L651" s="2151"/>
    </row>
    <row r="652" spans="2:12" s="1353" customFormat="1" ht="14.4">
      <c r="B652" s="1506"/>
      <c r="D652" s="2151"/>
      <c r="E652" s="2151"/>
      <c r="F652" s="1551"/>
      <c r="G652" s="1551"/>
      <c r="H652" s="1551"/>
      <c r="I652" s="1551"/>
      <c r="J652" s="1551"/>
      <c r="K652" s="1551"/>
      <c r="L652" s="2151"/>
    </row>
    <row r="653" spans="2:12" s="1353" customFormat="1" ht="14.4">
      <c r="B653" s="1506"/>
      <c r="D653" s="2151"/>
      <c r="E653" s="2151"/>
      <c r="F653" s="1551"/>
      <c r="G653" s="1551"/>
      <c r="H653" s="1551"/>
      <c r="I653" s="1551"/>
      <c r="J653" s="1551"/>
      <c r="K653" s="1551"/>
      <c r="L653" s="2151"/>
    </row>
    <row r="654" spans="2:12" s="1353" customFormat="1" ht="14.4">
      <c r="B654" s="1506"/>
      <c r="D654" s="2151"/>
      <c r="E654" s="2151"/>
      <c r="F654" s="1551"/>
      <c r="G654" s="1551"/>
      <c r="H654" s="1551"/>
      <c r="I654" s="1551"/>
      <c r="J654" s="1551"/>
      <c r="K654" s="1551"/>
      <c r="L654" s="2151"/>
    </row>
    <row r="655" spans="2:12" s="1353" customFormat="1" ht="14.4">
      <c r="B655" s="1506"/>
      <c r="D655" s="2151"/>
      <c r="E655" s="2151"/>
      <c r="F655" s="1551"/>
      <c r="G655" s="1551"/>
      <c r="H655" s="1551"/>
      <c r="I655" s="1551"/>
      <c r="J655" s="1551"/>
      <c r="K655" s="1551"/>
      <c r="L655" s="2151"/>
    </row>
    <row r="656" spans="2:12" s="1353" customFormat="1" ht="14.4">
      <c r="B656" s="1506"/>
      <c r="D656" s="2151"/>
      <c r="E656" s="2151"/>
      <c r="F656" s="1551"/>
      <c r="G656" s="1551"/>
      <c r="H656" s="1551"/>
      <c r="I656" s="1551"/>
      <c r="J656" s="1551"/>
      <c r="K656" s="1551"/>
      <c r="L656" s="2151"/>
    </row>
    <row r="657" spans="2:12" s="1353" customFormat="1" ht="14.4">
      <c r="B657" s="1506"/>
      <c r="D657" s="2151"/>
      <c r="E657" s="2151"/>
      <c r="F657" s="1551"/>
      <c r="G657" s="1551"/>
      <c r="H657" s="1551"/>
      <c r="I657" s="1551"/>
      <c r="J657" s="1551"/>
      <c r="K657" s="1551"/>
      <c r="L657" s="2151"/>
    </row>
    <row r="658" spans="2:12" s="1353" customFormat="1" ht="14.4">
      <c r="B658" s="1506"/>
      <c r="D658" s="2151"/>
      <c r="E658" s="2151"/>
      <c r="F658" s="1551"/>
      <c r="G658" s="1551"/>
      <c r="H658" s="1551"/>
      <c r="I658" s="1551"/>
      <c r="J658" s="1551"/>
      <c r="K658" s="1551"/>
      <c r="L658" s="2151"/>
    </row>
    <row r="659" spans="2:12" s="1353" customFormat="1" ht="14.4">
      <c r="B659" s="1506"/>
      <c r="D659" s="2151"/>
      <c r="E659" s="2151"/>
      <c r="F659" s="1551"/>
      <c r="G659" s="1551"/>
      <c r="H659" s="1551"/>
      <c r="I659" s="1551"/>
      <c r="J659" s="1551"/>
      <c r="K659" s="1551"/>
      <c r="L659" s="2151"/>
    </row>
    <row r="660" spans="2:12" s="1353" customFormat="1" ht="14.4">
      <c r="B660" s="1506"/>
      <c r="D660" s="2151"/>
      <c r="E660" s="2151"/>
      <c r="F660" s="1551"/>
      <c r="G660" s="1551"/>
      <c r="H660" s="1551"/>
      <c r="I660" s="1551"/>
      <c r="J660" s="1551"/>
      <c r="K660" s="1551"/>
      <c r="L660" s="2151"/>
    </row>
    <row r="661" spans="2:12" s="1353" customFormat="1" ht="14.4">
      <c r="B661" s="1506"/>
      <c r="D661" s="2151"/>
      <c r="E661" s="2151"/>
      <c r="F661" s="1551"/>
      <c r="G661" s="1551"/>
      <c r="H661" s="1551"/>
      <c r="I661" s="1551"/>
      <c r="J661" s="1551"/>
      <c r="K661" s="1551"/>
      <c r="L661" s="2151"/>
    </row>
    <row r="662" spans="2:12" s="1353" customFormat="1" ht="14.4">
      <c r="B662" s="1506"/>
      <c r="D662" s="2151"/>
      <c r="E662" s="2151"/>
      <c r="F662" s="1551"/>
      <c r="G662" s="1551"/>
      <c r="H662" s="1551"/>
      <c r="I662" s="1551"/>
      <c r="J662" s="1551"/>
      <c r="K662" s="1551"/>
      <c r="L662" s="2151"/>
    </row>
    <row r="663" spans="2:12" s="1353" customFormat="1" ht="14.4">
      <c r="B663" s="1506"/>
      <c r="D663" s="2151"/>
      <c r="E663" s="2151"/>
      <c r="F663" s="1551"/>
      <c r="G663" s="1551"/>
      <c r="H663" s="1551"/>
      <c r="I663" s="1551"/>
      <c r="J663" s="1551"/>
      <c r="K663" s="1551"/>
      <c r="L663" s="2151"/>
    </row>
    <row r="664" spans="2:12" s="1353" customFormat="1" ht="14.4">
      <c r="B664" s="1506"/>
      <c r="D664" s="2151"/>
      <c r="E664" s="2151"/>
      <c r="F664" s="1551"/>
      <c r="G664" s="1551"/>
      <c r="H664" s="1551"/>
      <c r="I664" s="1551"/>
      <c r="J664" s="1551"/>
      <c r="K664" s="1551"/>
      <c r="L664" s="2151"/>
    </row>
    <row r="665" spans="2:12" s="1353" customFormat="1" ht="14.4">
      <c r="B665" s="1506"/>
      <c r="D665" s="2151"/>
      <c r="E665" s="2151"/>
      <c r="F665" s="1551"/>
      <c r="G665" s="1551"/>
      <c r="H665" s="1551"/>
      <c r="I665" s="1551"/>
      <c r="J665" s="1551"/>
      <c r="K665" s="1551"/>
      <c r="L665" s="2151"/>
    </row>
    <row r="666" spans="2:12" s="1353" customFormat="1" ht="14.4">
      <c r="B666" s="1506"/>
      <c r="D666" s="2151"/>
      <c r="E666" s="2151"/>
      <c r="F666" s="1551"/>
      <c r="G666" s="1551"/>
      <c r="H666" s="1551"/>
      <c r="I666" s="1551"/>
      <c r="J666" s="1551"/>
      <c r="K666" s="1551"/>
      <c r="L666" s="2151"/>
    </row>
    <row r="667" spans="2:12" s="1353" customFormat="1" ht="14.4">
      <c r="B667" s="1506"/>
      <c r="D667" s="2151"/>
      <c r="E667" s="2151"/>
      <c r="F667" s="1551"/>
      <c r="G667" s="1551"/>
      <c r="H667" s="1551"/>
      <c r="I667" s="1551"/>
      <c r="J667" s="1551"/>
      <c r="K667" s="1551"/>
      <c r="L667" s="2151"/>
    </row>
    <row r="668" spans="2:12" s="1353" customFormat="1" ht="14.4">
      <c r="B668" s="1506"/>
      <c r="D668" s="2151"/>
      <c r="E668" s="2151"/>
      <c r="F668" s="1551"/>
      <c r="G668" s="1551"/>
      <c r="H668" s="1551"/>
      <c r="I668" s="1551"/>
      <c r="J668" s="1551"/>
      <c r="K668" s="1551"/>
      <c r="L668" s="2151"/>
    </row>
    <row r="669" spans="2:12" s="1353" customFormat="1" ht="14.4">
      <c r="B669" s="1506"/>
      <c r="D669" s="2151"/>
      <c r="E669" s="2151"/>
      <c r="F669" s="1551"/>
      <c r="G669" s="1551"/>
      <c r="H669" s="1551"/>
      <c r="I669" s="1551"/>
      <c r="J669" s="1551"/>
      <c r="K669" s="1551"/>
      <c r="L669" s="2151"/>
    </row>
    <row r="670" spans="2:12" s="1353" customFormat="1" ht="14.4">
      <c r="B670" s="1506"/>
      <c r="D670" s="2151"/>
      <c r="E670" s="2151"/>
      <c r="F670" s="1551"/>
      <c r="G670" s="1551"/>
      <c r="H670" s="1551"/>
      <c r="I670" s="1551"/>
      <c r="J670" s="1551"/>
      <c r="K670" s="1551"/>
      <c r="L670" s="2151"/>
    </row>
    <row r="671" spans="2:12" s="1353" customFormat="1" ht="14.4">
      <c r="B671" s="1506"/>
      <c r="D671" s="2151"/>
      <c r="E671" s="2151"/>
      <c r="F671" s="1551"/>
      <c r="G671" s="1551"/>
      <c r="H671" s="1551"/>
      <c r="I671" s="1551"/>
      <c r="J671" s="1551"/>
      <c r="K671" s="1551"/>
      <c r="L671" s="2151"/>
    </row>
    <row r="672" spans="2:12" s="1353" customFormat="1" ht="14.4">
      <c r="B672" s="1506"/>
      <c r="D672" s="2151"/>
      <c r="E672" s="2151"/>
      <c r="F672" s="1551"/>
      <c r="G672" s="1551"/>
      <c r="H672" s="1551"/>
      <c r="I672" s="1551"/>
      <c r="J672" s="1551"/>
      <c r="K672" s="1551"/>
      <c r="L672" s="2151"/>
    </row>
    <row r="673" spans="2:12" s="1353" customFormat="1" ht="14.4">
      <c r="B673" s="1506"/>
      <c r="D673" s="2151"/>
      <c r="E673" s="2151"/>
      <c r="F673" s="1551"/>
      <c r="G673" s="1551"/>
      <c r="H673" s="1551"/>
      <c r="I673" s="1551"/>
      <c r="J673" s="1551"/>
      <c r="K673" s="1551"/>
      <c r="L673" s="2151"/>
    </row>
    <row r="674" spans="2:12" s="1353" customFormat="1" ht="14.4">
      <c r="B674" s="1506"/>
      <c r="D674" s="2151"/>
      <c r="E674" s="2151"/>
      <c r="F674" s="1551"/>
      <c r="G674" s="1551"/>
      <c r="H674" s="1551"/>
      <c r="I674" s="1551"/>
      <c r="J674" s="1551"/>
      <c r="K674" s="1551"/>
      <c r="L674" s="2151"/>
    </row>
    <row r="675" spans="2:12" s="1353" customFormat="1" ht="14.4">
      <c r="B675" s="1506"/>
      <c r="D675" s="2151"/>
      <c r="E675" s="2151"/>
      <c r="F675" s="1551"/>
      <c r="G675" s="1551"/>
      <c r="H675" s="1551"/>
      <c r="I675" s="1551"/>
      <c r="J675" s="1551"/>
      <c r="K675" s="1551"/>
      <c r="L675" s="2151"/>
    </row>
    <row r="676" spans="2:12" s="1353" customFormat="1" ht="14.4">
      <c r="B676" s="1506"/>
      <c r="D676" s="2151"/>
      <c r="E676" s="2151"/>
      <c r="F676" s="1551"/>
      <c r="G676" s="1551"/>
      <c r="H676" s="1551"/>
      <c r="I676" s="1551"/>
      <c r="J676" s="1551"/>
      <c r="K676" s="1551"/>
      <c r="L676" s="2151"/>
    </row>
    <row r="677" spans="2:12" s="1353" customFormat="1" ht="14.4">
      <c r="B677" s="1506"/>
      <c r="D677" s="2151"/>
      <c r="E677" s="2151"/>
      <c r="F677" s="1551"/>
      <c r="G677" s="1551"/>
      <c r="H677" s="1551"/>
      <c r="I677" s="1551"/>
      <c r="J677" s="1551"/>
      <c r="K677" s="1551"/>
      <c r="L677" s="2151"/>
    </row>
    <row r="678" spans="2:12" s="1353" customFormat="1" ht="14.4">
      <c r="B678" s="1506"/>
      <c r="D678" s="2151"/>
      <c r="E678" s="2151"/>
      <c r="F678" s="1551"/>
      <c r="G678" s="1551"/>
      <c r="H678" s="1551"/>
      <c r="I678" s="1551"/>
      <c r="J678" s="1551"/>
      <c r="K678" s="1551"/>
      <c r="L678" s="2151"/>
    </row>
    <row r="679" spans="2:12" s="1353" customFormat="1" ht="14.4">
      <c r="B679" s="1506"/>
      <c r="D679" s="2151"/>
      <c r="E679" s="2151"/>
      <c r="F679" s="1551"/>
      <c r="G679" s="1551"/>
      <c r="H679" s="1551"/>
      <c r="I679" s="1551"/>
      <c r="J679" s="1551"/>
      <c r="K679" s="1551"/>
      <c r="L679" s="2151"/>
    </row>
    <row r="680" spans="2:12" s="1353" customFormat="1" ht="14.4">
      <c r="B680" s="1506"/>
      <c r="D680" s="2151"/>
      <c r="E680" s="2151"/>
      <c r="F680" s="1551"/>
      <c r="G680" s="1551"/>
      <c r="H680" s="1551"/>
      <c r="I680" s="1551"/>
      <c r="J680" s="1551"/>
      <c r="K680" s="1551"/>
      <c r="L680" s="2151"/>
    </row>
    <row r="681" spans="2:12" s="1353" customFormat="1" ht="14.4">
      <c r="B681" s="1506"/>
      <c r="D681" s="2151"/>
      <c r="E681" s="2151"/>
      <c r="F681" s="1551"/>
      <c r="G681" s="1551"/>
      <c r="H681" s="1551"/>
      <c r="I681" s="1551"/>
      <c r="J681" s="1551"/>
      <c r="K681" s="1551"/>
      <c r="L681" s="2151"/>
    </row>
    <row r="682" spans="2:12" s="1353" customFormat="1" ht="14.4">
      <c r="B682" s="1506"/>
      <c r="D682" s="2151"/>
      <c r="E682" s="2151"/>
      <c r="F682" s="1551"/>
      <c r="G682" s="1551"/>
      <c r="H682" s="1551"/>
      <c r="I682" s="1551"/>
      <c r="J682" s="1551"/>
      <c r="K682" s="1551"/>
      <c r="L682" s="2151"/>
    </row>
    <row r="683" spans="2:12" s="1353" customFormat="1" ht="14.4">
      <c r="B683" s="1506"/>
      <c r="D683" s="2151"/>
      <c r="E683" s="2151"/>
      <c r="F683" s="1551"/>
      <c r="G683" s="1551"/>
      <c r="H683" s="1551"/>
      <c r="I683" s="1551"/>
      <c r="J683" s="1551"/>
      <c r="K683" s="1551"/>
      <c r="L683" s="2151"/>
    </row>
  </sheetData>
  <sheetProtection autoFilter="0"/>
  <autoFilter ref="A7:M457" xr:uid="{00000000-0009-0000-0000-000026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600-000000000000}"/>
    <hyperlink ref="E3" r:id="rId2" xr:uid="{00000000-0004-0000-2600-000001000000}"/>
    <hyperlink ref="L438" r:id="rId3" xr:uid="{00000000-0004-0000-2600-000002000000}"/>
    <hyperlink ref="L439" r:id="rId4" xr:uid="{00000000-0004-0000-2600-000003000000}"/>
    <hyperlink ref="L440" r:id="rId5" xr:uid="{00000000-0004-0000-2600-000004000000}"/>
    <hyperlink ref="L441" r:id="rId6" xr:uid="{00000000-0004-0000-2600-000005000000}"/>
    <hyperlink ref="L442" r:id="rId7" xr:uid="{00000000-0004-0000-2600-000006000000}"/>
    <hyperlink ref="L445" r:id="rId8" xr:uid="{00000000-0004-0000-2600-000007000000}"/>
    <hyperlink ref="L446" r:id="rId9" xr:uid="{00000000-0004-0000-2600-000008000000}"/>
    <hyperlink ref="L447" r:id="rId10" xr:uid="{00000000-0004-0000-2600-00000900000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8" zoomScaleNormal="100" zoomScaleSheetLayoutView="100" workbookViewId="0">
      <selection activeCell="H23" activeCellId="2" sqref="H9:H12 H15:H16 H23:H24"/>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7"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31</v>
      </c>
      <c r="C1" s="5"/>
      <c r="D1" s="5"/>
      <c r="E1" s="5"/>
      <c r="F1" s="5"/>
      <c r="G1" s="5"/>
      <c r="H1" s="7"/>
      <c r="N1" s="1970" t="str">
        <f>'Validation summary'!$B$2</f>
        <v>2024-25</v>
      </c>
      <c r="R1" s="300" t="str">
        <f>VLOOKUP($K$3,Validation!$B$5:$C$22,2,0)</f>
        <v>SSC</v>
      </c>
      <c r="S1" s="300" t="str">
        <f>IF($R$1="NES","NES1",IF($R$1="SSC","SSC1",""))</f>
        <v>SSC1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South Staffs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155"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56"/>
      <c r="S5" s="1356"/>
      <c r="T5" s="1356"/>
      <c r="U5" s="1357"/>
      <c r="V5" s="1356" t="s">
        <v>138</v>
      </c>
      <c r="W5" s="1356"/>
      <c r="X5" s="1356"/>
      <c r="Y5" s="1356"/>
      <c r="Z5" s="1356"/>
      <c r="AA5" s="1357"/>
      <c r="AB5" s="1356"/>
      <c r="AC5" s="1356"/>
      <c r="AD5" s="1356"/>
      <c r="AE5" s="1356"/>
      <c r="AF5" s="1357"/>
      <c r="AG5" s="1358"/>
      <c r="AH5" s="2155" t="s">
        <v>129</v>
      </c>
      <c r="AI5" s="2153" t="s">
        <v>130</v>
      </c>
      <c r="AJ5" s="2153" t="s">
        <v>131</v>
      </c>
      <c r="AK5" s="2153" t="s">
        <v>132</v>
      </c>
      <c r="AL5" s="2157" t="s">
        <v>133</v>
      </c>
      <c r="AM5" s="2153" t="s">
        <v>134</v>
      </c>
      <c r="AN5" s="278" t="s">
        <v>140</v>
      </c>
      <c r="AO5" s="278" t="s">
        <v>136</v>
      </c>
    </row>
    <row r="6" spans="2:41" s="9" customFormat="1" ht="15.6">
      <c r="B6" s="2156"/>
      <c r="C6" s="2154"/>
      <c r="D6" s="2154"/>
      <c r="E6" s="2154"/>
      <c r="F6" s="2158"/>
      <c r="G6" s="2154"/>
      <c r="H6" s="2134" t="s">
        <v>141</v>
      </c>
      <c r="I6" s="2134" t="s">
        <v>141</v>
      </c>
      <c r="J6" s="279"/>
      <c r="K6" s="2153"/>
      <c r="L6" s="15"/>
      <c r="M6" s="2153"/>
      <c r="N6" s="2153"/>
      <c r="O6" s="285"/>
      <c r="P6" s="285"/>
      <c r="Q6" s="285"/>
      <c r="R6" s="1356"/>
      <c r="S6" s="1356"/>
      <c r="T6" s="1356"/>
      <c r="U6" s="1357"/>
      <c r="V6" s="327" t="s">
        <v>142</v>
      </c>
      <c r="W6" s="1356"/>
      <c r="X6" s="1356"/>
      <c r="Y6" s="1356"/>
      <c r="Z6" s="1356"/>
      <c r="AA6" s="1357"/>
      <c r="AB6" s="327" t="s">
        <v>143</v>
      </c>
      <c r="AC6" s="1356"/>
      <c r="AD6" s="327" t="s">
        <v>144</v>
      </c>
      <c r="AE6" s="1356"/>
      <c r="AF6" s="1357"/>
      <c r="AG6" s="1358"/>
      <c r="AH6" s="2156"/>
      <c r="AI6" s="2154"/>
      <c r="AJ6" s="2154"/>
      <c r="AK6" s="2154"/>
      <c r="AL6" s="2158"/>
      <c r="AM6" s="2154"/>
      <c r="AN6" s="2134" t="s">
        <v>141</v>
      </c>
      <c r="AO6" s="2134" t="s">
        <v>141</v>
      </c>
    </row>
    <row r="7" spans="2:41" s="9" customFormat="1" ht="15.6">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6">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2" customHeight="1">
      <c r="B9" s="288" t="s">
        <v>148</v>
      </c>
      <c r="C9" s="289" t="str">
        <f>IF($K$3="Select company","",VLOOKUP($R$1,C_WQC,2,0))</f>
        <v>PR19SSC_D1</v>
      </c>
      <c r="D9" s="289" t="str">
        <f>IF($K$3="Select company","",INDEX(App1bdata,MATCH($C9,App1bIDnrs,0),20))</f>
        <v>number</v>
      </c>
      <c r="E9" s="289">
        <f>IF($K$3="Select company","",INDEX(App1bdata,MATCH($C9,App1bIDnrs,0),22))</f>
        <v>2</v>
      </c>
      <c r="F9" s="1821">
        <v>1.2</v>
      </c>
      <c r="G9" s="1822" t="s">
        <v>973</v>
      </c>
      <c r="H9" s="1827">
        <f>IF($C9="","",SUM(HLOOKUP($C9,'Model outputs - PC level'!$J$5:$BS$25,12,0),HLOOKUP($C9,'Model outputs - PC level'!$J$5:$BS$25,13,0),HLOOKUP($C9,'Model outputs - PC level'!$J$5:$BS$25,15,0),HLOOKUP($C9,'Model outputs - PC level'!$J$5:$BS$25,16,0),HLOOKUP($C9,'Model outputs - PC level'!$J$5:$BS$25,18,0),HLOOKUP($C9,'Model outputs - PC level'!$J$5:$BS$25,19,0)))</f>
        <v>0</v>
      </c>
      <c r="I9" s="1823">
        <v>-1.8160000000000001</v>
      </c>
      <c r="J9" s="35"/>
      <c r="K9" s="292" t="s">
        <v>149</v>
      </c>
      <c r="L9" s="1356"/>
      <c r="M9" s="326">
        <f>IF(SUM($V9:$Z9)=0,0,$V$6)</f>
        <v>0</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0</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PR19SSC_D1</v>
      </c>
      <c r="AJ9" s="288" t="str">
        <f t="shared" si="2"/>
        <v>number</v>
      </c>
      <c r="AK9" s="288">
        <f t="shared" si="2"/>
        <v>2</v>
      </c>
      <c r="AL9" s="1443" t="s">
        <v>150</v>
      </c>
      <c r="AM9" s="1444" t="s">
        <v>151</v>
      </c>
      <c r="AN9" s="1445" t="s">
        <v>152</v>
      </c>
      <c r="AO9" s="1446" t="s">
        <v>153</v>
      </c>
    </row>
    <row r="10" spans="2:41" s="9" customFormat="1" ht="28.2" customHeight="1">
      <c r="B10" s="288" t="s">
        <v>154</v>
      </c>
      <c r="C10" s="290" t="str">
        <f>IF($K$3="Select company","",VLOOKUP($R$1,C_WSI,2,0))</f>
        <v>PR19SSC_D2</v>
      </c>
      <c r="D10" s="290" t="str">
        <f>IF($K$3="Select company","",INDEX(App1bdata,MATCH($C10,App1bIDnrs,0),20))</f>
        <v>hh:mm:ss</v>
      </c>
      <c r="E10" s="290">
        <f>IF($K$3="Select company","",INDEX(App1bdata,MATCH($C10,App1bIDnrs,0),22))</f>
        <v>0</v>
      </c>
      <c r="F10" s="2109">
        <v>2.5347222222222221E-3</v>
      </c>
      <c r="G10" s="1822" t="s">
        <v>961</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0.26594999999999996</v>
      </c>
      <c r="I10" s="1823">
        <v>1.6439999999999999</v>
      </c>
      <c r="J10" s="35"/>
      <c r="K10" s="292" t="s">
        <v>155</v>
      </c>
      <c r="L10" s="1356"/>
      <c r="M10" s="326">
        <f t="shared" ref="M10:M16" si="3">IF(SUM($V10:$Z10)=0,0,$V$6)</f>
        <v>0</v>
      </c>
      <c r="N10" s="338">
        <f>IF(OR($AB10=1,$AD10=1),$AD$6,IF($AE10=1,$AD$7,0))</f>
        <v>0</v>
      </c>
      <c r="O10" s="330"/>
      <c r="P10" s="1958"/>
      <c r="Q10" s="317"/>
      <c r="R10" s="1356"/>
      <c r="S10" s="272"/>
      <c r="T10" s="1356"/>
      <c r="U10" s="1357"/>
      <c r="V10" s="325"/>
      <c r="W10" s="325"/>
      <c r="X10" s="325">
        <f t="shared" si="0"/>
        <v>0</v>
      </c>
      <c r="Y10" s="325"/>
      <c r="Z10" s="325">
        <f t="shared" si="1"/>
        <v>0</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PR19SSC_D2</v>
      </c>
      <c r="AJ10" s="288" t="str">
        <f t="shared" ref="AJ10:AJ16" si="7">D10</f>
        <v>hh:mm:ss</v>
      </c>
      <c r="AK10" s="288">
        <f t="shared" ref="AK10:AK16" si="8">E10</f>
        <v>0</v>
      </c>
      <c r="AL10" s="2114" t="s">
        <v>156</v>
      </c>
      <c r="AM10" s="1444" t="s">
        <v>157</v>
      </c>
      <c r="AN10" s="1447" t="s">
        <v>158</v>
      </c>
      <c r="AO10" s="1446" t="s">
        <v>159</v>
      </c>
    </row>
    <row r="11" spans="2:41" s="9" customFormat="1" ht="28.2" customHeight="1">
      <c r="B11" s="288" t="str">
        <f>IF($R$1="NES","Leakage NW region",IF($R$1="SSC","Leakage South Staffs region","Leakage"))</f>
        <v>Leakage South Staffs region</v>
      </c>
      <c r="C11" s="290" t="str">
        <f>IF($K$3="Select company","",VLOOKUP($R$1,C_Leakage,2,0))</f>
        <v>PR19SSC_C1</v>
      </c>
      <c r="D11" s="290" t="str">
        <f>IF($K$3="Select company","",INDEX(App1bdata,MATCH($C11,App1bIDnrs,0),20))</f>
        <v>%</v>
      </c>
      <c r="E11" s="290">
        <f>IF($K$3="Select company","",INDEX(App1bdata,MATCH($C11,App1bIDnrs,0),22))</f>
        <v>1</v>
      </c>
      <c r="F11" s="1826">
        <f>IF(OR($R$1="NES",$R$1="SSC"),'3F.1'!$N$18,'3F'!$N$18)</f>
        <v>14.993122420907845</v>
      </c>
      <c r="G11" s="1822" t="s">
        <v>961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23">
        <v>0.66600000000000004</v>
      </c>
      <c r="J11" s="35"/>
      <c r="K11" s="292" t="s">
        <v>160</v>
      </c>
      <c r="L11" s="1356"/>
      <c r="M11" s="326">
        <f t="shared" si="3"/>
        <v>0</v>
      </c>
      <c r="N11" s="338">
        <f>IF(OR($AB11=1,$AD11=1),$AD$6,IF($AE11=1,$AD$7,0))</f>
        <v>0</v>
      </c>
      <c r="O11" s="317"/>
      <c r="P11" s="317"/>
      <c r="Q11" s="317"/>
      <c r="R11" s="1356"/>
      <c r="S11" s="264"/>
      <c r="T11" s="1356"/>
      <c r="U11" s="1357"/>
      <c r="V11" s="325"/>
      <c r="W11" s="325"/>
      <c r="X11" s="325">
        <f t="shared" si="0"/>
        <v>0</v>
      </c>
      <c r="Y11" s="325"/>
      <c r="Z11" s="325">
        <f t="shared" si="1"/>
        <v>0</v>
      </c>
      <c r="AA11" s="1357"/>
      <c r="AB11" s="329">
        <f>IF(ISERROR($F11)=TRUE,1,0)</f>
        <v>0</v>
      </c>
      <c r="AC11" s="1356"/>
      <c r="AD11" s="325">
        <f t="shared" si="4"/>
        <v>0</v>
      </c>
      <c r="AE11" s="329">
        <f>IF(OR(AND(G11="Yes",H11&gt;=0),AND(G11="No",H11&lt;=0),AND(G11="-",H11=0)),0,1)</f>
        <v>0</v>
      </c>
      <c r="AF11" s="1357"/>
      <c r="AG11" s="1358"/>
      <c r="AH11" s="288" t="str">
        <f t="shared" si="5"/>
        <v>Leakage South Staffs region</v>
      </c>
      <c r="AI11" s="288" t="str">
        <f t="shared" si="6"/>
        <v>PR19SSC_C1</v>
      </c>
      <c r="AJ11" s="288" t="str">
        <f t="shared" si="7"/>
        <v>%</v>
      </c>
      <c r="AK11" s="288">
        <f t="shared" si="8"/>
        <v>1</v>
      </c>
      <c r="AL11" s="2115" t="s">
        <v>161</v>
      </c>
      <c r="AM11" s="1444" t="s">
        <v>162</v>
      </c>
      <c r="AN11" s="1447" t="s">
        <v>163</v>
      </c>
      <c r="AO11" s="1446" t="s">
        <v>164</v>
      </c>
    </row>
    <row r="12" spans="2:41" s="9" customFormat="1" ht="28.2" customHeight="1">
      <c r="B12" s="291" t="str">
        <f>IF($R$1="NES","Leakage ESW region",IF($R$1="SSC","Leakage Cambridge region","[For use by NES and SSC only]"))</f>
        <v>Leakage Cambridge region</v>
      </c>
      <c r="C12" s="290" t="str">
        <f>IF(OR($R$1="NES",$R$1="SSC"),VLOOKUP($S$1,C_Leakage,2,0),"")</f>
        <v>PR19SSC_C2</v>
      </c>
      <c r="D12" s="290" t="str">
        <f>IF(OR($R$1="NES",$R$1="SSC"),INDEX(App1bdata,MATCH($C12,App1bIDnrs,0),20),"")</f>
        <v>%</v>
      </c>
      <c r="E12" s="290">
        <f>IF(OR($R$1="NES",$R$1="SSC"),INDEX(App1bdata,MATCH($C12,App1bIDnrs,0),22),"")</f>
        <v>1</v>
      </c>
      <c r="F12" s="1826">
        <f>IF(OR($R$1="NES",$R$1="SSC"),'3F.2'!$N$18,"")</f>
        <v>14.743589743589736</v>
      </c>
      <c r="G12" s="1822" t="s">
        <v>961</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2.1100000000000001E-2</v>
      </c>
      <c r="I12" s="1823">
        <v>0.63300000000000001</v>
      </c>
      <c r="J12" s="35"/>
      <c r="K12" s="292" t="s">
        <v>160</v>
      </c>
      <c r="L12" s="1356"/>
      <c r="M12" s="326">
        <f>IF($C12="",0,IF(SUM($V12:$Z12)=0,0,$V$6))</f>
        <v>0</v>
      </c>
      <c r="N12" s="338">
        <f>IF($C12="",0,IF(OR($AB12=1,$AD12=1),$AD$6,IF($AE12=1,$AD$7,0)))</f>
        <v>0</v>
      </c>
      <c r="O12" s="317"/>
      <c r="P12" s="317"/>
      <c r="Q12" s="317"/>
      <c r="R12" s="1356"/>
      <c r="S12" s="264"/>
      <c r="T12" s="1356"/>
      <c r="U12" s="1357"/>
      <c r="V12" s="325"/>
      <c r="W12" s="325"/>
      <c r="X12" s="325">
        <f t="shared" si="0"/>
        <v>0</v>
      </c>
      <c r="Y12" s="325"/>
      <c r="Z12" s="325">
        <f t="shared" si="1"/>
        <v>0</v>
      </c>
      <c r="AA12" s="1357"/>
      <c r="AB12" s="329">
        <f>IF($C12="",0,IF(ISERROR($F12)=TRUE,1,0))</f>
        <v>0</v>
      </c>
      <c r="AC12" s="1356"/>
      <c r="AD12" s="329">
        <f>IF($C12="",0,IF(ISERROR($H12)=TRUE,1,0))</f>
        <v>0</v>
      </c>
      <c r="AE12" s="329">
        <f>IF($C12="",0,IF(OR(AND(G12="Yes",H12&gt;=0),AND(G12="No",H12&lt;=0),AND(G12="-",H12=0)),0,1))</f>
        <v>0</v>
      </c>
      <c r="AF12" s="1357"/>
      <c r="AG12" s="1358"/>
      <c r="AH12" s="288" t="str">
        <f t="shared" si="5"/>
        <v>Leakage Cambridge region</v>
      </c>
      <c r="AI12" s="288" t="str">
        <f t="shared" si="6"/>
        <v>PR19SSC_C2</v>
      </c>
      <c r="AJ12" s="288" t="str">
        <f t="shared" si="7"/>
        <v>%</v>
      </c>
      <c r="AK12" s="288">
        <f t="shared" si="8"/>
        <v>1</v>
      </c>
      <c r="AL12" s="2115" t="s">
        <v>165</v>
      </c>
      <c r="AM12" s="1444" t="s">
        <v>166</v>
      </c>
      <c r="AN12" s="1447" t="s">
        <v>167</v>
      </c>
      <c r="AO12" s="1446" t="s">
        <v>168</v>
      </c>
    </row>
    <row r="13" spans="2:41" s="9" customFormat="1" ht="28.2" customHeight="1">
      <c r="B13" s="1971" t="str">
        <f>IF($R$1="SSC","Per capita consumption South Staffs region","Per capita consumption")</f>
        <v>Per capita consumption South Staffs region</v>
      </c>
      <c r="C13" s="290" t="str">
        <f>IF($K$3="Select company","",VLOOKUP($R$1,C_PCC,2,0))</f>
        <v>PR19SSC_C3</v>
      </c>
      <c r="D13" s="290" t="str">
        <f>IF($K$3="Select company","",INDEX(App1bdata,MATCH($C13,App1bIDnrs,0),20))</f>
        <v xml:space="preserve">% </v>
      </c>
      <c r="E13" s="290">
        <f>IF($K$3="Select company","",INDEX(App1bdata,MATCH($C13,App1bIDnrs,0),22))</f>
        <v>1</v>
      </c>
      <c r="F13" s="1826">
        <f>IF($R$1="SSC",'3F.1'!$N$19,'3F'!$N$19)</f>
        <v>-10.116731517509736</v>
      </c>
      <c r="G13" s="1822" t="s">
        <v>973</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-2.4167000000000001</v>
      </c>
      <c r="I13" s="1823">
        <v>-12.436</v>
      </c>
      <c r="J13" s="35"/>
      <c r="K13" s="292" t="s">
        <v>169</v>
      </c>
      <c r="L13" s="1356"/>
      <c r="M13" s="326">
        <f t="shared" si="3"/>
        <v>0</v>
      </c>
      <c r="N13" s="338">
        <f>IF(OR($AB13=1,$AD13=1),$AD$6,IF($AE13=1,$AD$7,0))</f>
        <v>0</v>
      </c>
      <c r="O13" s="317"/>
      <c r="P13" s="317"/>
      <c r="Q13" s="317"/>
      <c r="R13" s="1356"/>
      <c r="S13" s="264"/>
      <c r="T13" s="1356"/>
      <c r="U13" s="1357"/>
      <c r="V13" s="325"/>
      <c r="W13" s="325"/>
      <c r="X13" s="325">
        <f t="shared" si="0"/>
        <v>0</v>
      </c>
      <c r="Y13" s="325"/>
      <c r="Z13" s="325">
        <f t="shared" si="1"/>
        <v>0</v>
      </c>
      <c r="AA13" s="1357"/>
      <c r="AB13" s="329">
        <f>IF(ISERROR($F13)=TRUE,1,0)</f>
        <v>0</v>
      </c>
      <c r="AC13" s="1356"/>
      <c r="AD13" s="325">
        <f t="shared" si="4"/>
        <v>0</v>
      </c>
      <c r="AE13" s="329">
        <f>IF(OR(AND(G13="Yes",H13&gt;=0),AND(G13="No",H13&lt;=0),AND(G13="-",H13=0)),0,1)</f>
        <v>0</v>
      </c>
      <c r="AF13" s="1357"/>
      <c r="AG13" s="1358"/>
      <c r="AH13" s="288" t="str">
        <f t="shared" si="5"/>
        <v>Per capita consumption South Staffs region</v>
      </c>
      <c r="AI13" s="288" t="str">
        <f t="shared" si="6"/>
        <v>PR19SSC_C3</v>
      </c>
      <c r="AJ13" s="288" t="str">
        <f t="shared" si="7"/>
        <v xml:space="preserve">% </v>
      </c>
      <c r="AK13" s="288">
        <f t="shared" si="8"/>
        <v>1</v>
      </c>
      <c r="AL13" s="2115" t="s">
        <v>170</v>
      </c>
      <c r="AM13" s="1444" t="s">
        <v>171</v>
      </c>
      <c r="AN13" s="1447" t="s">
        <v>172</v>
      </c>
      <c r="AO13" s="1446" t="s">
        <v>173</v>
      </c>
    </row>
    <row r="14" spans="2:41" s="9" customFormat="1" ht="28.2" customHeight="1">
      <c r="B14" s="288" t="str">
        <f>IF($R$1="SSC","Per capita consumption Cambridge region","[For use by SSC only]")</f>
        <v>Per capita consumption Cambridge region</v>
      </c>
      <c r="C14" s="290" t="str">
        <f>IF($R$1="SSC",VLOOKUP($S$1,C_PCC,2,0),"")</f>
        <v>PR19SSC_C4</v>
      </c>
      <c r="D14" s="290" t="str">
        <f>IF($R$1="SSC",INDEX(App1bdata,MATCH($C14,App1bIDnrs,0),20),"")</f>
        <v xml:space="preserve">% </v>
      </c>
      <c r="E14" s="290">
        <f>IF($R$1="SSC",INDEX(App1bdata,MATCH($C14,App1bIDnrs,0),22),"")</f>
        <v>1</v>
      </c>
      <c r="F14" s="1826">
        <f>IF($R$1="SSC",'3F.2'!$N$19,"")</f>
        <v>3.3382789317507378</v>
      </c>
      <c r="G14" s="1822" t="s">
        <v>973</v>
      </c>
      <c r="H14" s="1828">
        <f>IF($C14="","",SUM(HLOOKUP($C14,'Model outputs - PC level'!$J$5:$BS$25,12,0),HLOOKUP($C14,'Model outputs - PC level'!$J$5:$BS$25,13,0),HLOOKUP($C14,'Model outputs - PC level'!$J$5:$BS$25,15,0),HLOOKUP($C14,'Model outputs - PC level'!$J$5:$BS$25,16,0),HLOOKUP($C14,'Model outputs - PC level'!$J$5:$BS$25,18,0),HLOOKUP($C14,'Model outputs - PC level'!$J$5:$BS$25,19,0)))</f>
        <v>-0.1</v>
      </c>
      <c r="I14" s="1823">
        <v>-0.93500000000000005</v>
      </c>
      <c r="J14" s="35"/>
      <c r="K14" s="292" t="s">
        <v>169</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Per capita consumption Cambridge region</v>
      </c>
      <c r="AI14" s="288" t="str">
        <f t="shared" si="6"/>
        <v>PR19SSC_C4</v>
      </c>
      <c r="AJ14" s="288" t="str">
        <f t="shared" si="7"/>
        <v xml:space="preserve">% </v>
      </c>
      <c r="AK14" s="288">
        <f t="shared" si="8"/>
        <v>1</v>
      </c>
      <c r="AL14" s="2115" t="s">
        <v>174</v>
      </c>
      <c r="AM14" s="1444" t="s">
        <v>175</v>
      </c>
      <c r="AN14" s="1447" t="s">
        <v>176</v>
      </c>
      <c r="AO14" s="1446" t="s">
        <v>177</v>
      </c>
    </row>
    <row r="15" spans="2:41" s="9" customFormat="1" ht="28.2" customHeight="1">
      <c r="B15" s="288" t="s">
        <v>178</v>
      </c>
      <c r="C15" s="290" t="str">
        <f>IF($K$3="Select company","",VLOOKUP($R$1,C_MRepair,2,0))</f>
        <v>PR19SSC_D4</v>
      </c>
      <c r="D15" s="290" t="str">
        <f>IF($K$3="Select company","",INDEX(App1bdata,MATCH($C15,App1bIDnrs,0),20))</f>
        <v>number</v>
      </c>
      <c r="E15" s="290">
        <f>IF($K$3="Select company","",INDEX(App1bdata,MATCH($C15,App1bIDnrs,0),22))</f>
        <v>1</v>
      </c>
      <c r="F15" s="2107">
        <v>122.4</v>
      </c>
      <c r="G15" s="1822" t="s">
        <v>961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v>-0.8</v>
      </c>
      <c r="J15" s="35"/>
      <c r="K15" s="292" t="s">
        <v>179</v>
      </c>
      <c r="L15" s="1356"/>
      <c r="M15" s="326">
        <f t="shared" si="3"/>
        <v>0</v>
      </c>
      <c r="N15" s="338">
        <f>IF(OR($AB15=1,$AD15=1),$AD$6,IF($AE15=1,$AD$7,0))</f>
        <v>0</v>
      </c>
      <c r="O15" s="330"/>
      <c r="P15" s="317"/>
      <c r="Q15" s="317"/>
      <c r="R15" s="1356"/>
      <c r="S15" s="264"/>
      <c r="T15" s="1356"/>
      <c r="U15" s="1357"/>
      <c r="V15" s="325"/>
      <c r="W15" s="325"/>
      <c r="X15" s="325">
        <f t="shared" si="0"/>
        <v>0</v>
      </c>
      <c r="Y15" s="325"/>
      <c r="Z15" s="325">
        <f t="shared" si="1"/>
        <v>0</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PR19SSC_D4</v>
      </c>
      <c r="AJ15" s="288" t="str">
        <f t="shared" si="7"/>
        <v>number</v>
      </c>
      <c r="AK15" s="288">
        <f t="shared" si="8"/>
        <v>1</v>
      </c>
      <c r="AL15" s="2115" t="s">
        <v>180</v>
      </c>
      <c r="AM15" s="1444" t="s">
        <v>181</v>
      </c>
      <c r="AN15" s="1447" t="s">
        <v>182</v>
      </c>
      <c r="AO15" s="1446" t="s">
        <v>183</v>
      </c>
    </row>
    <row r="16" spans="2:41" s="9" customFormat="1" ht="28.2" customHeight="1">
      <c r="B16" s="288" t="s">
        <v>184</v>
      </c>
      <c r="C16" s="290" t="str">
        <f>IF($K$3="Select company","",VLOOKUP($R$1,C_UOutage,2,0))</f>
        <v>PR19SSC_D5</v>
      </c>
      <c r="D16" s="290" t="str">
        <f>IF($K$3="Select company","",INDEX(App1bdata,MATCH($C16,App1bIDnrs,0),20))</f>
        <v>%</v>
      </c>
      <c r="E16" s="290">
        <f>IF($K$3="Select company","",INDEX(App1bdata,MATCH($C16,App1bIDnrs,0),22))</f>
        <v>2</v>
      </c>
      <c r="F16" s="2110">
        <v>1.47</v>
      </c>
      <c r="G16" s="1822" t="s">
        <v>961</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0.25339999999999996</v>
      </c>
      <c r="I16" s="1823">
        <v>1.266</v>
      </c>
      <c r="J16" s="35"/>
      <c r="K16" s="292" t="s">
        <v>185</v>
      </c>
      <c r="L16" s="1356"/>
      <c r="M16" s="326">
        <f t="shared" si="3"/>
        <v>0</v>
      </c>
      <c r="N16" s="338">
        <f>IF(OR($AB16=1,$AD16=1),$AD$6,IF($AE16=1,$AD$7,0))</f>
        <v>0</v>
      </c>
      <c r="O16" s="330"/>
      <c r="P16" s="317"/>
      <c r="Q16" s="317"/>
      <c r="R16" s="1356"/>
      <c r="S16" s="264"/>
      <c r="T16" s="1356"/>
      <c r="U16" s="1357"/>
      <c r="V16" s="325"/>
      <c r="W16" s="325"/>
      <c r="X16" s="325">
        <f t="shared" si="0"/>
        <v>0</v>
      </c>
      <c r="Y16" s="325"/>
      <c r="Z16" s="325">
        <f t="shared" si="1"/>
        <v>0</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PR19SSC_D5</v>
      </c>
      <c r="AJ16" s="288" t="str">
        <f t="shared" si="7"/>
        <v>%</v>
      </c>
      <c r="AK16" s="288">
        <f t="shared" si="8"/>
        <v>2</v>
      </c>
      <c r="AL16" s="2116" t="s">
        <v>186</v>
      </c>
      <c r="AM16" s="1444" t="s">
        <v>187</v>
      </c>
      <c r="AN16" s="1447" t="s">
        <v>188</v>
      </c>
      <c r="AO16" s="1446" t="s">
        <v>189</v>
      </c>
    </row>
    <row r="17" spans="2:41" s="9" customFormat="1" ht="14.4">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190</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191</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191</v>
      </c>
      <c r="AI18" s="12"/>
      <c r="AJ18" s="1353"/>
      <c r="AK18" s="1353"/>
      <c r="AL18" s="1353"/>
      <c r="AM18" s="1353"/>
      <c r="AN18" s="1353"/>
      <c r="AO18" s="1353"/>
    </row>
    <row r="19" spans="2:41" s="16" customFormat="1" ht="28.35" customHeight="1">
      <c r="B19" s="291" t="str">
        <f t="shared" ref="B19:B38" si="9">IF($K$3="Select company","",IF($C19="","",INDEX(App1data,MATCH($C19,App1IDnrs,0),5)))</f>
        <v>Financial support</v>
      </c>
      <c r="C19" s="293" t="str">
        <f>IF($K$3="Select company","",IF(HLOOKUP($R$1,BW_FIN_All,'PC lists'!$B33,0)="","",HLOOKUP($R$1,BW_FIN_All,'PC lists'!$B33,0)))</f>
        <v>PR19SSC_B1</v>
      </c>
      <c r="D19" s="293" t="str">
        <f t="shared" ref="D19:D38" si="10">IF($C19="","",INDEX(App1data,MATCH($C19,App1IDnrs,0),20))</f>
        <v>nr</v>
      </c>
      <c r="E19" s="293">
        <f t="shared" ref="E19:E38" si="11">IF($C19="","",INDEX(App1data,MATCH($C19,App1IDnrs,0),22))</f>
        <v>0</v>
      </c>
      <c r="F19" s="1822">
        <v>58000</v>
      </c>
      <c r="G19" s="1822" t="s">
        <v>961</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25">
        <v>0</v>
      </c>
      <c r="K19" s="292" t="s">
        <v>192</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Financial support</v>
      </c>
      <c r="AI19" s="291" t="str">
        <f t="shared" ref="AI19:AK19" si="17">C19</f>
        <v>PR19SSC_B1</v>
      </c>
      <c r="AJ19" s="291" t="str">
        <f t="shared" si="17"/>
        <v>nr</v>
      </c>
      <c r="AK19" s="291">
        <f t="shared" si="17"/>
        <v>0</v>
      </c>
      <c r="AL19" s="1444" t="s">
        <v>193</v>
      </c>
      <c r="AM19" s="1444" t="s">
        <v>194</v>
      </c>
      <c r="AN19" s="1447" t="s">
        <v>195</v>
      </c>
      <c r="AO19" s="1449" t="s">
        <v>196</v>
      </c>
    </row>
    <row r="20" spans="2:41" s="16" customFormat="1" ht="28.35" customHeight="1">
      <c r="B20" s="1971" t="str">
        <f t="shared" si="9"/>
        <v>Extra Care assistance</v>
      </c>
      <c r="C20" s="293" t="str">
        <f>IF($K$3="Select company","",IF(HLOOKUP($R$1,BW_FIN_All,'PC lists'!$B34,0)="","",HLOOKUP($R$1,BW_FIN_All,'PC lists'!$B34,0)))</f>
        <v>PR19SSC_B2</v>
      </c>
      <c r="D20" s="293" t="str">
        <f t="shared" si="10"/>
        <v>%</v>
      </c>
      <c r="E20" s="293">
        <f t="shared" si="11"/>
        <v>1</v>
      </c>
      <c r="F20" s="1822">
        <v>5</v>
      </c>
      <c r="G20" s="1822" t="s">
        <v>961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23">
        <v>-0.01</v>
      </c>
      <c r="K20" s="292" t="s">
        <v>197</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Extra Care assistance</v>
      </c>
      <c r="AI20" s="291" t="str">
        <f t="shared" ref="AI20:AI38" si="21">C20</f>
        <v>PR19SSC_B2</v>
      </c>
      <c r="AJ20" s="291" t="str">
        <f t="shared" ref="AJ20:AJ38" si="22">D20</f>
        <v>%</v>
      </c>
      <c r="AK20" s="291">
        <f t="shared" ref="AK20:AK38" si="23">E20</f>
        <v>1</v>
      </c>
      <c r="AL20" s="1444" t="s">
        <v>198</v>
      </c>
      <c r="AM20" s="1444" t="s">
        <v>199</v>
      </c>
      <c r="AN20" s="1447" t="s">
        <v>200</v>
      </c>
      <c r="AO20" s="1446" t="s">
        <v>201</v>
      </c>
    </row>
    <row r="21" spans="2:41" s="16" customFormat="1" ht="28.35" customHeight="1">
      <c r="B21" s="1971" t="str">
        <f t="shared" si="9"/>
        <v>Education activity</v>
      </c>
      <c r="C21" s="293" t="str">
        <f>IF($K$3="Select company","",IF(HLOOKUP($R$1,BW_FIN_All,'PC lists'!$B35,0)="","",HLOOKUP($R$1,BW_FIN_All,'PC lists'!$B35,0)))</f>
        <v>PR19SSC_B3</v>
      </c>
      <c r="D21" s="293" t="str">
        <f t="shared" si="10"/>
        <v>nr</v>
      </c>
      <c r="E21" s="293">
        <f t="shared" si="11"/>
        <v>0</v>
      </c>
      <c r="F21" s="1824">
        <v>6000</v>
      </c>
      <c r="G21" s="1822" t="s">
        <v>961</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23">
        <v>-0.17699999999999999</v>
      </c>
      <c r="K21" s="292" t="s">
        <v>202</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Education activity</v>
      </c>
      <c r="AI21" s="291" t="str">
        <f t="shared" si="21"/>
        <v>PR19SSC_B3</v>
      </c>
      <c r="AJ21" s="291" t="str">
        <f t="shared" si="22"/>
        <v>nr</v>
      </c>
      <c r="AK21" s="291">
        <f t="shared" si="23"/>
        <v>0</v>
      </c>
      <c r="AL21" s="1450" t="s">
        <v>203</v>
      </c>
      <c r="AM21" s="1444" t="s">
        <v>204</v>
      </c>
      <c r="AN21" s="1447" t="s">
        <v>205</v>
      </c>
      <c r="AO21" s="1446" t="s">
        <v>206</v>
      </c>
    </row>
    <row r="22" spans="2:41" s="16" customFormat="1" ht="28.35" customHeight="1">
      <c r="B22" s="1971" t="str">
        <f t="shared" si="9"/>
        <v>Environmentally sensitive water abstraction</v>
      </c>
      <c r="C22" s="293" t="str">
        <f>IF($K$3="Select company","",IF(HLOOKUP($R$1,BW_FIN_All,'PC lists'!$B36,0)="","",HLOOKUP($R$1,BW_FIN_All,'PC lists'!$B36,0)))</f>
        <v>PR19SSC_C5</v>
      </c>
      <c r="D22" s="293" t="str">
        <f t="shared" si="10"/>
        <v>number</v>
      </c>
      <c r="E22" s="293">
        <f t="shared" si="11"/>
        <v>2</v>
      </c>
      <c r="F22" s="1822">
        <v>0</v>
      </c>
      <c r="G22" s="1822" t="s">
        <v>961</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23">
        <v>-1.4999999999999999E-2</v>
      </c>
      <c r="K22" s="292" t="s">
        <v>207</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Environmentally sensitive water abstraction</v>
      </c>
      <c r="AI22" s="291" t="str">
        <f t="shared" si="21"/>
        <v>PR19SSC_C5</v>
      </c>
      <c r="AJ22" s="291" t="str">
        <f t="shared" si="22"/>
        <v>number</v>
      </c>
      <c r="AK22" s="291">
        <f t="shared" si="23"/>
        <v>2</v>
      </c>
      <c r="AL22" s="1444" t="s">
        <v>208</v>
      </c>
      <c r="AM22" s="1444" t="s">
        <v>209</v>
      </c>
      <c r="AN22" s="1447" t="s">
        <v>210</v>
      </c>
      <c r="AO22" s="1446" t="s">
        <v>211</v>
      </c>
    </row>
    <row r="23" spans="2:41" s="16" customFormat="1" ht="28.35" customHeight="1">
      <c r="B23" s="1971" t="str">
        <f t="shared" si="9"/>
        <v>Protecting wildlife, plants, habitats and catchments</v>
      </c>
      <c r="C23" s="293" t="str">
        <f>IF($K$3="Select company","",IF(HLOOKUP($R$1,BW_FIN_All,'PC lists'!$B37,0)="","",HLOOKUP($R$1,BW_FIN_All,'PC lists'!$B37,0)))</f>
        <v>PR19SSC_C7</v>
      </c>
      <c r="D23" s="293" t="str">
        <f t="shared" si="10"/>
        <v>nr</v>
      </c>
      <c r="E23" s="293">
        <f t="shared" si="11"/>
        <v>1</v>
      </c>
      <c r="F23" s="1822">
        <v>783.3</v>
      </c>
      <c r="G23" s="1822" t="s">
        <v>961</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4.3750000000000004E-2</v>
      </c>
      <c r="I23" s="1823">
        <v>0.22</v>
      </c>
      <c r="K23" s="292" t="s">
        <v>212</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Protecting wildlife, plants, habitats and catchments</v>
      </c>
      <c r="AI23" s="291" t="str">
        <f t="shared" si="21"/>
        <v>PR19SSC_C7</v>
      </c>
      <c r="AJ23" s="291" t="str">
        <f t="shared" si="22"/>
        <v>nr</v>
      </c>
      <c r="AK23" s="291">
        <f t="shared" si="23"/>
        <v>1</v>
      </c>
      <c r="AL23" s="1444" t="s">
        <v>213</v>
      </c>
      <c r="AM23" s="1444" t="s">
        <v>214</v>
      </c>
      <c r="AN23" s="1447" t="s">
        <v>215</v>
      </c>
      <c r="AO23" s="1446" t="s">
        <v>216</v>
      </c>
    </row>
    <row r="24" spans="2:41" s="16" customFormat="1" ht="28.35" customHeight="1">
      <c r="B24" s="1972" t="str">
        <f t="shared" si="9"/>
        <v>Customer contact about water quality</v>
      </c>
      <c r="C24" s="1953" t="str">
        <f>IF($K$3="Select company","",IF(HLOOKUP($R$1,BW_FIN_All,'PC lists'!$B38,0)="","",HLOOKUP($R$1,BW_FIN_All,'PC lists'!$B38,0)))</f>
        <v>PR19SSC_D6</v>
      </c>
      <c r="D24" s="1953" t="str">
        <f t="shared" si="10"/>
        <v>nr</v>
      </c>
      <c r="E24" s="1953">
        <f t="shared" si="11"/>
        <v>2</v>
      </c>
      <c r="F24" s="1822">
        <v>0.6</v>
      </c>
      <c r="G24" s="1822" t="s">
        <v>961</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0.14432000000000003</v>
      </c>
      <c r="I24" s="1823">
        <v>1.2809999999999999</v>
      </c>
      <c r="K24" s="292" t="s">
        <v>217</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Customer contact about water quality</v>
      </c>
      <c r="AI24" s="291" t="str">
        <f t="shared" si="21"/>
        <v>PR19SSC_D6</v>
      </c>
      <c r="AJ24" s="291" t="str">
        <f t="shared" si="22"/>
        <v>nr</v>
      </c>
      <c r="AK24" s="291">
        <f t="shared" si="23"/>
        <v>2</v>
      </c>
      <c r="AL24" s="1444" t="s">
        <v>218</v>
      </c>
      <c r="AM24" s="1444" t="s">
        <v>219</v>
      </c>
      <c r="AN24" s="1447" t="s">
        <v>220</v>
      </c>
      <c r="AO24" s="1446" t="s">
        <v>221</v>
      </c>
    </row>
    <row r="25" spans="2:41" s="16" customFormat="1" ht="28.35" customHeight="1">
      <c r="B25" s="1972" t="str">
        <f t="shared" si="9"/>
        <v>Visible leak repair time</v>
      </c>
      <c r="C25" s="1953" t="str">
        <f>IF($K$3="Select company","",IF(HLOOKUP($R$1,BW_FIN_All,'PC lists'!$B39,0)="","",HLOOKUP($R$1,BW_FIN_All,'PC lists'!$B39,0)))</f>
        <v>PR19SSC_D7</v>
      </c>
      <c r="D25" s="1953" t="str">
        <f t="shared" si="10"/>
        <v>text</v>
      </c>
      <c r="E25" s="1953">
        <f t="shared" si="11"/>
        <v>0</v>
      </c>
      <c r="F25" s="1822">
        <v>4</v>
      </c>
      <c r="G25" s="1822" t="s">
        <v>961</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3">
        <v>0</v>
      </c>
      <c r="K25" s="292" t="s">
        <v>222</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Visible leak repair time</v>
      </c>
      <c r="AI25" s="291" t="str">
        <f t="shared" si="21"/>
        <v>PR19SSC_D7</v>
      </c>
      <c r="AJ25" s="291" t="str">
        <f t="shared" si="22"/>
        <v>text</v>
      </c>
      <c r="AK25" s="291">
        <f t="shared" si="23"/>
        <v>0</v>
      </c>
      <c r="AL25" s="1444" t="s">
        <v>223</v>
      </c>
      <c r="AM25" s="1444" t="s">
        <v>224</v>
      </c>
      <c r="AN25" s="1447" t="s">
        <v>225</v>
      </c>
      <c r="AO25" s="1446" t="s">
        <v>226</v>
      </c>
    </row>
    <row r="26" spans="2:41" s="16" customFormat="1" ht="28.35" customHeight="1">
      <c r="B26" s="1972" t="str">
        <f t="shared" si="9"/>
        <v>Water treatment works delivery programme</v>
      </c>
      <c r="C26" s="1953" t="str">
        <f>IF($K$3="Select company","",IF(HLOOKUP($R$1,BW_FIN_All,'PC lists'!$B40,0)="","",HLOOKUP($R$1,BW_FIN_All,'PC lists'!$B40,0)))</f>
        <v>PR19SSC_D8</v>
      </c>
      <c r="D26" s="1953" t="str">
        <f t="shared" si="10"/>
        <v>%</v>
      </c>
      <c r="E26" s="1953">
        <f t="shared" si="11"/>
        <v>1</v>
      </c>
      <c r="F26" s="1822">
        <v>100</v>
      </c>
      <c r="G26" s="1822" t="s">
        <v>961</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v>0</v>
      </c>
      <c r="K26" s="292" t="s">
        <v>227</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Water treatment works delivery programme</v>
      </c>
      <c r="AI26" s="291" t="str">
        <f t="shared" si="21"/>
        <v>PR19SSC_D8</v>
      </c>
      <c r="AJ26" s="291" t="str">
        <f t="shared" si="22"/>
        <v>%</v>
      </c>
      <c r="AK26" s="291">
        <f t="shared" si="23"/>
        <v>1</v>
      </c>
      <c r="AL26" s="1444" t="s">
        <v>228</v>
      </c>
      <c r="AM26" s="1444" t="s">
        <v>229</v>
      </c>
      <c r="AN26" s="1447" t="s">
        <v>230</v>
      </c>
      <c r="AO26" s="1446" t="s">
        <v>231</v>
      </c>
    </row>
    <row r="27" spans="2:41" s="16" customFormat="1" ht="28.35" customHeight="1">
      <c r="B27" s="1972" t="str">
        <f t="shared" si="9"/>
        <v>Residential void properties and gap sites</v>
      </c>
      <c r="C27" s="1953" t="str">
        <f>IF($K$3="Select company","",IF(HLOOKUP($R$1,BW_FIN_All,'PC lists'!$B41,0)="","",HLOOKUP($R$1,BW_FIN_All,'PC lists'!$B41,0)))</f>
        <v>PR19SSC_E2</v>
      </c>
      <c r="D27" s="1953" t="str">
        <f t="shared" si="10"/>
        <v>%</v>
      </c>
      <c r="E27" s="1953">
        <f t="shared" si="11"/>
        <v>0</v>
      </c>
      <c r="F27" s="1824">
        <v>100</v>
      </c>
      <c r="G27" s="1822" t="s">
        <v>961</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23">
        <v>0</v>
      </c>
      <c r="K27" s="292" t="s">
        <v>232</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Residential void properties and gap sites</v>
      </c>
      <c r="AI27" s="291" t="str">
        <f t="shared" si="21"/>
        <v>PR19SSC_E2</v>
      </c>
      <c r="AJ27" s="291" t="str">
        <f t="shared" si="22"/>
        <v>%</v>
      </c>
      <c r="AK27" s="291">
        <f t="shared" si="23"/>
        <v>0</v>
      </c>
      <c r="AL27" s="1450" t="s">
        <v>233</v>
      </c>
      <c r="AM27" s="1444" t="s">
        <v>234</v>
      </c>
      <c r="AN27" s="1447" t="s">
        <v>235</v>
      </c>
      <c r="AO27" s="1446" t="s">
        <v>236</v>
      </c>
    </row>
    <row r="28" spans="2:41" s="16" customFormat="1" ht="28.35" customHeight="1">
      <c r="B28" s="1952" t="str">
        <f t="shared" si="9"/>
        <v/>
      </c>
      <c r="C28" s="1953" t="str">
        <f>IF($K$3="Select company","",IF(HLOOKUP($R$1,BW_FIN_All,'PC lists'!$B42,0)="","",HLOOKUP($R$1,BW_FIN_All,'PC lists'!$B42,0)))</f>
        <v/>
      </c>
      <c r="D28" s="1953" t="str">
        <f t="shared" si="10"/>
        <v/>
      </c>
      <c r="E28" s="1953" t="str">
        <f t="shared" si="11"/>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23"/>
      <c r="K28" s="292" t="s">
        <v>237</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44" t="s">
        <v>238</v>
      </c>
      <c r="AM28" s="1444" t="s">
        <v>239</v>
      </c>
      <c r="AN28" s="1447" t="s">
        <v>240</v>
      </c>
      <c r="AO28" s="1446" t="s">
        <v>241</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22"/>
      <c r="G29" s="1822"/>
      <c r="H29" s="1828"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23"/>
      <c r="K29" s="292" t="s">
        <v>242</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44" t="s">
        <v>243</v>
      </c>
      <c r="AM29" s="1444" t="s">
        <v>244</v>
      </c>
      <c r="AN29" s="1447" t="s">
        <v>245</v>
      </c>
      <c r="AO29" s="1446" t="s">
        <v>246</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22"/>
      <c r="G30" s="1822"/>
      <c r="H30" s="182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23"/>
      <c r="K30" s="292" t="s">
        <v>247</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44" t="s">
        <v>248</v>
      </c>
      <c r="AM30" s="1444" t="s">
        <v>249</v>
      </c>
      <c r="AN30" s="1447" t="s">
        <v>250</v>
      </c>
      <c r="AO30" s="1446" t="s">
        <v>251</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24"/>
      <c r="G31" s="1822"/>
      <c r="H31" s="182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23"/>
      <c r="K31" s="292" t="s">
        <v>252</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50" t="s">
        <v>253</v>
      </c>
      <c r="AM31" s="1444" t="s">
        <v>254</v>
      </c>
      <c r="AN31" s="1447" t="s">
        <v>255</v>
      </c>
      <c r="AO31" s="1446" t="s">
        <v>256</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22"/>
      <c r="G32" s="1822"/>
      <c r="H32" s="182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23"/>
      <c r="K32" s="292" t="s">
        <v>257</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44" t="s">
        <v>258</v>
      </c>
      <c r="AM32" s="1444" t="s">
        <v>259</v>
      </c>
      <c r="AN32" s="1447" t="s">
        <v>260</v>
      </c>
      <c r="AO32" s="1446" t="s">
        <v>261</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263</v>
      </c>
      <c r="AM33" s="1444" t="s">
        <v>264</v>
      </c>
      <c r="AN33" s="1447" t="s">
        <v>265</v>
      </c>
      <c r="AO33" s="1446" t="s">
        <v>266</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268</v>
      </c>
      <c r="AM34" s="1444" t="s">
        <v>269</v>
      </c>
      <c r="AN34" s="1447" t="s">
        <v>270</v>
      </c>
      <c r="AO34" s="1446" t="s">
        <v>271</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273</v>
      </c>
      <c r="AM35" s="1444" t="s">
        <v>274</v>
      </c>
      <c r="AN35" s="1447" t="s">
        <v>275</v>
      </c>
      <c r="AO35" s="1446" t="s">
        <v>276</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278</v>
      </c>
      <c r="AM36" s="1444" t="s">
        <v>279</v>
      </c>
      <c r="AN36" s="1447" t="s">
        <v>280</v>
      </c>
      <c r="AO36" s="1446" t="s">
        <v>281</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283</v>
      </c>
      <c r="AM37" s="1444" t="s">
        <v>284</v>
      </c>
      <c r="AN37" s="1447" t="s">
        <v>285</v>
      </c>
      <c r="AO37" s="1446" t="s">
        <v>286</v>
      </c>
    </row>
    <row r="38" spans="1:41" s="9" customFormat="1" ht="28.35"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287</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288</v>
      </c>
      <c r="AM38" s="1444" t="s">
        <v>289</v>
      </c>
      <c r="AN38" s="1447" t="s">
        <v>290</v>
      </c>
      <c r="AO38" s="1446" t="s">
        <v>291</v>
      </c>
    </row>
    <row r="39" spans="1:41" s="9" customFormat="1" ht="14.4">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7.6">
      <c r="A40" s="1356"/>
      <c r="B40" s="288" t="s">
        <v>292</v>
      </c>
      <c r="C40" s="348"/>
      <c r="D40" s="293" t="s">
        <v>293</v>
      </c>
      <c r="E40" s="293">
        <v>0</v>
      </c>
      <c r="F40" s="345"/>
      <c r="G40" s="1832">
        <f>IFERROR((COUNTIF($G$9:$G$38,"Yes")/(COUNTA($G$9:$G$38) - COUNTIF($G$9:$G$38,"-")))*100,"")</f>
        <v>82.35294117647058</v>
      </c>
      <c r="H40" s="361"/>
      <c r="I40" s="347"/>
      <c r="J40" s="16"/>
      <c r="K40" s="292" t="s">
        <v>294</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295</v>
      </c>
      <c r="AN40" s="361"/>
      <c r="AO40" s="347"/>
    </row>
    <row r="41" spans="1:41" s="9" customFormat="1" ht="28.5" customHeight="1">
      <c r="A41" s="1356"/>
      <c r="B41" s="288" t="s">
        <v>296</v>
      </c>
      <c r="C41" s="348"/>
      <c r="D41" s="293" t="s">
        <v>293</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76.666666666666671</v>
      </c>
      <c r="H41" s="346"/>
      <c r="I41" s="347"/>
      <c r="J41" s="16"/>
      <c r="K41" s="292" t="s">
        <v>297</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298</v>
      </c>
      <c r="AN41" s="346"/>
      <c r="AO41" s="347"/>
    </row>
    <row r="42" spans="1:41" s="9" customFormat="1" ht="14.4">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4">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374" priority="97">
      <formula>INDIRECT("E" &amp; ROW()) = 5</formula>
    </cfRule>
    <cfRule type="expression" dxfId="373" priority="98">
      <formula>INDIRECT("E" &amp; ROW()) = 4</formula>
    </cfRule>
    <cfRule type="expression" dxfId="372" priority="99">
      <formula>INDIRECT("E" &amp; ROW()) = 3</formula>
    </cfRule>
    <cfRule type="expression" dxfId="371" priority="100">
      <formula>INDIRECT("E" &amp; ROW()) = 2</formula>
    </cfRule>
    <cfRule type="expression" dxfId="370" priority="101">
      <formula>INDIRECT("E" &amp; ROW()) = 1</formula>
    </cfRule>
    <cfRule type="expression" dxfId="369" priority="102">
      <formula>INDIRECT("E" &amp; ROW()) = 0</formula>
    </cfRule>
  </conditionalFormatting>
  <conditionalFormatting sqref="B12">
    <cfRule type="expression" dxfId="368" priority="95">
      <formula>B12="[For use by NES and SSC only]"</formula>
    </cfRule>
  </conditionalFormatting>
  <conditionalFormatting sqref="B14">
    <cfRule type="expression" dxfId="367" priority="94">
      <formula>B14="[For use by SSC only]"</formula>
    </cfRule>
  </conditionalFormatting>
  <conditionalFormatting sqref="M9:M13 M15:M16">
    <cfRule type="cellIs" dxfId="366" priority="73" operator="equal">
      <formula>0</formula>
    </cfRule>
  </conditionalFormatting>
  <conditionalFormatting sqref="M19:M38">
    <cfRule type="cellIs" dxfId="365" priority="72" operator="equal">
      <formula>0</formula>
    </cfRule>
  </conditionalFormatting>
  <conditionalFormatting sqref="M19:M38">
    <cfRule type="cellIs" dxfId="364" priority="71" operator="equal">
      <formula>0</formula>
    </cfRule>
  </conditionalFormatting>
  <conditionalFormatting sqref="N9">
    <cfRule type="cellIs" dxfId="363" priority="65" operator="equal">
      <formula>0</formula>
    </cfRule>
  </conditionalFormatting>
  <conditionalFormatting sqref="M40">
    <cfRule type="cellIs" dxfId="362" priority="56" operator="equal">
      <formula>0</formula>
    </cfRule>
  </conditionalFormatting>
  <conditionalFormatting sqref="M40:N40">
    <cfRule type="cellIs" dxfId="361" priority="55" operator="equal">
      <formula>0</formula>
    </cfRule>
  </conditionalFormatting>
  <conditionalFormatting sqref="M41">
    <cfRule type="cellIs" dxfId="360" priority="48" operator="equal">
      <formula>0</formula>
    </cfRule>
  </conditionalFormatting>
  <conditionalFormatting sqref="M41:N41">
    <cfRule type="cellIs" dxfId="359" priority="47" operator="equal">
      <formula>0</formula>
    </cfRule>
  </conditionalFormatting>
  <conditionalFormatting sqref="E9:E16 E19:E38 E40:E41">
    <cfRule type="cellIs" dxfId="358" priority="46" operator="equal">
      <formula>0</formula>
    </cfRule>
  </conditionalFormatting>
  <conditionalFormatting sqref="M14">
    <cfRule type="cellIs" dxfId="357" priority="32" operator="equal">
      <formula>0</formula>
    </cfRule>
  </conditionalFormatting>
  <conditionalFormatting sqref="N19">
    <cfRule type="cellIs" dxfId="356" priority="30" operator="equal">
      <formula>0</formula>
    </cfRule>
  </conditionalFormatting>
  <conditionalFormatting sqref="N10">
    <cfRule type="cellIs" dxfId="355" priority="18" operator="equal">
      <formula>0</formula>
    </cfRule>
  </conditionalFormatting>
  <conditionalFormatting sqref="N14">
    <cfRule type="cellIs" dxfId="354" priority="13" operator="equal">
      <formula>0</formula>
    </cfRule>
  </conditionalFormatting>
  <conditionalFormatting sqref="N11">
    <cfRule type="cellIs" dxfId="353" priority="17" operator="equal">
      <formula>0</formula>
    </cfRule>
  </conditionalFormatting>
  <conditionalFormatting sqref="N12">
    <cfRule type="cellIs" dxfId="352" priority="16" operator="equal">
      <formula>0</formula>
    </cfRule>
  </conditionalFormatting>
  <conditionalFormatting sqref="N13">
    <cfRule type="cellIs" dxfId="351" priority="15" operator="equal">
      <formula>0</formula>
    </cfRule>
  </conditionalFormatting>
  <conditionalFormatting sqref="N20:N38">
    <cfRule type="cellIs" dxfId="350" priority="10" operator="equal">
      <formula>0</formula>
    </cfRule>
  </conditionalFormatting>
  <conditionalFormatting sqref="N15">
    <cfRule type="cellIs" dxfId="349" priority="12" operator="equal">
      <formula>0</formula>
    </cfRule>
  </conditionalFormatting>
  <conditionalFormatting sqref="N16">
    <cfRule type="cellIs" dxfId="348" priority="11" operator="equal">
      <formula>0</formula>
    </cfRule>
  </conditionalFormatting>
  <conditionalFormatting sqref="AL19:AL38 AL40:AL41">
    <cfRule type="expression" dxfId="347" priority="4">
      <formula>INDIRECT("E" &amp; ROW()) = 5</formula>
    </cfRule>
    <cfRule type="expression" dxfId="346" priority="5">
      <formula>INDIRECT("E" &amp; ROW()) = 4</formula>
    </cfRule>
    <cfRule type="expression" dxfId="345" priority="6">
      <formula>INDIRECT("E" &amp; ROW()) = 3</formula>
    </cfRule>
    <cfRule type="expression" dxfId="344" priority="7">
      <formula>INDIRECT("E" &amp; ROW()) = 2</formula>
    </cfRule>
    <cfRule type="expression" dxfId="343" priority="8">
      <formula>INDIRECT("E" &amp; ROW()) = 1</formula>
    </cfRule>
    <cfRule type="expression" dxfId="342"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33</v>
      </c>
      <c r="C1" s="5"/>
      <c r="D1" s="5"/>
      <c r="E1" s="5"/>
      <c r="F1" s="5"/>
      <c r="G1" s="5"/>
      <c r="H1" s="7"/>
      <c r="N1" s="197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305</v>
      </c>
      <c r="C3" s="295"/>
      <c r="D3" s="295"/>
      <c r="E3" s="295"/>
      <c r="F3" s="295"/>
      <c r="G3" s="295"/>
      <c r="H3" s="295"/>
      <c r="I3" s="295"/>
      <c r="J3" s="296"/>
      <c r="K3" s="307" t="str">
        <f>'Validation summary'!$B$3</f>
        <v>South Staffs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306</v>
      </c>
      <c r="AK5" s="2134" t="s">
        <v>307</v>
      </c>
      <c r="AL5" s="2135" t="s">
        <v>308</v>
      </c>
      <c r="AM5" s="1453" t="s">
        <v>134</v>
      </c>
      <c r="AN5" s="299" t="s">
        <v>140</v>
      </c>
      <c r="AO5" s="299" t="s">
        <v>136</v>
      </c>
    </row>
    <row r="6" spans="2:41" s="9" customFormat="1" ht="16.2" customHeight="1">
      <c r="B6" s="2160"/>
      <c r="C6" s="2159"/>
      <c r="D6" s="2159"/>
      <c r="E6" s="2161"/>
      <c r="F6" s="2163"/>
      <c r="G6" s="2159"/>
      <c r="H6" s="2135" t="s">
        <v>141</v>
      </c>
      <c r="I6" s="2135" t="s">
        <v>141</v>
      </c>
      <c r="J6" s="280"/>
      <c r="K6" s="2159"/>
      <c r="L6" s="15"/>
      <c r="M6" s="2153"/>
      <c r="N6" s="2153"/>
      <c r="O6" s="1356"/>
      <c r="P6" s="1356"/>
      <c r="Q6" s="1356"/>
      <c r="R6" s="1356"/>
      <c r="S6" s="1356"/>
      <c r="T6" s="1356"/>
      <c r="U6" s="1357"/>
      <c r="V6" s="327" t="s">
        <v>142</v>
      </c>
      <c r="W6" s="1356"/>
      <c r="X6" s="1356"/>
      <c r="Y6" s="1356"/>
      <c r="Z6" s="1356"/>
      <c r="AA6" s="1357"/>
      <c r="AB6" s="327" t="s">
        <v>143</v>
      </c>
      <c r="AC6" s="1356"/>
      <c r="AD6" s="327" t="s">
        <v>309</v>
      </c>
      <c r="AE6" s="1356"/>
      <c r="AF6" s="1357"/>
      <c r="AG6" s="1356"/>
      <c r="AH6" s="1453"/>
      <c r="AI6" s="1453"/>
      <c r="AJ6" s="1453"/>
      <c r="AK6" s="1455"/>
      <c r="AL6" s="2135"/>
      <c r="AM6" s="1453" t="s">
        <v>310</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311</v>
      </c>
      <c r="AC7" s="1356"/>
      <c r="AD7" s="327" t="s">
        <v>146</v>
      </c>
      <c r="AE7" s="1356"/>
      <c r="AF7" s="1357"/>
      <c r="AG7" s="1356"/>
      <c r="AH7" s="1353"/>
      <c r="AI7" s="1353"/>
      <c r="AJ7" s="1353"/>
      <c r="AK7" s="1353"/>
      <c r="AL7" s="1353"/>
      <c r="AM7" s="1353"/>
      <c r="AN7" s="1353"/>
      <c r="AO7" s="1353"/>
    </row>
    <row r="8" spans="2:41" s="9" customFormat="1" ht="16.5" customHeight="1">
      <c r="B8" s="309" t="s">
        <v>312</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312</v>
      </c>
      <c r="AI8" s="12"/>
      <c r="AJ8" s="1353"/>
      <c r="AK8" s="1353"/>
      <c r="AL8" s="1353"/>
      <c r="AM8" s="1353"/>
      <c r="AN8" s="1353"/>
      <c r="AO8" s="1353"/>
    </row>
    <row r="9" spans="2:41" s="9" customFormat="1" ht="15.6">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08"/>
      <c r="G9" s="1822"/>
      <c r="H9" s="1828" t="str">
        <f>IF($C9="","",SUM(HLOOKUP($C9,'Model outputs - PC level'!$J$5:$BS$25,12,0),HLOOKUP($C9,'Model outputs - PC level'!$J$5:$BS$25,13,0),HLOOKUP($C9,'Model outputs - PC level'!$J$5:$BS$25,15,0),HLOOKUP($C9,'Model outputs - PC level'!$J$5:$BS$25,16,0),HLOOKUP($C9,'Model outputs - PC level'!$J$5:$BS$25,18,0),HLOOKUP($C9,'Model outputs - PC level'!$J$5:$BS$25,19,0)))</f>
        <v/>
      </c>
      <c r="I9" s="1830"/>
      <c r="J9" s="35"/>
      <c r="K9" s="292" t="s">
        <v>313</v>
      </c>
      <c r="L9" s="1356"/>
      <c r="M9" s="326">
        <f>IF(SUM($V9:$Z9)=0,0,$V$6)</f>
        <v>0</v>
      </c>
      <c r="N9" s="338">
        <f>IF(OR($AB9=1,$AD9=1),$AD$6,IF($AE9=1,$AD$7,0))</f>
        <v>0</v>
      </c>
      <c r="O9" s="1356"/>
      <c r="P9" s="2121"/>
      <c r="Q9" s="1356"/>
      <c r="R9" s="1356"/>
      <c r="S9" s="1356"/>
      <c r="T9" s="1356"/>
      <c r="U9" s="1357"/>
      <c r="V9" s="325"/>
      <c r="W9" s="325"/>
      <c r="X9" s="325">
        <f>IF($C9="",0,IF(ISBLANK($G9)=TRUE,1,0))</f>
        <v>0</v>
      </c>
      <c r="Y9" s="325"/>
      <c r="Z9" s="325">
        <f>IF($C9="",0,IF(ISBLANK($I9)=TRUE,1,0))</f>
        <v>0</v>
      </c>
      <c r="AA9" s="1357"/>
      <c r="AB9" s="329">
        <f>IF(ISERROR($F9)=TRUE,1,0)</f>
        <v>0</v>
      </c>
      <c r="AC9" s="329"/>
      <c r="AD9" s="325">
        <f>IF(ISERROR($H9)=TRUE,1,0)</f>
        <v>0</v>
      </c>
      <c r="AE9" s="329">
        <f>IF($C15="",0,IF(OR(AND(G9="Yes",H9&gt;=0),AND(G9="No",H9&lt;=0),AND(G9="-",H9=0)),0,1))</f>
        <v>0</v>
      </c>
      <c r="AF9" s="1357"/>
      <c r="AG9" s="1356"/>
      <c r="AH9" s="288" t="str">
        <f>B9</f>
        <v/>
      </c>
      <c r="AI9" s="288" t="str">
        <f t="shared" ref="AI9:AK12" si="0">C9</f>
        <v/>
      </c>
      <c r="AJ9" s="288" t="str">
        <f t="shared" si="0"/>
        <v/>
      </c>
      <c r="AK9" s="288" t="str">
        <f t="shared" si="0"/>
        <v/>
      </c>
      <c r="AL9" s="1511" t="s">
        <v>314</v>
      </c>
      <c r="AM9" s="1457" t="s">
        <v>315</v>
      </c>
      <c r="AN9" s="1457" t="s">
        <v>316</v>
      </c>
      <c r="AO9" s="1458" t="s">
        <v>317</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08"/>
      <c r="G10" s="1822"/>
      <c r="H10" s="1828"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30"/>
      <c r="J10" s="35"/>
      <c r="K10" s="292" t="s">
        <v>318</v>
      </c>
      <c r="L10" s="1356"/>
      <c r="M10" s="326">
        <f>IF(SUM($V10:$Z10)=0,0,$V$6)</f>
        <v>0</v>
      </c>
      <c r="N10" s="338">
        <f>IF(OR($AB10=1,$AD10=1),$AD$6,IF($AE10=1,$AD$7,0))</f>
        <v>0</v>
      </c>
      <c r="O10" s="1356"/>
      <c r="P10" s="1356"/>
      <c r="Q10" s="1356"/>
      <c r="R10" s="1356"/>
      <c r="S10" s="1356"/>
      <c r="T10" s="1356"/>
      <c r="U10" s="1357"/>
      <c r="V10" s="325"/>
      <c r="W10" s="325"/>
      <c r="X10" s="325">
        <f>IF($C10="",0,IF(ISBLANK($G10)=TRUE,1,0))</f>
        <v>0</v>
      </c>
      <c r="Y10" s="325"/>
      <c r="Z10" s="325">
        <f>IF($C10="",0,IF(ISBLANK($I10)=TRUE,1,0))</f>
        <v>0</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
      </c>
      <c r="AI10" s="288" t="str">
        <f t="shared" si="0"/>
        <v/>
      </c>
      <c r="AJ10" s="288" t="str">
        <f t="shared" si="0"/>
        <v/>
      </c>
      <c r="AK10" s="288" t="str">
        <f t="shared" si="0"/>
        <v/>
      </c>
      <c r="AL10" s="1511" t="s">
        <v>319</v>
      </c>
      <c r="AM10" s="1457" t="s">
        <v>320</v>
      </c>
      <c r="AN10" s="1457" t="s">
        <v>321</v>
      </c>
      <c r="AO10" s="1458" t="s">
        <v>322</v>
      </c>
    </row>
    <row r="11" spans="2:41" s="9" customFormat="1" ht="39.450000000000003"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08"/>
      <c r="G11" s="1822"/>
      <c r="H11" s="1828"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30"/>
      <c r="J11" s="35"/>
      <c r="K11" s="292" t="s">
        <v>323</v>
      </c>
      <c r="L11" s="1356"/>
      <c r="M11" s="326">
        <f>IF(SUM($V11:$Z11)=0,0,$V$6)</f>
        <v>0</v>
      </c>
      <c r="N11" s="338">
        <f>IF(OR($AB11=1,$AD11=1),$AD$6,IF($AE11=1,$AD$7,0))</f>
        <v>0</v>
      </c>
      <c r="O11" s="1356"/>
      <c r="P11" s="1356"/>
      <c r="Q11" s="1356"/>
      <c r="R11" s="1356"/>
      <c r="S11" s="1356"/>
      <c r="T11" s="1356"/>
      <c r="U11" s="1357"/>
      <c r="V11" s="325"/>
      <c r="W11" s="325"/>
      <c r="X11" s="325">
        <f>IF($C11="",0,IF(ISBLANK($G11)=TRUE,1,0))</f>
        <v>0</v>
      </c>
      <c r="Y11" s="325"/>
      <c r="Z11" s="325">
        <f>IF($C11="",0,IF(ISBLANK($I11)=TRUE,1,0))</f>
        <v>0</v>
      </c>
      <c r="AA11" s="1357"/>
      <c r="AB11" s="329">
        <f t="shared" si="1"/>
        <v>0</v>
      </c>
      <c r="AC11" s="329"/>
      <c r="AD11" s="325">
        <f t="shared" si="2"/>
        <v>0</v>
      </c>
      <c r="AE11" s="329">
        <f>IF($C17="",0,IF(OR(AND(G11="Yes",H11&gt;=0),AND(G11="No",H11&lt;=0),AND(G11="-",H11=0)),0,1))</f>
        <v>0</v>
      </c>
      <c r="AF11" s="1357"/>
      <c r="AG11" s="1356"/>
      <c r="AH11" s="288" t="str">
        <f t="shared" si="3"/>
        <v/>
      </c>
      <c r="AI11" s="288" t="str">
        <f t="shared" si="0"/>
        <v/>
      </c>
      <c r="AJ11" s="288" t="str">
        <f t="shared" si="0"/>
        <v/>
      </c>
      <c r="AK11" s="288" t="str">
        <f t="shared" si="0"/>
        <v/>
      </c>
      <c r="AL11" s="1511" t="s">
        <v>324</v>
      </c>
      <c r="AM11" s="1457" t="s">
        <v>325</v>
      </c>
      <c r="AN11" s="1457" t="s">
        <v>326</v>
      </c>
      <c r="AO11" s="1458" t="s">
        <v>327</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31"/>
      <c r="G12" s="1822"/>
      <c r="H12" s="182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0"/>
      <c r="J12" s="35"/>
      <c r="K12" s="292" t="s">
        <v>328</v>
      </c>
      <c r="L12" s="1356"/>
      <c r="M12" s="326">
        <f>IF(SUM($V12:$Z12)=0,0,$V$6)</f>
        <v>0</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0</v>
      </c>
      <c r="AA12" s="1357"/>
      <c r="AB12" s="329">
        <f>IF(OR($F12&lt;0,$F12&gt;100),1,0)</f>
        <v>0</v>
      </c>
      <c r="AC12" s="329"/>
      <c r="AD12" s="325">
        <f t="shared" si="2"/>
        <v>0</v>
      </c>
      <c r="AE12" s="329">
        <f>IF($C18="",0,IF(OR(AND(G12="Yes",H12&gt;=0),AND(G12="No",H12&lt;=0),AND(G12="-",H12=0)),0,1))</f>
        <v>0</v>
      </c>
      <c r="AF12" s="1357"/>
      <c r="AG12" s="1356"/>
      <c r="AH12" s="288" t="str">
        <f t="shared" si="3"/>
        <v/>
      </c>
      <c r="AI12" s="288" t="str">
        <f t="shared" si="0"/>
        <v/>
      </c>
      <c r="AJ12" s="288" t="str">
        <f t="shared" si="0"/>
        <v/>
      </c>
      <c r="AK12" s="288" t="str">
        <f t="shared" si="0"/>
        <v/>
      </c>
      <c r="AL12" s="2113" t="s">
        <v>329</v>
      </c>
      <c r="AM12" s="1457" t="s">
        <v>330</v>
      </c>
      <c r="AN12" s="1457" t="s">
        <v>331</v>
      </c>
      <c r="AO12" s="1458" t="s">
        <v>332</v>
      </c>
    </row>
    <row r="13" spans="2:41" s="9" customFormat="1" ht="15.6">
      <c r="B13" s="1353"/>
      <c r="C13" s="1353"/>
      <c r="D13" s="1353"/>
      <c r="E13" s="1353"/>
      <c r="F13" s="1353"/>
      <c r="G13" s="1353"/>
      <c r="H13" s="1353"/>
      <c r="I13" s="1353"/>
      <c r="J13" s="35"/>
      <c r="K13" s="1356"/>
      <c r="L13" s="1356"/>
      <c r="M13" s="1356"/>
      <c r="N13" s="1356"/>
      <c r="O13" s="1356"/>
      <c r="P13" s="1356"/>
      <c r="Q13" s="1356"/>
      <c r="R13" s="1356"/>
      <c r="S13" s="1356"/>
      <c r="T13" s="1356"/>
      <c r="U13" s="1357"/>
      <c r="V13" s="1356" t="s">
        <v>190</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333</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333</v>
      </c>
      <c r="AI14" s="12"/>
      <c r="AJ14" s="1353"/>
      <c r="AK14" s="1353"/>
      <c r="AL14" s="1353"/>
      <c r="AM14" s="1353"/>
      <c r="AN14" s="1353"/>
      <c r="AO14" s="1353"/>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22"/>
      <c r="G15" s="1822"/>
      <c r="H15" s="1828"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30"/>
      <c r="J15" s="1356"/>
      <c r="K15" s="292" t="s">
        <v>334</v>
      </c>
      <c r="L15" s="1356"/>
      <c r="M15" s="326">
        <f t="shared" ref="M15:M28" si="6">IF(SUM($V15:$Z15)=0,0,$V$6)</f>
        <v>0</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57"/>
      <c r="AG15" s="1356"/>
      <c r="AH15" s="288" t="str">
        <f t="shared" ref="AH15:AK28" si="11">B15</f>
        <v/>
      </c>
      <c r="AI15" s="288" t="str">
        <f t="shared" si="11"/>
        <v/>
      </c>
      <c r="AJ15" s="288" t="str">
        <f t="shared" si="11"/>
        <v/>
      </c>
      <c r="AK15" s="288" t="str">
        <f t="shared" si="11"/>
        <v/>
      </c>
      <c r="AL15" s="1457" t="s">
        <v>335</v>
      </c>
      <c r="AM15" s="1457" t="s">
        <v>336</v>
      </c>
      <c r="AN15" s="1457" t="s">
        <v>337</v>
      </c>
      <c r="AO15" s="1458" t="s">
        <v>338</v>
      </c>
    </row>
    <row r="16" spans="2:41" s="9" customFormat="1" ht="28.35" customHeight="1">
      <c r="B16" s="1952" t="str">
        <f>IF(OR($K$3="Select company",'Validation summary'!$F$3="WoC"),"",IF($C16="","",INDEX(App1data,MATCH($C16,App1IDnrs,0),5)))</f>
        <v/>
      </c>
      <c r="C16" s="1953" t="str">
        <f>IF(OR($K$3="Select company",'Validation summary'!$F$3="WoC"),"",IF(HLOOKUP('3A'!$R$1,BWW_FIN_All,'PC lists'!$B60,0)="","",HLOOKUP('3A'!$R$1,BWW_FIN_All,'PC lists'!$B60,0)))</f>
        <v/>
      </c>
      <c r="D16" s="1953" t="str">
        <f t="shared" si="4"/>
        <v/>
      </c>
      <c r="E16" s="1953" t="str">
        <f t="shared" si="5"/>
        <v/>
      </c>
      <c r="F16" s="1822"/>
      <c r="G16" s="1822"/>
      <c r="H16" s="1828"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30"/>
      <c r="J16" s="1356"/>
      <c r="K16" s="292" t="s">
        <v>339</v>
      </c>
      <c r="L16" s="1356"/>
      <c r="M16" s="326">
        <f t="shared" si="6"/>
        <v>0</v>
      </c>
      <c r="N16" s="326">
        <f t="shared" ref="N16:N28" si="12">IF($AD16=1,$AD$6,IF($AE16=1,$AD$7,0))</f>
        <v>0</v>
      </c>
      <c r="O16" s="1356"/>
      <c r="P16" s="1356"/>
      <c r="Q16" s="1356"/>
      <c r="R16" s="1356"/>
      <c r="S16" s="1356"/>
      <c r="T16" s="1356"/>
      <c r="U16" s="1357"/>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57"/>
      <c r="AG16" s="1356"/>
      <c r="AH16" s="288" t="str">
        <f t="shared" si="11"/>
        <v/>
      </c>
      <c r="AI16" s="288" t="str">
        <f t="shared" si="11"/>
        <v/>
      </c>
      <c r="AJ16" s="288" t="str">
        <f t="shared" si="11"/>
        <v/>
      </c>
      <c r="AK16" s="288" t="str">
        <f t="shared" si="11"/>
        <v/>
      </c>
      <c r="AL16" s="1457" t="s">
        <v>340</v>
      </c>
      <c r="AM16" s="1457" t="s">
        <v>341</v>
      </c>
      <c r="AN16" s="1457" t="s">
        <v>342</v>
      </c>
      <c r="AO16" s="1458" t="s">
        <v>343</v>
      </c>
    </row>
    <row r="17" spans="2:41" s="9" customFormat="1" ht="28.35" customHeight="1">
      <c r="B17" s="1952" t="str">
        <f>IF(OR($K$3="Select company",'Validation summary'!$F$3="WoC"),"",IF($C17="","",INDEX(App1data,MATCH($C17,App1IDnrs,0),5)))</f>
        <v/>
      </c>
      <c r="C17" s="1953" t="str">
        <f>IF(OR($K$3="Select company",'Validation summary'!$F$3="WoC"),"",IF(HLOOKUP('3A'!$R$1,BWW_FIN_All,'PC lists'!$B61,0)="","",HLOOKUP('3A'!$R$1,BWW_FIN_All,'PC lists'!$B61,0)))</f>
        <v/>
      </c>
      <c r="D17" s="1953" t="str">
        <f t="shared" si="4"/>
        <v/>
      </c>
      <c r="E17" s="1953" t="str">
        <f t="shared" si="5"/>
        <v/>
      </c>
      <c r="F17" s="1822"/>
      <c r="G17" s="1822"/>
      <c r="H17" s="1828"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30"/>
      <c r="J17" s="1356"/>
      <c r="K17" s="292" t="s">
        <v>344</v>
      </c>
      <c r="L17" s="1356"/>
      <c r="M17" s="326">
        <f t="shared" si="6"/>
        <v>0</v>
      </c>
      <c r="N17" s="326">
        <f t="shared" si="12"/>
        <v>0</v>
      </c>
      <c r="O17" s="1356"/>
      <c r="P17" s="1356"/>
      <c r="Q17" s="1356"/>
      <c r="R17" s="1356"/>
      <c r="S17" s="1356"/>
      <c r="T17" s="1356"/>
      <c r="U17" s="1357"/>
      <c r="V17" s="325"/>
      <c r="W17" s="325">
        <f t="shared" si="7"/>
        <v>0</v>
      </c>
      <c r="X17" s="325">
        <f t="shared" si="8"/>
        <v>0</v>
      </c>
      <c r="Y17" s="325"/>
      <c r="Z17" s="325">
        <f t="shared" si="9"/>
        <v>0</v>
      </c>
      <c r="AA17" s="320"/>
      <c r="AB17" s="16"/>
      <c r="AC17" s="16"/>
      <c r="AD17" s="329">
        <f t="shared" si="10"/>
        <v>0</v>
      </c>
      <c r="AE17" s="329">
        <f t="shared" si="13"/>
        <v>0</v>
      </c>
      <c r="AF17" s="1357"/>
      <c r="AG17" s="1356"/>
      <c r="AH17" s="288" t="str">
        <f t="shared" si="11"/>
        <v/>
      </c>
      <c r="AI17" s="288" t="str">
        <f t="shared" si="11"/>
        <v/>
      </c>
      <c r="AJ17" s="288" t="str">
        <f t="shared" si="11"/>
        <v/>
      </c>
      <c r="AK17" s="288" t="str">
        <f t="shared" si="11"/>
        <v/>
      </c>
      <c r="AL17" s="1457" t="s">
        <v>345</v>
      </c>
      <c r="AM17" s="1457" t="s">
        <v>346</v>
      </c>
      <c r="AN17" s="1457" t="s">
        <v>347</v>
      </c>
      <c r="AO17" s="1458" t="s">
        <v>348</v>
      </c>
    </row>
    <row r="18" spans="2:41" s="9" customFormat="1" ht="28.35" customHeight="1">
      <c r="B18" s="1952" t="str">
        <f>IF(OR($K$3="Select company",'Validation summary'!$F$3="WoC"),"",IF($C18="","",INDEX(App1data,MATCH($C18,App1IDnrs,0),5)))</f>
        <v/>
      </c>
      <c r="C18" s="1953" t="str">
        <f>IF(OR($K$3="Select company",'Validation summary'!$F$3="WoC"),"",IF(HLOOKUP('3A'!$R$1,BWW_FIN_All,'PC lists'!$B62,0)="","",HLOOKUP('3A'!$R$1,BWW_FIN_All,'PC lists'!$B62,0)))</f>
        <v/>
      </c>
      <c r="D18" s="1953" t="str">
        <f t="shared" si="4"/>
        <v/>
      </c>
      <c r="E18" s="1953" t="str">
        <f t="shared" si="5"/>
        <v/>
      </c>
      <c r="F18" s="1824"/>
      <c r="G18" s="1822"/>
      <c r="H18" s="1828"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30"/>
      <c r="J18" s="1356"/>
      <c r="K18" s="292" t="s">
        <v>349</v>
      </c>
      <c r="L18" s="1356"/>
      <c r="M18" s="326">
        <f t="shared" si="6"/>
        <v>0</v>
      </c>
      <c r="N18" s="326">
        <f t="shared" si="12"/>
        <v>0</v>
      </c>
      <c r="O18" s="1356"/>
      <c r="P18" s="1356"/>
      <c r="Q18" s="1356"/>
      <c r="R18" s="1356"/>
      <c r="S18" s="1356"/>
      <c r="T18" s="1356"/>
      <c r="U18" s="1357"/>
      <c r="V18" s="325"/>
      <c r="W18" s="325">
        <f t="shared" si="7"/>
        <v>0</v>
      </c>
      <c r="X18" s="325">
        <f t="shared" si="8"/>
        <v>0</v>
      </c>
      <c r="Y18" s="325"/>
      <c r="Z18" s="325">
        <f t="shared" si="9"/>
        <v>0</v>
      </c>
      <c r="AA18" s="320"/>
      <c r="AB18" s="16"/>
      <c r="AC18" s="16"/>
      <c r="AD18" s="329">
        <f t="shared" si="10"/>
        <v>0</v>
      </c>
      <c r="AE18" s="329">
        <f t="shared" si="13"/>
        <v>0</v>
      </c>
      <c r="AF18" s="1357"/>
      <c r="AG18" s="1356"/>
      <c r="AH18" s="288" t="str">
        <f t="shared" si="11"/>
        <v/>
      </c>
      <c r="AI18" s="288" t="str">
        <f t="shared" si="11"/>
        <v/>
      </c>
      <c r="AJ18" s="288" t="str">
        <f t="shared" si="11"/>
        <v/>
      </c>
      <c r="AK18" s="288" t="str">
        <f t="shared" si="11"/>
        <v/>
      </c>
      <c r="AL18" s="1457" t="s">
        <v>350</v>
      </c>
      <c r="AM18" s="1457" t="s">
        <v>351</v>
      </c>
      <c r="AN18" s="1457" t="s">
        <v>352</v>
      </c>
      <c r="AO18" s="1458" t="s">
        <v>353</v>
      </c>
    </row>
    <row r="19" spans="2:41" s="9" customFormat="1" ht="28.35" customHeight="1">
      <c r="B19" s="1952" t="str">
        <f>IF(OR($K$3="Select company",'Validation summary'!$F$3="WoC"),"",IF($C19="","",INDEX(App1data,MATCH($C19,App1IDnrs,0),5)))</f>
        <v/>
      </c>
      <c r="C19" s="290" t="str">
        <f>IF(OR($K$3="Select company",'Validation summary'!$F$3="WoC"),"",IF(HLOOKUP('3A'!$R$1,BWW_FIN_All,'PC lists'!$B63,0)="","",HLOOKUP('3A'!$R$1,BWW_FIN_All,'PC lists'!$B63,0)))</f>
        <v/>
      </c>
      <c r="D19" s="1953" t="str">
        <f t="shared" si="4"/>
        <v/>
      </c>
      <c r="E19" s="1953" t="str">
        <f t="shared" si="5"/>
        <v/>
      </c>
      <c r="F19" s="1822"/>
      <c r="G19" s="1822"/>
      <c r="H19" s="1828"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30"/>
      <c r="J19" s="1356"/>
      <c r="K19" s="292" t="s">
        <v>354</v>
      </c>
      <c r="L19" s="1356"/>
      <c r="M19" s="326">
        <f t="shared" si="6"/>
        <v>0</v>
      </c>
      <c r="N19" s="326">
        <f t="shared" si="12"/>
        <v>0</v>
      </c>
      <c r="O19" s="1356"/>
      <c r="P19" s="1356"/>
      <c r="Q19" s="1356"/>
      <c r="R19" s="1356"/>
      <c r="S19" s="1356"/>
      <c r="T19" s="1356"/>
      <c r="U19" s="320"/>
      <c r="V19" s="325"/>
      <c r="W19" s="325">
        <f t="shared" si="7"/>
        <v>0</v>
      </c>
      <c r="X19" s="325">
        <f t="shared" si="8"/>
        <v>0</v>
      </c>
      <c r="Y19" s="325"/>
      <c r="Z19" s="325">
        <f t="shared" si="9"/>
        <v>0</v>
      </c>
      <c r="AA19" s="320"/>
      <c r="AB19" s="16"/>
      <c r="AC19" s="16"/>
      <c r="AD19" s="329">
        <f t="shared" si="10"/>
        <v>0</v>
      </c>
      <c r="AE19" s="329">
        <f t="shared" si="13"/>
        <v>0</v>
      </c>
      <c r="AF19" s="320"/>
      <c r="AG19" s="1356"/>
      <c r="AH19" s="288" t="str">
        <f t="shared" si="11"/>
        <v/>
      </c>
      <c r="AI19" s="288" t="str">
        <f t="shared" si="11"/>
        <v/>
      </c>
      <c r="AJ19" s="288" t="str">
        <f t="shared" si="11"/>
        <v/>
      </c>
      <c r="AK19" s="288" t="str">
        <f t="shared" si="11"/>
        <v/>
      </c>
      <c r="AL19" s="1457" t="s">
        <v>355</v>
      </c>
      <c r="AM19" s="1457" t="s">
        <v>356</v>
      </c>
      <c r="AN19" s="1457" t="s">
        <v>357</v>
      </c>
      <c r="AO19" s="1458" t="s">
        <v>358</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22"/>
      <c r="G20" s="1822"/>
      <c r="H20" s="1828"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30"/>
      <c r="J20" s="1356"/>
      <c r="K20" s="292" t="s">
        <v>359</v>
      </c>
      <c r="L20" s="1356"/>
      <c r="M20" s="326">
        <f t="shared" si="6"/>
        <v>0</v>
      </c>
      <c r="N20" s="326">
        <f t="shared" si="12"/>
        <v>0</v>
      </c>
      <c r="O20" s="1356"/>
      <c r="P20" s="1356"/>
      <c r="Q20" s="1356"/>
      <c r="R20" s="1356"/>
      <c r="S20" s="1356"/>
      <c r="T20" s="1356"/>
      <c r="U20" s="320"/>
      <c r="V20" s="325"/>
      <c r="W20" s="325">
        <f t="shared" si="7"/>
        <v>0</v>
      </c>
      <c r="X20" s="325">
        <f t="shared" si="8"/>
        <v>0</v>
      </c>
      <c r="Y20" s="325"/>
      <c r="Z20" s="325">
        <f t="shared" si="9"/>
        <v>0</v>
      </c>
      <c r="AA20" s="320"/>
      <c r="AB20" s="16"/>
      <c r="AC20" s="16"/>
      <c r="AD20" s="329">
        <f t="shared" si="10"/>
        <v>0</v>
      </c>
      <c r="AE20" s="329">
        <f t="shared" si="13"/>
        <v>0</v>
      </c>
      <c r="AF20" s="320"/>
      <c r="AG20" s="1356"/>
      <c r="AH20" s="288" t="str">
        <f t="shared" si="11"/>
        <v/>
      </c>
      <c r="AI20" s="288" t="str">
        <f t="shared" si="11"/>
        <v/>
      </c>
      <c r="AJ20" s="288" t="str">
        <f t="shared" si="11"/>
        <v/>
      </c>
      <c r="AK20" s="288" t="str">
        <f t="shared" si="11"/>
        <v/>
      </c>
      <c r="AL20" s="1457" t="s">
        <v>360</v>
      </c>
      <c r="AM20" s="1457" t="s">
        <v>361</v>
      </c>
      <c r="AN20" s="1457" t="s">
        <v>362</v>
      </c>
      <c r="AO20" s="1458" t="s">
        <v>363</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22"/>
      <c r="G21" s="1822"/>
      <c r="H21" s="1828"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30"/>
      <c r="J21" s="1356"/>
      <c r="K21" s="292" t="s">
        <v>364</v>
      </c>
      <c r="L21" s="1356"/>
      <c r="M21" s="326">
        <f t="shared" si="6"/>
        <v>0</v>
      </c>
      <c r="N21" s="326">
        <f t="shared" si="12"/>
        <v>0</v>
      </c>
      <c r="O21" s="1356"/>
      <c r="P21" s="1356"/>
      <c r="Q21" s="1356"/>
      <c r="R21" s="1356"/>
      <c r="S21" s="1356"/>
      <c r="T21" s="1356"/>
      <c r="U21" s="320"/>
      <c r="V21" s="325"/>
      <c r="W21" s="325">
        <f t="shared" si="7"/>
        <v>0</v>
      </c>
      <c r="X21" s="325">
        <f t="shared" si="8"/>
        <v>0</v>
      </c>
      <c r="Y21" s="325"/>
      <c r="Z21" s="325">
        <f t="shared" si="9"/>
        <v>0</v>
      </c>
      <c r="AA21" s="320"/>
      <c r="AB21" s="16"/>
      <c r="AC21" s="16"/>
      <c r="AD21" s="329">
        <f t="shared" si="10"/>
        <v>0</v>
      </c>
      <c r="AE21" s="329">
        <f t="shared" si="13"/>
        <v>0</v>
      </c>
      <c r="AF21" s="320"/>
      <c r="AG21" s="1356"/>
      <c r="AH21" s="288" t="str">
        <f t="shared" si="11"/>
        <v/>
      </c>
      <c r="AI21" s="288" t="str">
        <f t="shared" si="11"/>
        <v/>
      </c>
      <c r="AJ21" s="288" t="str">
        <f t="shared" si="11"/>
        <v/>
      </c>
      <c r="AK21" s="288" t="str">
        <f t="shared" si="11"/>
        <v/>
      </c>
      <c r="AL21" s="1457" t="s">
        <v>365</v>
      </c>
      <c r="AM21" s="1457" t="s">
        <v>366</v>
      </c>
      <c r="AN21" s="1457" t="s">
        <v>367</v>
      </c>
      <c r="AO21" s="1458" t="s">
        <v>368</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369</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370</v>
      </c>
      <c r="AM22" s="1457" t="s">
        <v>371</v>
      </c>
      <c r="AN22" s="1457" t="s">
        <v>372</v>
      </c>
      <c r="AO22" s="1458" t="s">
        <v>373</v>
      </c>
    </row>
    <row r="23" spans="2:41" s="9" customFormat="1" ht="28.35"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374</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375</v>
      </c>
      <c r="AM23" s="1457" t="s">
        <v>376</v>
      </c>
      <c r="AN23" s="1457" t="s">
        <v>377</v>
      </c>
      <c r="AO23" s="1458" t="s">
        <v>378</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379</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380</v>
      </c>
      <c r="AM24" s="1457" t="s">
        <v>381</v>
      </c>
      <c r="AN24" s="1457" t="s">
        <v>382</v>
      </c>
      <c r="AO24" s="1458" t="s">
        <v>383</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384</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385</v>
      </c>
      <c r="AM25" s="1457" t="s">
        <v>386</v>
      </c>
      <c r="AN25" s="1457" t="s">
        <v>387</v>
      </c>
      <c r="AO25" s="1458" t="s">
        <v>388</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389</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390</v>
      </c>
      <c r="AM26" s="1457" t="s">
        <v>391</v>
      </c>
      <c r="AN26" s="1457" t="s">
        <v>392</v>
      </c>
      <c r="AO26" s="1458" t="s">
        <v>393</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394</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395</v>
      </c>
      <c r="AM27" s="1457" t="s">
        <v>396</v>
      </c>
      <c r="AN27" s="1457" t="s">
        <v>397</v>
      </c>
      <c r="AO27" s="1458" t="s">
        <v>398</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399</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400</v>
      </c>
      <c r="AM28" s="1457" t="s">
        <v>401</v>
      </c>
      <c r="AN28" s="1457" t="s">
        <v>402</v>
      </c>
      <c r="AO28" s="1458" t="s">
        <v>403</v>
      </c>
    </row>
    <row r="29" spans="2:41" s="9" customFormat="1" ht="15.6">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404</v>
      </c>
      <c r="C30" s="348"/>
      <c r="D30" s="293" t="s">
        <v>293</v>
      </c>
      <c r="E30" s="293">
        <v>0</v>
      </c>
      <c r="F30" s="362"/>
      <c r="G30" s="1832" t="str">
        <f>IFERROR(IF('Validation summary'!F3="Woc","",(COUNTIF($G$9:$G$28,"Yes")/(COUNTA($G$9:$G$28) - COUNTIF($G$9:$G$28,"-")))*100),"")</f>
        <v/>
      </c>
      <c r="H30" s="346"/>
      <c r="I30" s="347"/>
      <c r="J30" s="16"/>
      <c r="K30" s="292" t="s">
        <v>405</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404</v>
      </c>
      <c r="AI30" s="348"/>
      <c r="AJ30" s="293" t="s">
        <v>293</v>
      </c>
      <c r="AK30" s="293">
        <v>0</v>
      </c>
      <c r="AL30" s="1356"/>
      <c r="AM30" s="1459" t="s">
        <v>406</v>
      </c>
      <c r="AN30" s="346"/>
      <c r="AO30" s="347"/>
    </row>
    <row r="31" spans="2:41" s="9" customFormat="1" ht="14.4">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6">
      <c r="B32" s="276" t="s">
        <v>299</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6">
      <c r="U33" s="322"/>
      <c r="V33" s="334"/>
      <c r="W33" s="334"/>
      <c r="X33" s="334"/>
      <c r="Y33" s="334"/>
      <c r="Z33" s="334"/>
      <c r="AA33" s="322"/>
      <c r="AB33" s="322"/>
      <c r="AC33" s="322"/>
      <c r="AD33" s="335"/>
      <c r="AE33" s="322"/>
      <c r="AF33" s="322"/>
    </row>
    <row r="34" spans="2:32" ht="15.6">
      <c r="B34" s="1818" t="s">
        <v>300</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68" t="s">
        <v>301</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19" t="s">
        <v>302</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20" t="s">
        <v>303</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41" priority="52">
      <formula>INDIRECT("E" &amp; ROW()) = 5</formula>
    </cfRule>
    <cfRule type="expression" dxfId="340" priority="53">
      <formula>INDIRECT("E" &amp; ROW()) = 4</formula>
    </cfRule>
    <cfRule type="expression" dxfId="339" priority="54">
      <formula>INDIRECT("E" &amp; ROW()) = 3</formula>
    </cfRule>
    <cfRule type="expression" dxfId="338" priority="55">
      <formula>INDIRECT("E" &amp; ROW()) = 2</formula>
    </cfRule>
    <cfRule type="expression" dxfId="337" priority="56">
      <formula>INDIRECT("E" &amp; ROW()) = 1</formula>
    </cfRule>
    <cfRule type="expression" dxfId="336" priority="57">
      <formula>INDIRECT("E" &amp; ROW()) = 0</formula>
    </cfRule>
  </conditionalFormatting>
  <conditionalFormatting sqref="M9:M12">
    <cfRule type="cellIs" dxfId="335" priority="33" operator="equal">
      <formula>0</formula>
    </cfRule>
  </conditionalFormatting>
  <conditionalFormatting sqref="M15:N28">
    <cfRule type="cellIs" dxfId="334" priority="32" operator="equal">
      <formula>0</formula>
    </cfRule>
  </conditionalFormatting>
  <conditionalFormatting sqref="M30">
    <cfRule type="cellIs" dxfId="333" priority="24" operator="equal">
      <formula>0</formula>
    </cfRule>
  </conditionalFormatting>
  <conditionalFormatting sqref="M30:N30">
    <cfRule type="cellIs" dxfId="332" priority="23" operator="equal">
      <formula>0</formula>
    </cfRule>
  </conditionalFormatting>
  <conditionalFormatting sqref="E9:E12 E15:E28 E30">
    <cfRule type="cellIs" dxfId="331" priority="21" operator="equal">
      <formula>0</formula>
    </cfRule>
  </conditionalFormatting>
  <conditionalFormatting sqref="N9">
    <cfRule type="cellIs" dxfId="330" priority="20" operator="equal">
      <formula>0</formula>
    </cfRule>
  </conditionalFormatting>
  <conditionalFormatting sqref="N10">
    <cfRule type="cellIs" dxfId="329" priority="10" operator="equal">
      <formula>0</formula>
    </cfRule>
  </conditionalFormatting>
  <conditionalFormatting sqref="N11">
    <cfRule type="cellIs" dxfId="328" priority="9" operator="equal">
      <formula>0</formula>
    </cfRule>
  </conditionalFormatting>
  <conditionalFormatting sqref="N12">
    <cfRule type="cellIs" dxfId="327" priority="8" operator="equal">
      <formula>0</formula>
    </cfRule>
  </conditionalFormatting>
  <conditionalFormatting sqref="AK30">
    <cfRule type="cellIs" dxfId="326" priority="1" operator="equal">
      <formula>0</formula>
    </cfRule>
  </conditionalFormatting>
  <conditionalFormatting sqref="AL15:AL28">
    <cfRule type="expression" dxfId="325" priority="2">
      <formula>INDIRECT("E" &amp; ROW()) = 5</formula>
    </cfRule>
    <cfRule type="expression" dxfId="324" priority="3">
      <formula>INDIRECT("E" &amp; ROW()) = 4</formula>
    </cfRule>
    <cfRule type="expression" dxfId="323" priority="4">
      <formula>INDIRECT("E" &amp; ROW()) = 3</formula>
    </cfRule>
    <cfRule type="expression" dxfId="322" priority="5">
      <formula>INDIRECT("E" &amp; ROW()) = 2</formula>
    </cfRule>
    <cfRule type="expression" dxfId="321" priority="6">
      <formula>INDIRECT("E" &amp; ROW()) = 1</formula>
    </cfRule>
    <cfRule type="expression" dxfId="3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35</v>
      </c>
      <c r="C1" s="2067" t="s">
        <v>116</v>
      </c>
      <c r="D1" s="6"/>
      <c r="E1" s="6"/>
      <c r="J1" s="1970" t="str">
        <f>'Validation summary'!$B$2</f>
        <v>2024-25</v>
      </c>
      <c r="O1" s="319"/>
      <c r="P1" s="1"/>
      <c r="Q1" s="1"/>
      <c r="R1" s="1"/>
      <c r="S1" s="1"/>
      <c r="T1" s="1"/>
      <c r="U1" s="319"/>
      <c r="V1" s="1"/>
      <c r="W1" s="1"/>
      <c r="X1" s="1"/>
      <c r="Y1" s="1"/>
      <c r="Z1" s="1"/>
      <c r="AA1" s="319"/>
    </row>
    <row r="2" spans="2:31" ht="10.199999999999999"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South Staffs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407</v>
      </c>
      <c r="C5" s="2135" t="s">
        <v>131</v>
      </c>
      <c r="D5" s="2135" t="s">
        <v>408</v>
      </c>
      <c r="E5" s="281"/>
      <c r="F5" s="2135" t="s">
        <v>137</v>
      </c>
      <c r="I5" s="331" t="s">
        <v>138</v>
      </c>
      <c r="J5" s="331" t="s">
        <v>139</v>
      </c>
      <c r="O5" s="1357"/>
      <c r="P5" s="324"/>
      <c r="Q5" s="324"/>
      <c r="R5" s="324"/>
      <c r="S5" s="324"/>
      <c r="T5" s="324"/>
      <c r="U5" s="328"/>
      <c r="V5" s="324"/>
      <c r="W5" s="324"/>
      <c r="X5" s="324"/>
      <c r="Y5" s="324"/>
      <c r="Z5" s="324"/>
      <c r="AA5" s="1357"/>
      <c r="AC5" s="2135" t="s">
        <v>407</v>
      </c>
      <c r="AD5" s="2135" t="s">
        <v>131</v>
      </c>
      <c r="AE5" s="2135" t="s">
        <v>408</v>
      </c>
    </row>
    <row r="6" spans="2:31" s="18" customFormat="1" ht="28.5" customHeight="1">
      <c r="B6" s="288" t="s">
        <v>409</v>
      </c>
      <c r="C6" s="293" t="s">
        <v>410</v>
      </c>
      <c r="D6" s="2071"/>
      <c r="E6" s="1356"/>
      <c r="F6" s="292" t="s">
        <v>411</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412</v>
      </c>
      <c r="C7" s="293" t="s">
        <v>410</v>
      </c>
      <c r="D7" s="2071"/>
      <c r="E7" s="1356"/>
      <c r="F7" s="292" t="s">
        <v>413</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414</v>
      </c>
      <c r="C8" s="293" t="s">
        <v>410</v>
      </c>
      <c r="D8" s="2071"/>
      <c r="E8" s="1356"/>
      <c r="F8" s="292" t="s">
        <v>415</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416</v>
      </c>
      <c r="C9" s="293" t="s">
        <v>410</v>
      </c>
      <c r="D9" s="2071"/>
      <c r="E9" s="1356"/>
      <c r="F9" s="292" t="s">
        <v>417</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418</v>
      </c>
      <c r="C10" s="293" t="s">
        <v>410</v>
      </c>
      <c r="D10" s="2072"/>
      <c r="E10" s="1356"/>
      <c r="F10" s="292" t="s">
        <v>419</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420</v>
      </c>
      <c r="C11" s="293" t="s">
        <v>410</v>
      </c>
      <c r="D11" s="2073"/>
      <c r="E11" s="1356"/>
      <c r="F11" s="292" t="s">
        <v>421</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422</v>
      </c>
      <c r="C12" s="293" t="s">
        <v>410</v>
      </c>
      <c r="D12" s="2074"/>
      <c r="E12" s="1356"/>
      <c r="F12" s="292" t="s">
        <v>423</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424</v>
      </c>
      <c r="C13" s="302" t="s">
        <v>425</v>
      </c>
      <c r="D13" s="2074"/>
      <c r="E13" s="1356"/>
      <c r="F13" s="292" t="s">
        <v>426</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299</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300</v>
      </c>
      <c r="C17" s="8"/>
      <c r="D17" s="8"/>
      <c r="E17" s="8"/>
      <c r="F17" s="8"/>
      <c r="G17" s="8"/>
      <c r="H17" s="8"/>
      <c r="I17" s="8"/>
      <c r="J17" s="8"/>
      <c r="K17" s="8"/>
      <c r="L17" s="8"/>
    </row>
    <row r="18" spans="2:12">
      <c r="B18" s="371"/>
      <c r="C18" s="8"/>
      <c r="D18" s="8"/>
      <c r="E18" s="8"/>
      <c r="F18" s="8"/>
      <c r="G18" s="8"/>
      <c r="H18" s="8"/>
      <c r="I18" s="8"/>
      <c r="J18" s="8"/>
      <c r="K18" s="8"/>
      <c r="L18" s="8"/>
    </row>
    <row r="19" spans="2:12">
      <c r="B19" s="1968" t="s">
        <v>301</v>
      </c>
      <c r="C19" s="8"/>
      <c r="D19" s="8"/>
      <c r="E19" s="8"/>
      <c r="F19" s="8"/>
      <c r="G19" s="8"/>
      <c r="H19" s="8"/>
      <c r="I19" s="8"/>
      <c r="J19" s="8"/>
      <c r="K19" s="8"/>
      <c r="L19" s="8"/>
    </row>
    <row r="20" spans="2:12">
      <c r="B20" s="8"/>
      <c r="C20" s="8"/>
      <c r="D20" s="8"/>
      <c r="E20" s="8"/>
      <c r="F20" s="8"/>
      <c r="G20" s="8"/>
      <c r="H20" s="8"/>
      <c r="I20" s="8"/>
      <c r="J20" s="8"/>
      <c r="K20" s="8"/>
      <c r="L20" s="8"/>
    </row>
    <row r="21" spans="2:12">
      <c r="B21" s="1819" t="s">
        <v>302</v>
      </c>
      <c r="C21" s="8"/>
      <c r="D21" s="8"/>
      <c r="E21" s="8"/>
      <c r="F21" s="8"/>
      <c r="G21" s="8"/>
      <c r="H21" s="8"/>
      <c r="I21" s="8"/>
      <c r="J21" s="8"/>
      <c r="K21" s="8"/>
      <c r="L21" s="8"/>
    </row>
    <row r="22" spans="2:12">
      <c r="B22" s="8"/>
      <c r="C22" s="8"/>
      <c r="D22" s="8"/>
      <c r="E22" s="8"/>
      <c r="F22" s="8"/>
      <c r="G22" s="8"/>
      <c r="H22" s="8"/>
      <c r="I22" s="8"/>
      <c r="J22" s="8"/>
      <c r="K22" s="8"/>
      <c r="L22" s="8"/>
    </row>
    <row r="23" spans="2:12">
      <c r="B23" s="1820"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0000000-0002-0000-0600-000000000000}"/>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37</v>
      </c>
      <c r="C1" s="2067" t="s">
        <v>116</v>
      </c>
      <c r="D1" s="6"/>
      <c r="E1" s="6"/>
      <c r="F1" s="6"/>
      <c r="J1" s="1970" t="str">
        <f>'Validation summary'!$B$2</f>
        <v>2024-25</v>
      </c>
      <c r="N1" s="319"/>
      <c r="O1" s="1"/>
      <c r="P1" s="1"/>
      <c r="Q1" s="1"/>
      <c r="R1" s="1"/>
      <c r="S1" s="1"/>
      <c r="T1" s="319"/>
      <c r="U1" s="1"/>
      <c r="V1" s="1"/>
      <c r="W1" s="1"/>
      <c r="X1" s="1"/>
      <c r="Y1" s="1"/>
      <c r="Z1" s="319"/>
    </row>
    <row r="2" spans="2:30" ht="10.199999999999999"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South Staffs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407</v>
      </c>
      <c r="C5" s="2135" t="s">
        <v>131</v>
      </c>
      <c r="D5" s="2135" t="s">
        <v>408</v>
      </c>
      <c r="E5" s="281"/>
      <c r="F5" s="281"/>
      <c r="G5" s="2135" t="s">
        <v>137</v>
      </c>
      <c r="I5" s="331" t="s">
        <v>138</v>
      </c>
      <c r="J5" s="331" t="s">
        <v>139</v>
      </c>
      <c r="N5" s="1357"/>
      <c r="O5" s="324"/>
      <c r="P5" s="324"/>
      <c r="Q5" s="324"/>
      <c r="R5" s="324"/>
      <c r="S5" s="324"/>
      <c r="T5" s="328"/>
      <c r="U5" s="324"/>
      <c r="V5" s="324"/>
      <c r="W5" s="324"/>
      <c r="X5" s="324"/>
      <c r="Y5" s="324"/>
      <c r="Z5" s="1357"/>
      <c r="AB5" s="2135" t="s">
        <v>407</v>
      </c>
      <c r="AC5" s="2135" t="s">
        <v>131</v>
      </c>
      <c r="AD5" s="2137" t="s">
        <v>408</v>
      </c>
    </row>
    <row r="6" spans="2:30" s="18" customFormat="1" ht="21" customHeight="1">
      <c r="B6" s="288" t="s">
        <v>427</v>
      </c>
      <c r="C6" s="293" t="s">
        <v>410</v>
      </c>
      <c r="D6" s="2071"/>
      <c r="F6" s="1356"/>
      <c r="G6" s="292" t="s">
        <v>428</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429</v>
      </c>
      <c r="C7" s="293" t="s">
        <v>410</v>
      </c>
      <c r="D7" s="2071"/>
      <c r="F7" s="1356"/>
      <c r="G7" s="292" t="s">
        <v>430</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431</v>
      </c>
      <c r="C8" s="293" t="s">
        <v>410</v>
      </c>
      <c r="D8" s="2076"/>
      <c r="F8" s="1356"/>
      <c r="G8" s="292" t="s">
        <v>432</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433</v>
      </c>
      <c r="C9" s="372" t="s">
        <v>141</v>
      </c>
      <c r="D9" s="2074"/>
      <c r="F9" s="1356"/>
      <c r="G9" s="292" t="s">
        <v>434</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435</v>
      </c>
      <c r="C10" s="372" t="s">
        <v>141</v>
      </c>
      <c r="D10" s="2074"/>
      <c r="F10" s="1356"/>
      <c r="G10" s="292" t="s">
        <v>436</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ht="15.6">
      <c r="B12" s="310" t="s">
        <v>437</v>
      </c>
      <c r="N12" s="1357"/>
      <c r="O12" s="324"/>
      <c r="P12" s="324"/>
      <c r="Q12" s="324"/>
      <c r="R12" s="324"/>
      <c r="S12" s="324"/>
      <c r="T12" s="328"/>
      <c r="U12" s="324"/>
      <c r="V12" s="324"/>
      <c r="W12" s="324"/>
      <c r="X12" s="324"/>
      <c r="Y12" s="324"/>
      <c r="Z12" s="1357"/>
    </row>
    <row r="13" spans="2:30" s="18" customFormat="1" ht="41.4">
      <c r="B13" s="2135" t="s">
        <v>438</v>
      </c>
      <c r="C13" s="2135" t="s">
        <v>131</v>
      </c>
      <c r="D13" s="2135" t="s">
        <v>439</v>
      </c>
      <c r="E13" s="2135" t="s">
        <v>440</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293</v>
      </c>
      <c r="D14" s="2078"/>
      <c r="G14" s="292" t="s">
        <v>441</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293</v>
      </c>
      <c r="D15" s="2078"/>
      <c r="G15" s="292" t="s">
        <v>442</v>
      </c>
      <c r="I15" s="2059"/>
      <c r="J15" s="2059"/>
      <c r="N15" s="1357"/>
      <c r="O15" s="325"/>
      <c r="P15" s="325"/>
      <c r="Q15" s="325"/>
      <c r="R15" s="325"/>
      <c r="S15" s="325"/>
      <c r="T15" s="1357"/>
      <c r="V15" s="329"/>
      <c r="W15" s="335"/>
      <c r="X15" s="329"/>
      <c r="Y15" s="1356"/>
      <c r="Z15" s="1357"/>
    </row>
    <row r="16" spans="2:30" s="18" customFormat="1" ht="21" customHeight="1">
      <c r="B16" s="2077"/>
      <c r="C16" s="302" t="s">
        <v>293</v>
      </c>
      <c r="D16" s="2078"/>
      <c r="G16" s="292" t="s">
        <v>443</v>
      </c>
      <c r="I16" s="2059"/>
      <c r="J16" s="2059"/>
      <c r="N16" s="1357"/>
      <c r="O16" s="325"/>
      <c r="P16" s="325"/>
      <c r="Q16" s="325"/>
      <c r="R16" s="325"/>
      <c r="S16" s="325"/>
      <c r="T16" s="1357"/>
      <c r="V16" s="329"/>
      <c r="W16" s="335"/>
      <c r="X16" s="329"/>
      <c r="Y16" s="1356"/>
      <c r="Z16" s="1357"/>
    </row>
    <row r="17" spans="2:26" s="18" customFormat="1" ht="21" customHeight="1">
      <c r="B17" s="2077"/>
      <c r="C17" s="302" t="s">
        <v>293</v>
      </c>
      <c r="D17" s="2078"/>
      <c r="G17" s="292" t="s">
        <v>444</v>
      </c>
      <c r="I17" s="2059"/>
      <c r="J17" s="2059"/>
      <c r="N17" s="1357"/>
      <c r="O17" s="325"/>
      <c r="P17" s="325"/>
      <c r="Q17" s="325"/>
      <c r="R17" s="325"/>
      <c r="S17" s="325"/>
      <c r="T17" s="1357"/>
      <c r="V17" s="329"/>
      <c r="W17" s="335"/>
      <c r="X17" s="329"/>
      <c r="Y17" s="1356"/>
      <c r="Z17" s="1357"/>
    </row>
    <row r="18" spans="2:26" s="18" customFormat="1" ht="21" customHeight="1">
      <c r="B18" s="2077"/>
      <c r="C18" s="302" t="s">
        <v>293</v>
      </c>
      <c r="D18" s="2078"/>
      <c r="G18" s="292" t="s">
        <v>445</v>
      </c>
      <c r="I18" s="2059"/>
      <c r="J18" s="2059"/>
      <c r="N18" s="1357"/>
      <c r="O18" s="325"/>
      <c r="P18" s="325"/>
      <c r="Q18" s="325"/>
      <c r="R18" s="325"/>
      <c r="S18" s="325"/>
      <c r="T18" s="1357"/>
      <c r="V18" s="329"/>
      <c r="W18" s="335"/>
      <c r="X18" s="329"/>
      <c r="Y18" s="1356"/>
      <c r="Z18" s="1357"/>
    </row>
    <row r="19" spans="2:26" s="18" customFormat="1" ht="21" customHeight="1">
      <c r="B19" s="2077"/>
      <c r="C19" s="302" t="s">
        <v>293</v>
      </c>
      <c r="D19" s="2078"/>
      <c r="G19" s="292" t="s">
        <v>446</v>
      </c>
      <c r="I19" s="2059"/>
      <c r="J19" s="2059"/>
      <c r="N19" s="1357"/>
      <c r="O19" s="325"/>
      <c r="P19" s="325"/>
      <c r="Q19" s="325"/>
      <c r="R19" s="325"/>
      <c r="S19" s="325"/>
      <c r="T19" s="1357"/>
      <c r="V19" s="329"/>
      <c r="W19" s="335"/>
      <c r="X19" s="329"/>
      <c r="Y19" s="1356"/>
      <c r="Z19" s="1357"/>
    </row>
    <row r="20" spans="2:26" s="18" customFormat="1" ht="21" customHeight="1">
      <c r="B20" s="2077"/>
      <c r="C20" s="302" t="s">
        <v>293</v>
      </c>
      <c r="D20" s="2078"/>
      <c r="G20" s="292" t="s">
        <v>447</v>
      </c>
      <c r="I20" s="2059"/>
      <c r="J20" s="2059"/>
      <c r="N20" s="1357"/>
      <c r="O20" s="325"/>
      <c r="P20" s="325"/>
      <c r="Q20" s="325"/>
      <c r="R20" s="325"/>
      <c r="S20" s="325"/>
      <c r="T20" s="1357"/>
      <c r="V20" s="329"/>
      <c r="W20" s="335"/>
      <c r="X20" s="329"/>
      <c r="Y20" s="1356"/>
      <c r="Z20" s="1357"/>
    </row>
    <row r="21" spans="2:26" s="18" customFormat="1" ht="21" customHeight="1">
      <c r="B21" s="2077"/>
      <c r="C21" s="302" t="s">
        <v>293</v>
      </c>
      <c r="D21" s="2078"/>
      <c r="G21" s="292" t="s">
        <v>448</v>
      </c>
      <c r="I21" s="2059"/>
      <c r="J21" s="2059"/>
      <c r="N21" s="1357"/>
      <c r="O21" s="325"/>
      <c r="P21" s="325"/>
      <c r="Q21" s="325"/>
      <c r="R21" s="325"/>
      <c r="S21" s="325"/>
      <c r="T21" s="1357"/>
      <c r="V21" s="329"/>
      <c r="W21" s="335"/>
      <c r="X21" s="329"/>
      <c r="Y21" s="1356"/>
      <c r="Z21" s="1357"/>
    </row>
    <row r="22" spans="2:26" s="18" customFormat="1" ht="21" customHeight="1">
      <c r="B22" s="2077"/>
      <c r="C22" s="302" t="s">
        <v>293</v>
      </c>
      <c r="D22" s="2078"/>
      <c r="G22" s="292" t="s">
        <v>449</v>
      </c>
      <c r="I22" s="2059"/>
      <c r="J22" s="2059"/>
      <c r="N22" s="1357"/>
      <c r="O22" s="325"/>
      <c r="P22" s="325"/>
      <c r="Q22" s="325"/>
      <c r="R22" s="325"/>
      <c r="S22" s="325"/>
      <c r="T22" s="1357"/>
      <c r="V22" s="329"/>
      <c r="W22" s="335"/>
      <c r="X22" s="329"/>
      <c r="Y22" s="1356"/>
      <c r="Z22" s="1357"/>
    </row>
    <row r="23" spans="2:26" s="18" customFormat="1" ht="21" customHeight="1">
      <c r="B23" s="2077"/>
      <c r="C23" s="302" t="s">
        <v>293</v>
      </c>
      <c r="D23" s="2078"/>
      <c r="G23" s="292" t="s">
        <v>450</v>
      </c>
      <c r="I23" s="2059"/>
      <c r="J23" s="2059"/>
      <c r="N23" s="1357"/>
      <c r="O23" s="325"/>
      <c r="P23" s="325"/>
      <c r="Q23" s="325"/>
      <c r="R23" s="325"/>
      <c r="S23" s="325"/>
      <c r="T23" s="1357"/>
      <c r="V23" s="329"/>
      <c r="W23" s="335"/>
      <c r="X23" s="329"/>
      <c r="Y23" s="1356"/>
      <c r="Z23" s="1357"/>
    </row>
    <row r="24" spans="2:26" s="18" customFormat="1" ht="21" customHeight="1">
      <c r="B24" s="2077"/>
      <c r="C24" s="302" t="s">
        <v>293</v>
      </c>
      <c r="D24" s="2078"/>
      <c r="G24" s="292" t="s">
        <v>451</v>
      </c>
      <c r="I24" s="2059"/>
      <c r="J24" s="2059"/>
      <c r="N24" s="1357"/>
      <c r="O24" s="325"/>
      <c r="P24" s="325"/>
      <c r="Q24" s="325"/>
      <c r="R24" s="325"/>
      <c r="S24" s="325"/>
      <c r="T24" s="1357"/>
      <c r="V24" s="329"/>
      <c r="W24" s="335"/>
      <c r="X24" s="329"/>
      <c r="Y24" s="1356"/>
      <c r="Z24" s="1357"/>
    </row>
    <row r="25" spans="2:26" s="18" customFormat="1" ht="21" customHeight="1">
      <c r="B25" s="2077"/>
      <c r="C25" s="302" t="s">
        <v>293</v>
      </c>
      <c r="D25" s="2078"/>
      <c r="G25" s="292" t="s">
        <v>452</v>
      </c>
      <c r="I25" s="2059"/>
      <c r="J25" s="2059"/>
      <c r="N25" s="1357"/>
      <c r="O25" s="325"/>
      <c r="P25" s="325"/>
      <c r="Q25" s="325"/>
      <c r="R25" s="325"/>
      <c r="S25" s="325"/>
      <c r="T25" s="1357"/>
      <c r="V25" s="329"/>
      <c r="W25" s="335"/>
      <c r="X25" s="329"/>
      <c r="Y25" s="1356"/>
      <c r="Z25" s="1357"/>
    </row>
    <row r="26" spans="2:26" s="18" customFormat="1" ht="21" customHeight="1">
      <c r="B26" s="2077"/>
      <c r="C26" s="302" t="s">
        <v>293</v>
      </c>
      <c r="D26" s="2078"/>
      <c r="G26" s="292" t="s">
        <v>453</v>
      </c>
      <c r="I26" s="2059"/>
      <c r="J26" s="2059"/>
      <c r="N26" s="1357"/>
      <c r="O26" s="325"/>
      <c r="P26" s="325"/>
      <c r="Q26" s="325"/>
      <c r="R26" s="325"/>
      <c r="S26" s="325"/>
      <c r="T26" s="1357"/>
      <c r="V26" s="329"/>
      <c r="W26" s="335"/>
      <c r="X26" s="329"/>
      <c r="Y26" s="1356"/>
      <c r="Z26" s="1357"/>
    </row>
    <row r="27" spans="2:26" s="18" customFormat="1" ht="21" customHeight="1">
      <c r="B27" s="2077"/>
      <c r="C27" s="302" t="s">
        <v>293</v>
      </c>
      <c r="D27" s="2078"/>
      <c r="G27" s="292" t="s">
        <v>454</v>
      </c>
      <c r="I27" s="2059"/>
      <c r="J27" s="2059"/>
      <c r="N27" s="1357"/>
      <c r="O27" s="325"/>
      <c r="P27" s="325"/>
      <c r="Q27" s="325"/>
      <c r="R27" s="325"/>
      <c r="S27" s="325"/>
      <c r="T27" s="1357"/>
      <c r="V27" s="329"/>
      <c r="W27" s="335"/>
      <c r="X27" s="329"/>
      <c r="Y27" s="1356"/>
      <c r="Z27" s="1357"/>
    </row>
    <row r="28" spans="2:26" s="18" customFormat="1" ht="21" customHeight="1">
      <c r="B28" s="2077"/>
      <c r="C28" s="302" t="s">
        <v>293</v>
      </c>
      <c r="D28" s="2078"/>
      <c r="G28" s="292" t="s">
        <v>455</v>
      </c>
      <c r="I28" s="2059"/>
      <c r="J28" s="2059"/>
      <c r="N28" s="1357"/>
      <c r="O28" s="325"/>
      <c r="P28" s="325"/>
      <c r="Q28" s="325"/>
      <c r="R28" s="325"/>
      <c r="S28" s="325"/>
      <c r="T28" s="1357"/>
      <c r="V28" s="329"/>
      <c r="W28" s="335"/>
      <c r="X28" s="329"/>
      <c r="Y28" s="1356"/>
      <c r="Z28" s="1357"/>
    </row>
    <row r="29" spans="2:26" s="18" customFormat="1" ht="21" customHeight="1">
      <c r="B29" s="2077"/>
      <c r="C29" s="302" t="s">
        <v>293</v>
      </c>
      <c r="D29" s="2078"/>
      <c r="G29" s="292" t="s">
        <v>456</v>
      </c>
      <c r="I29" s="2059"/>
      <c r="J29" s="2059"/>
      <c r="N29" s="1357"/>
      <c r="O29" s="325"/>
      <c r="P29" s="325"/>
      <c r="Q29" s="325"/>
      <c r="R29" s="325"/>
      <c r="S29" s="325"/>
      <c r="T29" s="1357"/>
      <c r="V29" s="329"/>
      <c r="W29" s="335"/>
      <c r="X29" s="329"/>
      <c r="Y29" s="1356"/>
      <c r="Z29" s="1357"/>
    </row>
    <row r="30" spans="2:26" s="18" customFormat="1" ht="21" customHeight="1">
      <c r="B30" s="2077"/>
      <c r="C30" s="302" t="s">
        <v>293</v>
      </c>
      <c r="D30" s="2078"/>
      <c r="G30" s="292" t="s">
        <v>457</v>
      </c>
      <c r="I30" s="2059"/>
      <c r="J30" s="2059"/>
      <c r="N30" s="1357"/>
      <c r="O30" s="325"/>
      <c r="P30" s="325"/>
      <c r="Q30" s="325"/>
      <c r="R30" s="325"/>
      <c r="S30" s="325"/>
      <c r="T30" s="1357"/>
      <c r="V30" s="329"/>
      <c r="W30" s="335"/>
      <c r="X30" s="329"/>
      <c r="Y30" s="1356"/>
      <c r="Z30" s="1357"/>
    </row>
    <row r="31" spans="2:26" s="18" customFormat="1" ht="21" customHeight="1">
      <c r="B31" s="2077"/>
      <c r="C31" s="302" t="s">
        <v>293</v>
      </c>
      <c r="D31" s="2078"/>
      <c r="G31" s="292" t="s">
        <v>458</v>
      </c>
      <c r="I31" s="2059"/>
      <c r="J31" s="2059"/>
      <c r="N31" s="1357"/>
      <c r="O31" s="325"/>
      <c r="P31" s="325"/>
      <c r="Q31" s="325"/>
      <c r="R31" s="325"/>
      <c r="S31" s="325"/>
      <c r="T31" s="1357"/>
      <c r="V31" s="329"/>
      <c r="W31" s="335"/>
      <c r="X31" s="329"/>
      <c r="Y31" s="1356"/>
      <c r="Z31" s="1357"/>
    </row>
    <row r="32" spans="2:26" s="18" customFormat="1" ht="21" customHeight="1">
      <c r="B32" s="2077"/>
      <c r="C32" s="302" t="s">
        <v>293</v>
      </c>
      <c r="D32" s="2078"/>
      <c r="G32" s="292" t="s">
        <v>459</v>
      </c>
      <c r="I32" s="2059"/>
      <c r="J32" s="2059"/>
      <c r="N32" s="1357"/>
      <c r="O32" s="325"/>
      <c r="P32" s="325"/>
      <c r="Q32" s="325"/>
      <c r="R32" s="325"/>
      <c r="S32" s="325"/>
      <c r="T32" s="1357"/>
      <c r="V32" s="329"/>
      <c r="W32" s="335"/>
      <c r="X32" s="329"/>
      <c r="Y32" s="1356"/>
      <c r="Z32" s="1357"/>
    </row>
    <row r="33" spans="2:26" s="18" customFormat="1" ht="21" customHeight="1">
      <c r="B33" s="2077"/>
      <c r="C33" s="302" t="s">
        <v>293</v>
      </c>
      <c r="D33" s="2078"/>
      <c r="G33" s="292" t="s">
        <v>460</v>
      </c>
      <c r="I33" s="2059"/>
      <c r="J33" s="2059"/>
      <c r="N33" s="1357"/>
      <c r="O33" s="325"/>
      <c r="P33" s="325"/>
      <c r="Q33" s="325"/>
      <c r="R33" s="325"/>
      <c r="S33" s="325"/>
      <c r="T33" s="1357"/>
      <c r="V33" s="329"/>
      <c r="W33" s="335"/>
      <c r="X33" s="329"/>
      <c r="Y33" s="1356"/>
      <c r="Z33" s="1357"/>
    </row>
    <row r="34" spans="2:26" s="18" customFormat="1" ht="21" customHeight="1">
      <c r="B34" s="2077"/>
      <c r="C34" s="302" t="s">
        <v>293</v>
      </c>
      <c r="D34" s="2078"/>
      <c r="G34" s="292" t="s">
        <v>461</v>
      </c>
      <c r="I34" s="2059"/>
      <c r="J34" s="2059"/>
      <c r="N34" s="1357"/>
      <c r="O34" s="325"/>
      <c r="P34" s="325"/>
      <c r="Q34" s="325"/>
      <c r="R34" s="325"/>
      <c r="S34" s="325"/>
      <c r="T34" s="1357"/>
      <c r="V34" s="329"/>
      <c r="W34" s="335"/>
      <c r="X34" s="329"/>
      <c r="Y34" s="1356"/>
      <c r="Z34" s="1357"/>
    </row>
    <row r="35" spans="2:26" s="18" customFormat="1" ht="21" customHeight="1">
      <c r="B35" s="2077"/>
      <c r="C35" s="302" t="s">
        <v>293</v>
      </c>
      <c r="D35" s="2078"/>
      <c r="G35" s="292" t="s">
        <v>462</v>
      </c>
      <c r="I35" s="2059"/>
      <c r="J35" s="2059"/>
      <c r="N35" s="1357"/>
      <c r="O35" s="325"/>
      <c r="P35" s="325"/>
      <c r="Q35" s="325"/>
      <c r="R35" s="325"/>
      <c r="S35" s="325"/>
      <c r="T35" s="1357"/>
      <c r="V35" s="329"/>
      <c r="W35" s="335"/>
      <c r="X35" s="329"/>
      <c r="Y35" s="1356"/>
      <c r="Z35" s="1357"/>
    </row>
    <row r="36" spans="2:26" s="18" customFormat="1" ht="21" customHeight="1">
      <c r="B36" s="2077"/>
      <c r="C36" s="302" t="s">
        <v>293</v>
      </c>
      <c r="D36" s="2078"/>
      <c r="G36" s="292" t="s">
        <v>463</v>
      </c>
      <c r="I36" s="2059"/>
      <c r="J36" s="2059"/>
      <c r="N36" s="1357"/>
      <c r="O36" s="325"/>
      <c r="P36" s="325"/>
      <c r="Q36" s="325"/>
      <c r="R36" s="325"/>
      <c r="S36" s="325"/>
      <c r="T36" s="1357"/>
      <c r="V36" s="329"/>
      <c r="W36" s="335"/>
      <c r="X36" s="329"/>
      <c r="Y36" s="1356"/>
      <c r="Z36" s="1357"/>
    </row>
    <row r="37" spans="2:26" s="18" customFormat="1" ht="21" customHeight="1">
      <c r="B37" s="2077"/>
      <c r="C37" s="302" t="s">
        <v>293</v>
      </c>
      <c r="D37" s="2078"/>
      <c r="G37" s="292" t="s">
        <v>464</v>
      </c>
      <c r="I37" s="2059"/>
      <c r="J37" s="2059"/>
      <c r="N37" s="1357"/>
      <c r="O37" s="325"/>
      <c r="P37" s="325"/>
      <c r="Q37" s="325"/>
      <c r="R37" s="325"/>
      <c r="S37" s="325"/>
      <c r="T37" s="1357"/>
      <c r="V37" s="329"/>
      <c r="W37" s="335"/>
      <c r="X37" s="329"/>
      <c r="Y37" s="1356"/>
      <c r="Z37" s="1357"/>
    </row>
    <row r="38" spans="2:26" s="18" customFormat="1" ht="21" customHeight="1">
      <c r="B38" s="2077"/>
      <c r="C38" s="302" t="s">
        <v>293</v>
      </c>
      <c r="D38" s="2078"/>
      <c r="G38" s="292" t="s">
        <v>465</v>
      </c>
      <c r="I38" s="2059"/>
      <c r="J38" s="2059"/>
      <c r="N38" s="1357"/>
      <c r="O38" s="325"/>
      <c r="P38" s="325"/>
      <c r="Q38" s="325"/>
      <c r="R38" s="325"/>
      <c r="S38" s="325"/>
      <c r="T38" s="1357"/>
      <c r="V38" s="329"/>
      <c r="W38" s="335"/>
      <c r="X38" s="329"/>
      <c r="Y38" s="1356"/>
      <c r="Z38" s="1357"/>
    </row>
    <row r="39" spans="2:26" s="18" customFormat="1" ht="21" customHeight="1">
      <c r="B39" s="2077"/>
      <c r="C39" s="302" t="s">
        <v>293</v>
      </c>
      <c r="D39" s="2078"/>
      <c r="G39" s="292" t="s">
        <v>466</v>
      </c>
      <c r="I39" s="2059"/>
      <c r="J39" s="2059"/>
      <c r="N39" s="1357"/>
      <c r="O39" s="325"/>
      <c r="P39" s="325"/>
      <c r="Q39" s="325"/>
      <c r="R39" s="325"/>
      <c r="S39" s="325"/>
      <c r="T39" s="1357"/>
      <c r="V39" s="329"/>
      <c r="W39" s="335"/>
      <c r="X39" s="329"/>
      <c r="Y39" s="1356"/>
      <c r="Z39" s="1357"/>
    </row>
    <row r="40" spans="2:26" s="18" customFormat="1" ht="21" customHeight="1">
      <c r="B40" s="2077"/>
      <c r="C40" s="302" t="s">
        <v>293</v>
      </c>
      <c r="D40" s="2078"/>
      <c r="G40" s="292" t="s">
        <v>467</v>
      </c>
      <c r="I40" s="2059"/>
      <c r="J40" s="2059"/>
      <c r="N40" s="1357"/>
      <c r="O40" s="325"/>
      <c r="P40" s="325"/>
      <c r="Q40" s="325"/>
      <c r="R40" s="325"/>
      <c r="S40" s="325"/>
      <c r="T40" s="1357"/>
      <c r="V40" s="329"/>
      <c r="W40" s="335"/>
      <c r="X40" s="329"/>
      <c r="Y40" s="1356"/>
      <c r="Z40" s="1357"/>
    </row>
    <row r="41" spans="2:26" s="18" customFormat="1" ht="21" customHeight="1">
      <c r="B41" s="2077"/>
      <c r="C41" s="302" t="s">
        <v>293</v>
      </c>
      <c r="D41" s="2078"/>
      <c r="G41" s="292" t="s">
        <v>468</v>
      </c>
      <c r="I41" s="2059"/>
      <c r="J41" s="2059"/>
      <c r="N41" s="1357"/>
      <c r="O41" s="325"/>
      <c r="P41" s="325"/>
      <c r="Q41" s="325"/>
      <c r="R41" s="325"/>
      <c r="S41" s="325"/>
      <c r="T41" s="1357"/>
      <c r="V41" s="329"/>
      <c r="W41" s="335"/>
      <c r="X41" s="329"/>
      <c r="Y41" s="1356"/>
      <c r="Z41" s="1357"/>
    </row>
    <row r="42" spans="2:26" s="18" customFormat="1" ht="21" customHeight="1">
      <c r="B42" s="2077"/>
      <c r="C42" s="302" t="s">
        <v>293</v>
      </c>
      <c r="D42" s="2078"/>
      <c r="G42" s="292" t="s">
        <v>469</v>
      </c>
      <c r="I42" s="2059"/>
      <c r="J42" s="2059"/>
      <c r="N42" s="1357"/>
      <c r="O42" s="325"/>
      <c r="P42" s="325"/>
      <c r="Q42" s="325"/>
      <c r="R42" s="325"/>
      <c r="S42" s="325"/>
      <c r="T42" s="1357"/>
      <c r="V42" s="329"/>
      <c r="W42" s="335"/>
      <c r="X42" s="329"/>
      <c r="Y42" s="1356"/>
      <c r="Z42" s="1357"/>
    </row>
    <row r="43" spans="2:26" s="18" customFormat="1" ht="21" customHeight="1">
      <c r="B43" s="2077"/>
      <c r="C43" s="302" t="s">
        <v>293</v>
      </c>
      <c r="D43" s="2078"/>
      <c r="G43" s="292" t="s">
        <v>470</v>
      </c>
      <c r="I43" s="2059"/>
      <c r="J43" s="2059"/>
      <c r="N43" s="1357"/>
      <c r="O43" s="325"/>
      <c r="P43" s="325"/>
      <c r="Q43" s="325"/>
      <c r="R43" s="325"/>
      <c r="S43" s="325"/>
      <c r="T43" s="1357"/>
      <c r="V43" s="329"/>
      <c r="W43" s="335"/>
      <c r="X43" s="329"/>
      <c r="Y43" s="1356"/>
      <c r="Z43" s="1357"/>
    </row>
    <row r="44" spans="2:26" s="18" customFormat="1" ht="21" customHeight="1">
      <c r="B44" s="2077"/>
      <c r="C44" s="302" t="s">
        <v>293</v>
      </c>
      <c r="D44" s="2078"/>
      <c r="G44" s="292" t="s">
        <v>471</v>
      </c>
      <c r="I44" s="2059"/>
      <c r="J44" s="2059"/>
      <c r="N44" s="1357"/>
      <c r="O44" s="325"/>
      <c r="P44" s="325"/>
      <c r="Q44" s="325"/>
      <c r="R44" s="325"/>
      <c r="S44" s="325"/>
      <c r="T44" s="1357"/>
      <c r="V44" s="329"/>
      <c r="W44" s="335"/>
      <c r="X44" s="329"/>
      <c r="Y44" s="1356"/>
      <c r="Z44" s="1357"/>
    </row>
    <row r="45" spans="2:26" s="18" customFormat="1" ht="21" customHeight="1">
      <c r="B45" s="2077"/>
      <c r="C45" s="302" t="s">
        <v>293</v>
      </c>
      <c r="D45" s="2078"/>
      <c r="G45" s="292" t="s">
        <v>472</v>
      </c>
      <c r="I45" s="2059"/>
      <c r="J45" s="2059"/>
      <c r="N45" s="1357"/>
      <c r="O45" s="325"/>
      <c r="P45" s="325"/>
      <c r="Q45" s="325"/>
      <c r="R45" s="325"/>
      <c r="S45" s="325"/>
      <c r="T45" s="1357"/>
      <c r="V45" s="329"/>
      <c r="W45" s="335"/>
      <c r="X45" s="329"/>
      <c r="Y45" s="1356"/>
      <c r="Z45" s="1357"/>
    </row>
    <row r="46" spans="2:26" s="18" customFormat="1" ht="21" customHeight="1">
      <c r="B46" s="2077"/>
      <c r="C46" s="302" t="s">
        <v>293</v>
      </c>
      <c r="D46" s="2078"/>
      <c r="G46" s="292" t="s">
        <v>473</v>
      </c>
      <c r="I46" s="2059"/>
      <c r="J46" s="2059"/>
      <c r="N46" s="1357"/>
      <c r="O46" s="325"/>
      <c r="P46" s="325"/>
      <c r="Q46" s="325"/>
      <c r="R46" s="325"/>
      <c r="S46" s="325"/>
      <c r="T46" s="1357"/>
      <c r="V46" s="329"/>
      <c r="W46" s="335"/>
      <c r="X46" s="329"/>
      <c r="Y46" s="1356"/>
      <c r="Z46" s="1357"/>
    </row>
    <row r="47" spans="2:26" s="18" customFormat="1" ht="21" customHeight="1">
      <c r="B47" s="2077"/>
      <c r="C47" s="302" t="s">
        <v>293</v>
      </c>
      <c r="D47" s="2078"/>
      <c r="G47" s="292" t="s">
        <v>474</v>
      </c>
      <c r="I47" s="2059"/>
      <c r="J47" s="2059"/>
      <c r="N47" s="1357"/>
      <c r="O47" s="325"/>
      <c r="P47" s="325"/>
      <c r="Q47" s="325"/>
      <c r="R47" s="325"/>
      <c r="S47" s="325"/>
      <c r="T47" s="1357"/>
      <c r="V47" s="329"/>
      <c r="W47" s="335"/>
      <c r="X47" s="329"/>
      <c r="Y47" s="1356"/>
      <c r="Z47" s="1357"/>
    </row>
    <row r="48" spans="2:26" s="18" customFormat="1" ht="21" customHeight="1">
      <c r="B48" s="2077"/>
      <c r="C48" s="302" t="s">
        <v>293</v>
      </c>
      <c r="D48" s="2078"/>
      <c r="G48" s="292" t="s">
        <v>475</v>
      </c>
      <c r="I48" s="2059"/>
      <c r="J48" s="2059"/>
      <c r="N48" s="1357"/>
      <c r="O48" s="325"/>
      <c r="P48" s="325"/>
      <c r="Q48" s="325"/>
      <c r="R48" s="325"/>
      <c r="S48" s="325"/>
      <c r="T48" s="1357"/>
      <c r="V48" s="329"/>
      <c r="W48" s="335"/>
      <c r="X48" s="329"/>
      <c r="Y48" s="1356"/>
      <c r="Z48" s="1357"/>
    </row>
    <row r="49" spans="2:26" s="18" customFormat="1" ht="21" customHeight="1">
      <c r="B49" s="2077"/>
      <c r="C49" s="302" t="s">
        <v>293</v>
      </c>
      <c r="D49" s="2078"/>
      <c r="G49" s="292" t="s">
        <v>476</v>
      </c>
      <c r="I49" s="2059"/>
      <c r="J49" s="2059"/>
      <c r="N49" s="1357"/>
      <c r="O49" s="325"/>
      <c r="P49" s="325"/>
      <c r="Q49" s="325"/>
      <c r="R49" s="325"/>
      <c r="S49" s="325"/>
      <c r="T49" s="1357"/>
      <c r="V49" s="329"/>
      <c r="W49" s="335"/>
      <c r="X49" s="329"/>
      <c r="Y49" s="1356"/>
      <c r="Z49" s="1357"/>
    </row>
    <row r="50" spans="2:26" s="18" customFormat="1" ht="21" customHeight="1">
      <c r="B50" s="2077"/>
      <c r="C50" s="302" t="s">
        <v>293</v>
      </c>
      <c r="D50" s="2078"/>
      <c r="G50" s="292" t="s">
        <v>477</v>
      </c>
      <c r="I50" s="2059"/>
      <c r="J50" s="2059"/>
      <c r="N50" s="1357"/>
      <c r="O50" s="325"/>
      <c r="P50" s="325"/>
      <c r="Q50" s="325"/>
      <c r="R50" s="325"/>
      <c r="S50" s="325"/>
      <c r="T50" s="1357"/>
      <c r="V50" s="329"/>
      <c r="W50" s="335"/>
      <c r="X50" s="329"/>
      <c r="Y50" s="1356"/>
      <c r="Z50" s="1357"/>
    </row>
    <row r="51" spans="2:26" s="18" customFormat="1" ht="21" customHeight="1">
      <c r="B51" s="2077"/>
      <c r="C51" s="302" t="s">
        <v>293</v>
      </c>
      <c r="D51" s="2078"/>
      <c r="G51" s="292" t="s">
        <v>478</v>
      </c>
      <c r="I51" s="2059"/>
      <c r="J51" s="2059"/>
      <c r="N51" s="1357"/>
      <c r="O51" s="325"/>
      <c r="P51" s="325"/>
      <c r="Q51" s="325"/>
      <c r="R51" s="325"/>
      <c r="S51" s="325"/>
      <c r="T51" s="1357"/>
      <c r="V51" s="329"/>
      <c r="W51" s="335"/>
      <c r="X51" s="329"/>
      <c r="Y51" s="1356"/>
      <c r="Z51" s="1357"/>
    </row>
    <row r="52" spans="2:26" s="18" customFormat="1" ht="21" customHeight="1">
      <c r="B52" s="2077"/>
      <c r="C52" s="302" t="s">
        <v>293</v>
      </c>
      <c r="D52" s="2078"/>
      <c r="G52" s="292" t="s">
        <v>479</v>
      </c>
      <c r="I52" s="2059"/>
      <c r="J52" s="2059"/>
      <c r="N52" s="1357"/>
      <c r="O52" s="325"/>
      <c r="P52" s="325"/>
      <c r="Q52" s="325"/>
      <c r="R52" s="325"/>
      <c r="S52" s="325"/>
      <c r="T52" s="1357"/>
      <c r="V52" s="329"/>
      <c r="W52" s="335"/>
      <c r="X52" s="329"/>
      <c r="Y52" s="1356"/>
      <c r="Z52" s="1357"/>
    </row>
    <row r="53" spans="2:26" s="18" customFormat="1" ht="21" customHeight="1">
      <c r="B53" s="2077"/>
      <c r="C53" s="302" t="s">
        <v>293</v>
      </c>
      <c r="D53" s="2078"/>
      <c r="G53" s="292" t="s">
        <v>480</v>
      </c>
      <c r="I53" s="2059"/>
      <c r="J53" s="2059"/>
      <c r="N53" s="1357"/>
      <c r="O53" s="325"/>
      <c r="P53" s="325"/>
      <c r="Q53" s="325"/>
      <c r="R53" s="325"/>
      <c r="S53" s="325"/>
      <c r="T53" s="1357"/>
      <c r="V53" s="329"/>
      <c r="W53" s="335"/>
      <c r="X53" s="329"/>
      <c r="Y53" s="1356"/>
      <c r="Z53" s="1357"/>
    </row>
    <row r="54" spans="2:26" s="18" customFormat="1" ht="21" customHeight="1">
      <c r="B54" s="2077"/>
      <c r="C54" s="302" t="s">
        <v>293</v>
      </c>
      <c r="D54" s="2078"/>
      <c r="G54" s="292" t="s">
        <v>481</v>
      </c>
      <c r="I54" s="2059"/>
      <c r="J54" s="2059"/>
      <c r="N54" s="1357"/>
      <c r="O54" s="325"/>
      <c r="P54" s="325"/>
      <c r="Q54" s="325"/>
      <c r="R54" s="325"/>
      <c r="S54" s="325"/>
      <c r="T54" s="1357"/>
      <c r="V54" s="329"/>
      <c r="W54" s="335"/>
      <c r="X54" s="329"/>
      <c r="Y54" s="1356"/>
      <c r="Z54" s="1357"/>
    </row>
    <row r="55" spans="2:26" s="18" customFormat="1" ht="21" customHeight="1">
      <c r="B55" s="2077"/>
      <c r="C55" s="302" t="s">
        <v>293</v>
      </c>
      <c r="D55" s="2078"/>
      <c r="G55" s="292" t="s">
        <v>482</v>
      </c>
      <c r="I55" s="2059"/>
      <c r="J55" s="2059"/>
      <c r="N55" s="1357"/>
      <c r="O55" s="325"/>
      <c r="P55" s="325"/>
      <c r="Q55" s="325"/>
      <c r="R55" s="325"/>
      <c r="S55" s="325"/>
      <c r="T55" s="1357"/>
      <c r="V55" s="329"/>
      <c r="W55" s="335"/>
      <c r="X55" s="329"/>
      <c r="Y55" s="1356"/>
      <c r="Z55" s="1357"/>
    </row>
    <row r="56" spans="2:26" s="18" customFormat="1" ht="21" customHeight="1">
      <c r="B56" s="2077"/>
      <c r="C56" s="302" t="s">
        <v>293</v>
      </c>
      <c r="D56" s="2078"/>
      <c r="G56" s="292" t="s">
        <v>483</v>
      </c>
      <c r="I56" s="2059"/>
      <c r="J56" s="2059"/>
      <c r="N56" s="1357"/>
      <c r="O56" s="325"/>
      <c r="P56" s="325"/>
      <c r="Q56" s="325"/>
      <c r="R56" s="325"/>
      <c r="S56" s="325"/>
      <c r="T56" s="1357"/>
      <c r="V56" s="329"/>
      <c r="W56" s="335"/>
      <c r="X56" s="329"/>
      <c r="Y56" s="1356"/>
      <c r="Z56" s="1357"/>
    </row>
    <row r="57" spans="2:26" s="18" customFormat="1" ht="21" customHeight="1">
      <c r="B57" s="2077"/>
      <c r="C57" s="302" t="s">
        <v>293</v>
      </c>
      <c r="D57" s="2078"/>
      <c r="G57" s="292" t="s">
        <v>484</v>
      </c>
      <c r="I57" s="2059"/>
      <c r="J57" s="2059"/>
      <c r="N57" s="1357"/>
      <c r="O57" s="325"/>
      <c r="P57" s="325"/>
      <c r="Q57" s="325"/>
      <c r="R57" s="325"/>
      <c r="S57" s="325"/>
      <c r="T57" s="1357"/>
      <c r="V57" s="329"/>
      <c r="W57" s="335"/>
      <c r="X57" s="329"/>
      <c r="Y57" s="1356"/>
      <c r="Z57" s="1357"/>
    </row>
    <row r="58" spans="2:26" s="18" customFormat="1" ht="21" customHeight="1">
      <c r="B58" s="2077"/>
      <c r="C58" s="302" t="s">
        <v>293</v>
      </c>
      <c r="D58" s="2078"/>
      <c r="G58" s="292" t="s">
        <v>485</v>
      </c>
      <c r="I58" s="2059"/>
      <c r="J58" s="2059"/>
      <c r="N58" s="1357"/>
      <c r="O58" s="325"/>
      <c r="P58" s="325"/>
      <c r="Q58" s="325"/>
      <c r="R58" s="325"/>
      <c r="S58" s="325"/>
      <c r="T58" s="1357"/>
      <c r="V58" s="329"/>
      <c r="W58" s="335"/>
      <c r="X58" s="329"/>
      <c r="Y58" s="1356"/>
      <c r="Z58" s="1357"/>
    </row>
    <row r="59" spans="2:26" s="18" customFormat="1" ht="21" customHeight="1">
      <c r="B59" s="2077"/>
      <c r="C59" s="302" t="s">
        <v>293</v>
      </c>
      <c r="D59" s="2078"/>
      <c r="G59" s="292" t="s">
        <v>486</v>
      </c>
      <c r="I59" s="2059"/>
      <c r="J59" s="2059"/>
      <c r="N59" s="1357"/>
      <c r="O59" s="325"/>
      <c r="P59" s="325"/>
      <c r="Q59" s="325"/>
      <c r="R59" s="325"/>
      <c r="S59" s="325"/>
      <c r="T59" s="1357"/>
      <c r="V59" s="329"/>
      <c r="W59" s="335"/>
      <c r="X59" s="329"/>
      <c r="Y59" s="1356"/>
      <c r="Z59" s="1357"/>
    </row>
    <row r="60" spans="2:26" s="18" customFormat="1" ht="21" customHeight="1">
      <c r="B60" s="2077"/>
      <c r="C60" s="302" t="s">
        <v>293</v>
      </c>
      <c r="D60" s="2078"/>
      <c r="G60" s="292" t="s">
        <v>487</v>
      </c>
      <c r="I60" s="2059"/>
      <c r="J60" s="2059"/>
      <c r="N60" s="1357"/>
      <c r="O60" s="325"/>
      <c r="P60" s="325"/>
      <c r="Q60" s="325"/>
      <c r="R60" s="325"/>
      <c r="S60" s="325"/>
      <c r="T60" s="1357"/>
      <c r="V60" s="329"/>
      <c r="W60" s="335"/>
      <c r="X60" s="329"/>
      <c r="Y60" s="1356"/>
      <c r="Z60" s="1357"/>
    </row>
    <row r="61" spans="2:26" s="18" customFormat="1" ht="21" customHeight="1">
      <c r="B61" s="2077"/>
      <c r="C61" s="302" t="s">
        <v>293</v>
      </c>
      <c r="D61" s="2078"/>
      <c r="G61" s="292" t="s">
        <v>488</v>
      </c>
      <c r="I61" s="2059"/>
      <c r="J61" s="2059"/>
      <c r="N61" s="1357"/>
      <c r="O61" s="325"/>
      <c r="P61" s="325"/>
      <c r="Q61" s="325"/>
      <c r="R61" s="325"/>
      <c r="S61" s="325"/>
      <c r="T61" s="1357"/>
      <c r="V61" s="329"/>
      <c r="W61" s="335"/>
      <c r="X61" s="329"/>
      <c r="Y61" s="1356"/>
      <c r="Z61" s="1357"/>
    </row>
    <row r="62" spans="2:26" s="18" customFormat="1" ht="21" customHeight="1">
      <c r="B62" s="2077"/>
      <c r="C62" s="302" t="s">
        <v>293</v>
      </c>
      <c r="D62" s="2078"/>
      <c r="G62" s="292" t="s">
        <v>489</v>
      </c>
      <c r="I62" s="2059"/>
      <c r="J62" s="2059"/>
      <c r="N62" s="1357"/>
      <c r="O62" s="325"/>
      <c r="P62" s="325"/>
      <c r="Q62" s="325"/>
      <c r="R62" s="325"/>
      <c r="S62" s="325"/>
      <c r="T62" s="1357"/>
      <c r="V62" s="329"/>
      <c r="W62" s="335"/>
      <c r="X62" s="329"/>
      <c r="Y62" s="1356"/>
      <c r="Z62" s="1357"/>
    </row>
    <row r="63" spans="2:26" s="18" customFormat="1" ht="21" customHeight="1">
      <c r="B63" s="2077"/>
      <c r="C63" s="302" t="s">
        <v>293</v>
      </c>
      <c r="D63" s="2078"/>
      <c r="G63" s="292" t="s">
        <v>490</v>
      </c>
      <c r="I63" s="2059"/>
      <c r="J63" s="2059"/>
      <c r="N63" s="1357"/>
      <c r="O63" s="325"/>
      <c r="P63" s="325"/>
      <c r="Q63" s="325"/>
      <c r="R63" s="325"/>
      <c r="S63" s="325"/>
      <c r="T63" s="1357"/>
      <c r="V63" s="329"/>
      <c r="W63" s="335"/>
      <c r="X63" s="329"/>
      <c r="Y63" s="1356"/>
      <c r="Z63" s="1357"/>
    </row>
    <row r="64" spans="2:26" s="18" customFormat="1" ht="15.6">
      <c r="N64" s="1357"/>
      <c r="O64" s="325"/>
      <c r="P64" s="325"/>
      <c r="Q64" s="325"/>
      <c r="R64" s="325"/>
      <c r="S64" s="325"/>
      <c r="T64" s="1357"/>
      <c r="U64" s="329"/>
      <c r="V64" s="329"/>
      <c r="W64" s="329"/>
      <c r="X64" s="325"/>
      <c r="Y64" s="1356"/>
      <c r="Z64" s="1357"/>
    </row>
    <row r="65" spans="2:32" s="18" customFormat="1" ht="21" customHeight="1">
      <c r="B65" s="304" t="s">
        <v>491</v>
      </c>
      <c r="C65" s="302" t="s">
        <v>293</v>
      </c>
      <c r="D65" s="2060"/>
      <c r="G65" s="292" t="s">
        <v>492</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493</v>
      </c>
      <c r="C66" s="302" t="s">
        <v>410</v>
      </c>
      <c r="E66" s="2061"/>
      <c r="G66" s="292" t="s">
        <v>494</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495</v>
      </c>
    </row>
    <row r="67" spans="2:32" s="18" customFormat="1" ht="15.6">
      <c r="I67" s="20"/>
      <c r="J67" s="20"/>
      <c r="N67" s="336"/>
      <c r="O67" s="336"/>
      <c r="P67" s="336"/>
      <c r="Q67" s="336"/>
      <c r="R67" s="336"/>
      <c r="S67" s="336"/>
      <c r="T67" s="336"/>
      <c r="U67" s="336"/>
      <c r="V67" s="336"/>
      <c r="W67" s="336"/>
      <c r="X67" s="336"/>
      <c r="Y67" s="336"/>
      <c r="Z67" s="336"/>
    </row>
    <row r="68" spans="2:32">
      <c r="B68" s="276" t="s">
        <v>299</v>
      </c>
      <c r="C68" s="1356"/>
      <c r="D68" s="1356"/>
      <c r="E68" s="1356"/>
      <c r="F68" s="1356"/>
      <c r="G68" s="1356"/>
    </row>
    <row r="69" spans="2:32">
      <c r="B69" s="8"/>
      <c r="C69" s="8"/>
      <c r="D69" s="8"/>
      <c r="E69" s="8"/>
      <c r="F69" s="8"/>
      <c r="G69" s="8"/>
    </row>
    <row r="70" spans="2:32">
      <c r="B70" s="1818" t="s">
        <v>300</v>
      </c>
      <c r="C70" s="8"/>
      <c r="D70" s="8"/>
      <c r="E70" s="8"/>
      <c r="F70" s="8"/>
      <c r="G70" s="8"/>
    </row>
    <row r="71" spans="2:32">
      <c r="B71" s="371"/>
      <c r="C71" s="8"/>
      <c r="D71" s="8"/>
      <c r="E71" s="8"/>
      <c r="F71" s="8"/>
      <c r="G71" s="8"/>
    </row>
    <row r="72" spans="2:32">
      <c r="B72" s="1968" t="s">
        <v>301</v>
      </c>
      <c r="C72" s="8"/>
      <c r="D72" s="8"/>
      <c r="E72" s="8"/>
      <c r="F72" s="8"/>
      <c r="G72" s="8"/>
    </row>
    <row r="73" spans="2:32">
      <c r="B73" s="8"/>
      <c r="C73" s="8"/>
      <c r="D73" s="8"/>
      <c r="E73" s="8"/>
      <c r="F73" s="8"/>
      <c r="G73" s="8"/>
    </row>
    <row r="74" spans="2:32">
      <c r="B74" s="1819" t="s">
        <v>302</v>
      </c>
      <c r="C74" s="8"/>
      <c r="D74" s="8"/>
      <c r="E74" s="8"/>
      <c r="F74" s="8"/>
      <c r="G74" s="8"/>
    </row>
    <row r="75" spans="2:32">
      <c r="B75" s="8"/>
      <c r="C75" s="8"/>
      <c r="D75" s="8"/>
      <c r="E75" s="8"/>
      <c r="F75" s="8"/>
      <c r="G75" s="8"/>
    </row>
    <row r="76" spans="2:32">
      <c r="B76" s="1820"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7" zoomScaleNormal="100" zoomScaleSheetLayoutView="100" workbookViewId="0">
      <selection activeCell="F25" sqref="F25"/>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0" t="s">
        <v>39</v>
      </c>
      <c r="C1" s="6"/>
      <c r="D1" s="6"/>
      <c r="E1" s="6"/>
      <c r="F1" s="5"/>
      <c r="G1" s="5"/>
      <c r="L1" s="1970" t="str">
        <f>'Validation summary'!$B$2</f>
        <v>2024-25</v>
      </c>
      <c r="U1" s="319"/>
      <c r="AA1" s="319"/>
      <c r="AF1" s="319"/>
    </row>
    <row r="2" spans="2:40" s="1" customFormat="1" ht="10.199999999999999" customHeight="1">
      <c r="B2" s="7"/>
      <c r="C2" s="7"/>
      <c r="D2" s="7"/>
      <c r="E2" s="7"/>
      <c r="F2" s="7"/>
      <c r="G2" s="7"/>
      <c r="U2" s="319"/>
      <c r="AA2" s="319"/>
      <c r="AF2" s="319"/>
    </row>
    <row r="3" spans="2:40" s="9" customFormat="1" ht="31.5" customHeight="1">
      <c r="B3" s="318" t="s">
        <v>496</v>
      </c>
      <c r="C3" s="295"/>
      <c r="D3" s="295"/>
      <c r="E3" s="295"/>
      <c r="F3" s="295"/>
      <c r="G3" s="305"/>
      <c r="H3" s="296"/>
      <c r="I3" s="307" t="str">
        <f>'Validation summary'!$B$3</f>
        <v>South Staffs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56"/>
      <c r="N6" s="1356"/>
      <c r="O6" s="1356"/>
      <c r="P6" s="1356"/>
      <c r="Q6" s="1356"/>
      <c r="R6" s="1356"/>
      <c r="S6" s="1356"/>
      <c r="T6" s="1356"/>
      <c r="U6" s="1357"/>
      <c r="V6" s="327" t="s">
        <v>142</v>
      </c>
      <c r="W6" s="1356"/>
      <c r="X6" s="1356"/>
      <c r="Y6" s="1356"/>
      <c r="Z6" s="1356"/>
      <c r="AA6" s="1357"/>
      <c r="AB6" s="327" t="s">
        <v>143</v>
      </c>
      <c r="AC6" s="327" t="s">
        <v>497</v>
      </c>
      <c r="AD6" s="327"/>
      <c r="AE6" s="1356"/>
      <c r="AF6" s="1357"/>
      <c r="AG6" s="1356"/>
      <c r="AH6" s="2160"/>
      <c r="AI6" s="2159"/>
      <c r="AJ6" s="2159"/>
      <c r="AK6" s="2161"/>
      <c r="AL6" s="2163"/>
      <c r="AM6" s="2159"/>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6">
      <c r="B8" s="309" t="s">
        <v>498</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498</v>
      </c>
      <c r="AI8" s="12"/>
      <c r="AJ8" s="1353"/>
      <c r="AK8" s="1353"/>
      <c r="AL8" s="1353"/>
      <c r="AM8" s="1353"/>
      <c r="AN8" s="1356"/>
    </row>
    <row r="9" spans="2:40" s="9" customFormat="1" ht="28.35" customHeight="1">
      <c r="B9" s="288" t="s">
        <v>499</v>
      </c>
      <c r="C9" s="293" t="str">
        <f>IF($I$3="Select company","",VLOOKUP('3A'!$R$1,C_RSRinD,2,0))</f>
        <v>PR19SSC_D3</v>
      </c>
      <c r="D9" s="306" t="str">
        <f>IF($I$3="Select company","",INDEX(App1bdata,MATCH($C9,App1bIDnrs,0),20))</f>
        <v>%</v>
      </c>
      <c r="E9" s="306">
        <f>IF($I$3="Select company","",INDEX(App1bdata,MATCH($C9,App1bIDnrs,0),22))</f>
        <v>1</v>
      </c>
      <c r="F9" s="1835">
        <v>0</v>
      </c>
      <c r="G9" s="1822" t="s">
        <v>961</v>
      </c>
      <c r="H9" s="35"/>
      <c r="I9" s="292" t="s">
        <v>500</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PR19SSC_D3</v>
      </c>
      <c r="AJ9" s="288" t="str">
        <f t="shared" si="0"/>
        <v>%</v>
      </c>
      <c r="AK9" s="288">
        <f t="shared" si="0"/>
        <v>1</v>
      </c>
      <c r="AL9" s="1466" t="s">
        <v>501</v>
      </c>
      <c r="AM9" s="1457" t="s">
        <v>502</v>
      </c>
      <c r="AN9" s="1356"/>
    </row>
    <row r="10" spans="2:40" s="9" customFormat="1" ht="28.35" customHeight="1">
      <c r="B10" s="288" t="s">
        <v>503</v>
      </c>
      <c r="C10" s="293" t="str">
        <f>IF($I$3="Select company","",VLOOKUP('3A'!$R$1,C_PSR,2,0))</f>
        <v>PR19SSC_B4</v>
      </c>
      <c r="D10" s="293" t="str">
        <f>IF($I$3="Select company","",INDEX(App1bdata,MATCH($C10,App1bIDnrs,0),20))</f>
        <v>%</v>
      </c>
      <c r="E10" s="293">
        <f>IF($I$3="Select company","",INDEX(App1bdata,MATCH($C10,App1bIDnrs,0),22))</f>
        <v>1</v>
      </c>
      <c r="F10" s="2107">
        <v>11.4</v>
      </c>
      <c r="G10" s="1822" t="s">
        <v>961</v>
      </c>
      <c r="H10" s="35"/>
      <c r="I10" s="292" t="s">
        <v>504</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PR19SSC_B4</v>
      </c>
      <c r="AJ10" s="288" t="str">
        <f t="shared" si="0"/>
        <v>%</v>
      </c>
      <c r="AK10" s="288">
        <f t="shared" si="0"/>
        <v>1</v>
      </c>
      <c r="AL10" s="1448" t="s">
        <v>505</v>
      </c>
      <c r="AM10" s="1457" t="s">
        <v>506</v>
      </c>
      <c r="AN10" s="1356"/>
    </row>
    <row r="11" spans="2:40" s="9" customFormat="1" ht="28.35" customHeight="1">
      <c r="B11" s="288" t="s">
        <v>507</v>
      </c>
      <c r="C11" s="293" t="str">
        <f>IF($I$3="Select company","",VLOOKUP('3A'!$R$1,C_PSR,2,0))</f>
        <v>PR19SSC_B4</v>
      </c>
      <c r="D11" s="293" t="str">
        <f>IF($I$3="Select company","",INDEX(App1bdata,MATCH($C11,App1bIDnrs,0),20))</f>
        <v>%</v>
      </c>
      <c r="E11" s="293">
        <f>IF($I$3="Select company","",INDEX(App1bdata,MATCH($C11,App1bIDnrs,0),22))</f>
        <v>1</v>
      </c>
      <c r="F11" s="2107">
        <v>90</v>
      </c>
      <c r="G11" s="1822" t="s">
        <v>961</v>
      </c>
      <c r="H11" s="35"/>
      <c r="I11" s="292" t="s">
        <v>508</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PR19SSC_B4</v>
      </c>
      <c r="AJ11" s="288" t="str">
        <f t="shared" si="0"/>
        <v>%</v>
      </c>
      <c r="AK11" s="288">
        <f t="shared" si="0"/>
        <v>1</v>
      </c>
      <c r="AL11" s="1448" t="s">
        <v>509</v>
      </c>
      <c r="AM11" s="1457" t="s">
        <v>510</v>
      </c>
      <c r="AN11" s="1356"/>
    </row>
    <row r="12" spans="2:40" s="9" customFormat="1" ht="28.35" customHeight="1">
      <c r="B12" s="288" t="s">
        <v>511</v>
      </c>
      <c r="C12" s="293" t="str">
        <f>IF($I$3="Select company","",VLOOKUP('3A'!$R$1,C_PSR,2,0))</f>
        <v>PR19SSC_B4</v>
      </c>
      <c r="D12" s="293" t="str">
        <f>IF($I$3="Select company","",INDEX(App1bdata,MATCH($C12,App1bIDnrs,0),20))</f>
        <v>%</v>
      </c>
      <c r="E12" s="293">
        <f>IF($I$3="Select company","",INDEX(App1bdata,MATCH($C12,App1bIDnrs,0),22))</f>
        <v>1</v>
      </c>
      <c r="F12" s="2107">
        <v>35</v>
      </c>
      <c r="G12" s="1822" t="s">
        <v>961</v>
      </c>
      <c r="H12" s="35"/>
      <c r="I12" s="292" t="s">
        <v>512</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PR19SSC_B4</v>
      </c>
      <c r="AJ12" s="288" t="str">
        <f t="shared" si="0"/>
        <v>%</v>
      </c>
      <c r="AK12" s="288">
        <f t="shared" si="0"/>
        <v>1</v>
      </c>
      <c r="AL12" s="1448" t="s">
        <v>513</v>
      </c>
      <c r="AM12" s="1457" t="s">
        <v>514</v>
      </c>
      <c r="AN12" s="1356"/>
    </row>
    <row r="13" spans="2:40" s="9" customFormat="1" ht="28.3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31"/>
      <c r="G13" s="1822"/>
      <c r="H13" s="1356"/>
      <c r="I13" s="292" t="s">
        <v>515</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
      </c>
      <c r="AI13" s="288" t="str">
        <f t="shared" si="0"/>
        <v/>
      </c>
      <c r="AJ13" s="288" t="str">
        <f t="shared" si="0"/>
        <v/>
      </c>
      <c r="AK13" s="288" t="str">
        <f t="shared" si="0"/>
        <v/>
      </c>
      <c r="AL13" s="1467" t="s">
        <v>516</v>
      </c>
      <c r="AM13" s="1457" t="s">
        <v>517</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190</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518</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518</v>
      </c>
      <c r="AI15" s="12"/>
      <c r="AJ15" s="1353"/>
      <c r="AK15" s="1353"/>
      <c r="AL15" s="1353"/>
      <c r="AM15" s="1353"/>
      <c r="AN15" s="1356"/>
    </row>
    <row r="16" spans="2:40" s="16" customFormat="1" ht="28.35" customHeight="1">
      <c r="B16" s="288" t="str">
        <f t="shared" ref="B16:B38" si="2">IF($I$3="Select company","",IF($C16="","",INDEX(App1data,MATCH($C16,App1IDnrs,0),5)))</f>
        <v>Retailer measure of experience</v>
      </c>
      <c r="C16" s="293" t="str">
        <f>IF($I$3="Select company","",IF(HLOOKUP('3A'!$R$1,B_NFIN_All,'PC lists'!$B79,0)="","",HLOOKUP('3A'!$R$1,B_NFIN_All,'PC lists'!$B79,0)))</f>
        <v>PR19SSC_A3</v>
      </c>
      <c r="D16" s="293" t="str">
        <f t="shared" ref="D16:D38" si="3">IF($C16="","",INDEX(App1data,MATCH($C16,App1IDnrs,0),20))</f>
        <v>%</v>
      </c>
      <c r="E16" s="293">
        <f t="shared" ref="E16:E38" si="4">IF($C16="","",INDEX(App1data,MATCH($C16,App1IDnrs,0),22))</f>
        <v>1</v>
      </c>
      <c r="F16" s="1859">
        <v>85</v>
      </c>
      <c r="G16" s="1822" t="s">
        <v>973</v>
      </c>
      <c r="I16" s="292" t="s">
        <v>519</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Retailer measure of experience</v>
      </c>
      <c r="AI16" s="288" t="str">
        <f t="shared" si="7"/>
        <v>PR19SSC_A3</v>
      </c>
      <c r="AJ16" s="288" t="str">
        <f t="shared" si="7"/>
        <v>%</v>
      </c>
      <c r="AK16" s="288">
        <f t="shared" si="7"/>
        <v>1</v>
      </c>
      <c r="AL16" s="1468" t="s">
        <v>520</v>
      </c>
      <c r="AM16" s="1457" t="s">
        <v>521</v>
      </c>
    </row>
    <row r="17" spans="2:39" s="16" customFormat="1" ht="28.35" customHeight="1">
      <c r="B17" s="288" t="str">
        <f t="shared" si="2"/>
        <v>Supporting water efficient housebuilding</v>
      </c>
      <c r="C17" s="293" t="str">
        <f>IF($I$3="Select company","",IF(HLOOKUP('3A'!$R$1,B_NFIN_All,'PC lists'!$B80,0)="","",HLOOKUP('3A'!$R$1,B_NFIN_All,'PC lists'!$B80,0)))</f>
        <v>PR19SSC_C6</v>
      </c>
      <c r="D17" s="293" t="str">
        <f t="shared" si="3"/>
        <v>nr</v>
      </c>
      <c r="E17" s="293">
        <f t="shared" si="4"/>
        <v>1</v>
      </c>
      <c r="F17" s="1822">
        <v>30.6</v>
      </c>
      <c r="G17" s="1822" t="s">
        <v>961</v>
      </c>
      <c r="I17" s="292" t="s">
        <v>522</v>
      </c>
      <c r="K17" s="326">
        <f t="shared" ref="K17:K38" si="8">IF(SUM($V17:$X17)=0,0,$V$6)</f>
        <v>0</v>
      </c>
      <c r="L17" s="338"/>
      <c r="U17" s="1357"/>
      <c r="V17" s="325"/>
      <c r="W17" s="325">
        <f t="shared" si="5"/>
        <v>0</v>
      </c>
      <c r="X17" s="325">
        <f t="shared" si="6"/>
        <v>0</v>
      </c>
      <c r="Y17" s="325"/>
      <c r="Z17" s="325"/>
      <c r="AA17" s="320"/>
      <c r="AD17" s="329"/>
      <c r="AF17" s="1357"/>
      <c r="AH17" s="288" t="str">
        <f t="shared" si="7"/>
        <v>Supporting water efficient housebuilding</v>
      </c>
      <c r="AI17" s="288" t="str">
        <f t="shared" si="7"/>
        <v>PR19SSC_C6</v>
      </c>
      <c r="AJ17" s="288" t="str">
        <f t="shared" si="7"/>
        <v>nr</v>
      </c>
      <c r="AK17" s="288">
        <f t="shared" si="7"/>
        <v>1</v>
      </c>
      <c r="AL17" s="1468" t="s">
        <v>523</v>
      </c>
      <c r="AM17" s="1457" t="s">
        <v>524</v>
      </c>
    </row>
    <row r="18" spans="2:39" s="16" customFormat="1" ht="28.35" customHeight="1">
      <c r="B18" s="288" t="str">
        <f t="shared" si="2"/>
        <v>Carbon emissions</v>
      </c>
      <c r="C18" s="293" t="str">
        <f>IF($I$3="Select company","",IF(HLOOKUP('3A'!$R$1,B_NFIN_All,'PC lists'!$B81,0)="","",HLOOKUP('3A'!$R$1,B_NFIN_All,'PC lists'!$B81,0)))</f>
        <v>PR19SSC_C8</v>
      </c>
      <c r="D18" s="293" t="str">
        <f t="shared" si="3"/>
        <v>nr</v>
      </c>
      <c r="E18" s="293">
        <f t="shared" si="4"/>
        <v>1</v>
      </c>
      <c r="F18" s="1822">
        <v>28</v>
      </c>
      <c r="G18" s="1822" t="s">
        <v>961</v>
      </c>
      <c r="I18" s="292" t="s">
        <v>525</v>
      </c>
      <c r="K18" s="326">
        <f t="shared" si="8"/>
        <v>0</v>
      </c>
      <c r="L18" s="338"/>
      <c r="U18" s="1357"/>
      <c r="V18" s="325"/>
      <c r="W18" s="325">
        <f t="shared" si="5"/>
        <v>0</v>
      </c>
      <c r="X18" s="325">
        <f t="shared" si="6"/>
        <v>0</v>
      </c>
      <c r="Y18" s="325"/>
      <c r="Z18" s="325"/>
      <c r="AA18" s="320"/>
      <c r="AD18" s="329"/>
      <c r="AF18" s="1357"/>
      <c r="AH18" s="288" t="str">
        <f t="shared" si="7"/>
        <v>Carbon emissions</v>
      </c>
      <c r="AI18" s="288" t="str">
        <f t="shared" si="7"/>
        <v>PR19SSC_C8</v>
      </c>
      <c r="AJ18" s="288" t="str">
        <f t="shared" si="7"/>
        <v>nr</v>
      </c>
      <c r="AK18" s="288">
        <f t="shared" si="7"/>
        <v>1</v>
      </c>
      <c r="AL18" s="1468" t="s">
        <v>526</v>
      </c>
      <c r="AM18" s="1457" t="s">
        <v>527</v>
      </c>
    </row>
    <row r="19" spans="2:39" s="16" customFormat="1" ht="28.35" customHeight="1">
      <c r="B19" s="288" t="str">
        <f t="shared" si="2"/>
        <v>Bad debt level</v>
      </c>
      <c r="C19" s="293" t="str">
        <f>IF($I$3="Select company","",IF(HLOOKUP('3A'!$R$1,B_NFIN_All,'PC lists'!$B82,0)="","",HLOOKUP('3A'!$R$1,B_NFIN_All,'PC lists'!$B82,0)))</f>
        <v>PR19SSC_E1</v>
      </c>
      <c r="D19" s="293" t="str">
        <f t="shared" si="3"/>
        <v>%</v>
      </c>
      <c r="E19" s="293">
        <f t="shared" si="4"/>
        <v>2</v>
      </c>
      <c r="F19" s="1824">
        <v>2</v>
      </c>
      <c r="G19" s="1822" t="s">
        <v>961</v>
      </c>
      <c r="I19" s="292" t="s">
        <v>528</v>
      </c>
      <c r="K19" s="326">
        <f t="shared" si="8"/>
        <v>0</v>
      </c>
      <c r="L19" s="338"/>
      <c r="U19" s="320"/>
      <c r="V19" s="325"/>
      <c r="W19" s="325">
        <f t="shared" si="5"/>
        <v>0</v>
      </c>
      <c r="X19" s="325">
        <f t="shared" si="6"/>
        <v>0</v>
      </c>
      <c r="Y19" s="325"/>
      <c r="Z19" s="325"/>
      <c r="AA19" s="320"/>
      <c r="AD19" s="329"/>
      <c r="AF19" s="320"/>
      <c r="AH19" s="288" t="str">
        <f t="shared" si="7"/>
        <v>Bad debt level</v>
      </c>
      <c r="AI19" s="288" t="str">
        <f t="shared" si="7"/>
        <v>PR19SSC_E1</v>
      </c>
      <c r="AJ19" s="288" t="str">
        <f t="shared" si="7"/>
        <v>%</v>
      </c>
      <c r="AK19" s="288">
        <f t="shared" si="7"/>
        <v>2</v>
      </c>
      <c r="AL19" s="1468" t="s">
        <v>529</v>
      </c>
      <c r="AM19" s="1457" t="s">
        <v>530</v>
      </c>
    </row>
    <row r="20" spans="2:39" s="16" customFormat="1" ht="28.35" customHeight="1">
      <c r="B20" s="288" t="str">
        <f t="shared" si="2"/>
        <v>Employee engagement</v>
      </c>
      <c r="C20" s="293" t="str">
        <f>IF($I$3="Select company","",IF(HLOOKUP('3A'!$R$1,B_NFIN_All,'PC lists'!$B83,0)="","",HLOOKUP('3A'!$R$1,B_NFIN_All,'PC lists'!$B83,0)))</f>
        <v>PR19SSC_E3</v>
      </c>
      <c r="D20" s="293" t="str">
        <f t="shared" si="3"/>
        <v>score</v>
      </c>
      <c r="E20" s="293">
        <f t="shared" si="4"/>
        <v>0</v>
      </c>
      <c r="F20" s="1822" t="s">
        <v>2064</v>
      </c>
      <c r="G20" s="1822" t="s">
        <v>961</v>
      </c>
      <c r="I20" s="292" t="s">
        <v>531</v>
      </c>
      <c r="K20" s="326">
        <f t="shared" si="8"/>
        <v>0</v>
      </c>
      <c r="L20" s="338"/>
      <c r="U20" s="320"/>
      <c r="V20" s="325"/>
      <c r="W20" s="325">
        <f t="shared" si="5"/>
        <v>0</v>
      </c>
      <c r="X20" s="325">
        <f t="shared" si="6"/>
        <v>0</v>
      </c>
      <c r="Y20" s="325"/>
      <c r="Z20" s="325"/>
      <c r="AA20" s="320"/>
      <c r="AD20" s="329"/>
      <c r="AF20" s="320"/>
      <c r="AH20" s="288" t="str">
        <f t="shared" si="7"/>
        <v>Employee engagement</v>
      </c>
      <c r="AI20" s="288" t="str">
        <f t="shared" si="7"/>
        <v>PR19SSC_E3</v>
      </c>
      <c r="AJ20" s="288" t="str">
        <f t="shared" si="7"/>
        <v>score</v>
      </c>
      <c r="AK20" s="288">
        <f t="shared" si="7"/>
        <v>0</v>
      </c>
      <c r="AL20" s="1468" t="s">
        <v>532</v>
      </c>
      <c r="AM20" s="1457" t="s">
        <v>533</v>
      </c>
    </row>
    <row r="21" spans="2:39" s="16" customFormat="1" ht="28.35" customHeight="1">
      <c r="B21" s="288" t="str">
        <f t="shared" si="2"/>
        <v>Treating our suppliers fairly</v>
      </c>
      <c r="C21" s="293" t="str">
        <f>IF($I$3="Select company","",IF(HLOOKUP('3A'!$R$1,B_NFIN_All,'PC lists'!$B84,0)="","",HLOOKUP('3A'!$R$1,B_NFIN_All,'PC lists'!$B84,0)))</f>
        <v>PR19SSC_E4</v>
      </c>
      <c r="D21" s="293" t="str">
        <f t="shared" si="3"/>
        <v>%</v>
      </c>
      <c r="E21" s="293">
        <f t="shared" si="4"/>
        <v>0</v>
      </c>
      <c r="F21" s="1822">
        <v>75</v>
      </c>
      <c r="G21" s="1822" t="s">
        <v>973</v>
      </c>
      <c r="I21" s="292" t="s">
        <v>534</v>
      </c>
      <c r="K21" s="326">
        <f t="shared" si="8"/>
        <v>0</v>
      </c>
      <c r="L21" s="338"/>
      <c r="U21" s="320"/>
      <c r="V21" s="325"/>
      <c r="W21" s="325">
        <f t="shared" si="5"/>
        <v>0</v>
      </c>
      <c r="X21" s="325">
        <f t="shared" si="6"/>
        <v>0</v>
      </c>
      <c r="Y21" s="325"/>
      <c r="Z21" s="325"/>
      <c r="AA21" s="320"/>
      <c r="AD21" s="329"/>
      <c r="AF21" s="320"/>
      <c r="AH21" s="288" t="str">
        <f t="shared" si="7"/>
        <v>Treating our suppliers fairly</v>
      </c>
      <c r="AI21" s="288" t="str">
        <f t="shared" si="7"/>
        <v>PR19SSC_E4</v>
      </c>
      <c r="AJ21" s="288" t="str">
        <f t="shared" si="7"/>
        <v>%</v>
      </c>
      <c r="AK21" s="288">
        <f t="shared" si="7"/>
        <v>0</v>
      </c>
      <c r="AL21" s="1468" t="s">
        <v>535</v>
      </c>
      <c r="AM21" s="1457" t="s">
        <v>536</v>
      </c>
    </row>
    <row r="22" spans="2:39" s="16" customFormat="1" ht="28.35" customHeight="1">
      <c r="B22" s="288" t="str">
        <f t="shared" si="2"/>
        <v>Trust</v>
      </c>
      <c r="C22" s="293" t="str">
        <f>IF($I$3="Select company","",IF(HLOOKUP('3A'!$R$1,B_NFIN_All,'PC lists'!$B85,0)="","",HLOOKUP('3A'!$R$1,B_NFIN_All,'PC lists'!$B85,0)))</f>
        <v>PR19SSC_F1</v>
      </c>
      <c r="D22" s="293" t="str">
        <f t="shared" si="3"/>
        <v>nr</v>
      </c>
      <c r="E22" s="293">
        <f t="shared" si="4"/>
        <v>2</v>
      </c>
      <c r="F22" s="1822">
        <v>7.68</v>
      </c>
      <c r="G22" s="1822" t="s">
        <v>973</v>
      </c>
      <c r="I22" s="292" t="s">
        <v>537</v>
      </c>
      <c r="K22" s="326">
        <f t="shared" si="8"/>
        <v>0</v>
      </c>
      <c r="L22" s="338"/>
      <c r="U22" s="320"/>
      <c r="V22" s="325"/>
      <c r="W22" s="325">
        <f t="shared" si="5"/>
        <v>0</v>
      </c>
      <c r="X22" s="325">
        <f t="shared" si="6"/>
        <v>0</v>
      </c>
      <c r="Y22" s="325"/>
      <c r="Z22" s="325"/>
      <c r="AA22" s="320"/>
      <c r="AD22" s="329"/>
      <c r="AF22" s="320"/>
      <c r="AH22" s="288" t="str">
        <f t="shared" si="7"/>
        <v>Trust</v>
      </c>
      <c r="AI22" s="288" t="str">
        <f t="shared" si="7"/>
        <v>PR19SSC_F1</v>
      </c>
      <c r="AJ22" s="288" t="str">
        <f t="shared" si="7"/>
        <v>nr</v>
      </c>
      <c r="AK22" s="288">
        <f t="shared" si="7"/>
        <v>2</v>
      </c>
      <c r="AL22" s="1468" t="s">
        <v>538</v>
      </c>
      <c r="AM22" s="1457" t="s">
        <v>539</v>
      </c>
    </row>
    <row r="23" spans="2:39" s="16" customFormat="1" ht="28.35" customHeight="1">
      <c r="B23" s="288" t="str">
        <f t="shared" si="2"/>
        <v>Value for money</v>
      </c>
      <c r="C23" s="293" t="str">
        <f>IF($I$3="Select company","",IF(HLOOKUP('3A'!$R$1,B_NFIN_All,'PC lists'!$B86,0)="","",HLOOKUP('3A'!$R$1,B_NFIN_All,'PC lists'!$B86,0)))</f>
        <v>PR19SSC_F2</v>
      </c>
      <c r="D23" s="293" t="str">
        <f t="shared" si="3"/>
        <v>%</v>
      </c>
      <c r="E23" s="293">
        <f t="shared" si="4"/>
        <v>0</v>
      </c>
      <c r="F23" s="1822">
        <v>75</v>
      </c>
      <c r="G23" s="1822" t="s">
        <v>973</v>
      </c>
      <c r="I23" s="292" t="s">
        <v>540</v>
      </c>
      <c r="K23" s="326">
        <f t="shared" si="8"/>
        <v>0</v>
      </c>
      <c r="L23" s="338"/>
      <c r="U23" s="320"/>
      <c r="V23" s="325"/>
      <c r="W23" s="325">
        <f t="shared" si="5"/>
        <v>0</v>
      </c>
      <c r="X23" s="325">
        <f t="shared" si="6"/>
        <v>0</v>
      </c>
      <c r="Y23" s="325"/>
      <c r="Z23" s="325"/>
      <c r="AA23" s="320"/>
      <c r="AD23" s="329"/>
      <c r="AF23" s="320"/>
      <c r="AH23" s="288" t="str">
        <f t="shared" si="7"/>
        <v>Value for money</v>
      </c>
      <c r="AI23" s="288" t="str">
        <f t="shared" si="7"/>
        <v>PR19SSC_F2</v>
      </c>
      <c r="AJ23" s="288" t="str">
        <f t="shared" si="7"/>
        <v>%</v>
      </c>
      <c r="AK23" s="288">
        <f t="shared" si="7"/>
        <v>0</v>
      </c>
      <c r="AL23" s="1468" t="s">
        <v>541</v>
      </c>
      <c r="AM23" s="1457" t="s">
        <v>542</v>
      </c>
    </row>
    <row r="24" spans="2:39" s="16" customFormat="1" ht="28.35" customHeight="1">
      <c r="B24" s="288" t="str">
        <f t="shared" si="2"/>
        <v>WINEP Delivery</v>
      </c>
      <c r="C24" s="293" t="str">
        <f>IF($I$3="Select company","",IF(HLOOKUP('3A'!$R$1,B_NFIN_All,'PC lists'!$B87,0)="","",HLOOKUP('3A'!$R$1,B_NFIN_All,'PC lists'!$B87,0)))</f>
        <v>PR19SSC_NEP01</v>
      </c>
      <c r="D24" s="293" t="str">
        <f t="shared" si="3"/>
        <v>text</v>
      </c>
      <c r="E24" s="293">
        <f t="shared" si="4"/>
        <v>0</v>
      </c>
      <c r="F24" s="1822" t="s">
        <v>2064</v>
      </c>
      <c r="G24" s="1822" t="s">
        <v>961</v>
      </c>
      <c r="I24" s="292" t="s">
        <v>543</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PR19SSC_NEP01</v>
      </c>
      <c r="AJ24" s="288" t="str">
        <f t="shared" si="7"/>
        <v>text</v>
      </c>
      <c r="AK24" s="288">
        <f t="shared" si="7"/>
        <v>0</v>
      </c>
      <c r="AL24" s="1468" t="s">
        <v>544</v>
      </c>
      <c r="AM24" s="1457" t="s">
        <v>545</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22"/>
      <c r="G25" s="1822"/>
      <c r="I25" s="292" t="s">
        <v>546</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68" t="s">
        <v>547</v>
      </c>
      <c r="AM25" s="1457" t="s">
        <v>548</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22"/>
      <c r="G26" s="1822"/>
      <c r="I26" s="292" t="s">
        <v>549</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68" t="s">
        <v>550</v>
      </c>
      <c r="AM26" s="1457" t="s">
        <v>551</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22"/>
      <c r="G27" s="1822"/>
      <c r="I27" s="292" t="s">
        <v>552</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68" t="s">
        <v>553</v>
      </c>
      <c r="AM27" s="1457" t="s">
        <v>554</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22"/>
      <c r="G28" s="1822"/>
      <c r="I28" s="292" t="s">
        <v>555</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68" t="s">
        <v>556</v>
      </c>
      <c r="AM28" s="1457" t="s">
        <v>557</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22"/>
      <c r="G29" s="1822"/>
      <c r="I29" s="292" t="s">
        <v>558</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559</v>
      </c>
      <c r="AM29" s="1457" t="s">
        <v>560</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22"/>
      <c r="G30" s="1822"/>
      <c r="I30" s="292" t="s">
        <v>561</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562</v>
      </c>
      <c r="AM30" s="1457" t="s">
        <v>563</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22"/>
      <c r="G31" s="1822"/>
      <c r="I31" s="292" t="s">
        <v>564</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565</v>
      </c>
      <c r="AM31" s="1457" t="s">
        <v>566</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22"/>
      <c r="G32" s="1822"/>
      <c r="I32" s="292" t="s">
        <v>567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568</v>
      </c>
      <c r="AM32" s="1457" t="s">
        <v>569</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570</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571</v>
      </c>
      <c r="AM33" s="1457" t="s">
        <v>572</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573</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574</v>
      </c>
      <c r="AM34" s="1457" t="s">
        <v>575</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576</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577</v>
      </c>
      <c r="AM35" s="1457" t="s">
        <v>578</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579</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580</v>
      </c>
      <c r="AM36" s="1457" t="s">
        <v>581</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582</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583</v>
      </c>
      <c r="AM37" s="1457" t="s">
        <v>584</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585</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586</v>
      </c>
      <c r="AM38" s="1457" t="s">
        <v>587</v>
      </c>
    </row>
    <row r="39" spans="2:39" s="9" customFormat="1" ht="14.4">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4">
      <c r="B40" s="288" t="s">
        <v>588</v>
      </c>
      <c r="C40" s="348"/>
      <c r="D40" s="293" t="s">
        <v>293</v>
      </c>
      <c r="E40" s="293">
        <v>0</v>
      </c>
      <c r="F40" s="345"/>
      <c r="G40" s="1836">
        <f>IFERROR((COUNTIF($G$9:$G$38,"Yes")/(COUNTA($G$9:$G$38) - COUNTIF($G$9:$G$38,"-")))*100,"")</f>
        <v>69.230769230769226</v>
      </c>
      <c r="H40" s="1356"/>
      <c r="I40" s="292" t="s">
        <v>589</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590</v>
      </c>
    </row>
    <row r="41" spans="2:39" s="9" customFormat="1" ht="14.4">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4">
      <c r="B42" s="276" t="s">
        <v>299</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4">
      <c r="K43" s="1356"/>
      <c r="L43" s="1356"/>
    </row>
    <row r="44" spans="2:39" ht="14.4">
      <c r="B44" s="1818" t="s">
        <v>300</v>
      </c>
      <c r="K44" s="1356"/>
      <c r="L44" s="1356"/>
    </row>
    <row r="45" spans="2:39">
      <c r="B45" s="371"/>
    </row>
    <row r="46" spans="2:39">
      <c r="B46" s="1968" t="s">
        <v>301</v>
      </c>
    </row>
    <row r="47" spans="2:39"/>
    <row r="48" spans="2:39">
      <c r="B48" s="1819" t="s">
        <v>302</v>
      </c>
    </row>
    <row r="49" spans="2:2"/>
    <row r="50" spans="2:2">
      <c r="B50" s="1820" t="s">
        <v>303</v>
      </c>
    </row>
    <row r="51" spans="2:2"/>
    <row r="52" spans="2:2" ht="14.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7" priority="43">
      <formula>INDIRECT("E" &amp; ROW()) = 5</formula>
    </cfRule>
    <cfRule type="expression" dxfId="316" priority="44">
      <formula>INDIRECT("E" &amp; ROW()) = 4</formula>
    </cfRule>
    <cfRule type="expression" dxfId="315" priority="45">
      <formula>INDIRECT("E" &amp; ROW()) = 3</formula>
    </cfRule>
    <cfRule type="expression" dxfId="314" priority="46">
      <formula>INDIRECT("E" &amp; ROW()) = 2</formula>
    </cfRule>
    <cfRule type="expression" dxfId="313" priority="47">
      <formula>INDIRECT("E" &amp; ROW()) = 1</formula>
    </cfRule>
    <cfRule type="expression" dxfId="312" priority="48">
      <formula>INDIRECT("E" &amp; ROW()) = 0</formula>
    </cfRule>
  </conditionalFormatting>
  <conditionalFormatting sqref="K9">
    <cfRule type="cellIs" dxfId="311" priority="24" operator="equal">
      <formula>0</formula>
    </cfRule>
  </conditionalFormatting>
  <conditionalFormatting sqref="L10:L12">
    <cfRule type="cellIs" dxfId="310" priority="23" operator="equal">
      <formula>0</formula>
    </cfRule>
  </conditionalFormatting>
  <conditionalFormatting sqref="K10:K13">
    <cfRule type="cellIs" dxfId="309" priority="22" operator="equal">
      <formula>0</formula>
    </cfRule>
  </conditionalFormatting>
  <conditionalFormatting sqref="L9">
    <cfRule type="cellIs" dxfId="308" priority="20" operator="equal">
      <formula>0</formula>
    </cfRule>
  </conditionalFormatting>
  <conditionalFormatting sqref="K16">
    <cfRule type="cellIs" dxfId="307" priority="19" operator="equal">
      <formula>0</formula>
    </cfRule>
  </conditionalFormatting>
  <conditionalFormatting sqref="K17:K38">
    <cfRule type="cellIs" dxfId="306" priority="18" operator="equal">
      <formula>0</formula>
    </cfRule>
  </conditionalFormatting>
  <conditionalFormatting sqref="L13">
    <cfRule type="cellIs" dxfId="305" priority="17" operator="equal">
      <formula>0</formula>
    </cfRule>
  </conditionalFormatting>
  <conditionalFormatting sqref="L16:L38">
    <cfRule type="cellIs" dxfId="304" priority="9" operator="equal">
      <formula>0</formula>
    </cfRule>
  </conditionalFormatting>
  <conditionalFormatting sqref="E9:E13 E16:E38 E40">
    <cfRule type="cellIs" dxfId="303" priority="7" operator="equal">
      <formula>0</formula>
    </cfRule>
  </conditionalFormatting>
  <conditionalFormatting sqref="AL40 AL16:AL38">
    <cfRule type="expression" dxfId="302" priority="1">
      <formula>INDIRECT("E" &amp; ROW()) = 5</formula>
    </cfRule>
    <cfRule type="expression" dxfId="301" priority="2">
      <formula>INDIRECT("E" &amp; ROW()) = 4</formula>
    </cfRule>
    <cfRule type="expression" dxfId="300" priority="3">
      <formula>INDIRECT("E" &amp; ROW()) = 3</formula>
    </cfRule>
    <cfRule type="expression" dxfId="299" priority="4">
      <formula>INDIRECT("E" &amp; ROW()) = 2</formula>
    </cfRule>
    <cfRule type="expression" dxfId="298" priority="5">
      <formula>INDIRECT("E" &amp; ROW()) = 1</formula>
    </cfRule>
    <cfRule type="expression" dxfId="29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otes xmlns="00921376-d922-4dca-8599-7278d2306920" xsi:nil="true"/>
    <lcf76f155ced4ddcb4097134ff3c332f xmlns="00921376-d922-4dca-8599-7278d2306920">
      <Terms xmlns="http://schemas.microsoft.com/office/infopath/2007/PartnerControls"/>
    </lcf76f155ced4ddcb4097134ff3c332f>
    <TaxCatchAll xmlns="71c95305-930c-4d63-9794-2d64434305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12" ma:contentTypeDescription="Create a new document." ma:contentTypeScope="" ma:versionID="12c4954957b906b8fe940a4c25c01e21">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320cdb293c384169cb4a78fd02d7f3bf" ns2:_="" ns3:_="">
    <xsd:import namespace="00921376-d922-4dca-8599-7278d2306920"/>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2.xml><?xml version="1.0" encoding="utf-8"?>
<ds:datastoreItem xmlns:ds="http://schemas.openxmlformats.org/officeDocument/2006/customXml" ds:itemID="{7EFC24AB-37E4-4E69-B14A-9C886F718C80}">
  <ds:schemaRefs>
    <ds:schemaRef ds:uri="71c95305-930c-4d63-9794-2d644343057c"/>
    <ds:schemaRef ds:uri="http://purl.org/dc/dcmitype/"/>
    <ds:schemaRef ds:uri="http://www.w3.org/XML/1998/namespace"/>
    <ds:schemaRef ds:uri="http://purl.org/dc/elements/1.1/"/>
    <ds:schemaRef ds:uri="00921376-d922-4dca-8599-7278d2306920"/>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BCE96383-DE7E-471B-B198-FF7C3F4753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2023-09-15T12:28:59Z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0x010100CBBC44CE9F1376479124F99A4843FFDB</vt:lpwstr>
  </property>
  <property fmtid="{D5CDD505-2E9C-101B-9397-08002B2CF9AE}" pid="3" name="MediaServiceImageTags">
    <vt:lpwstr/>
  </property>
</Properties>
</file>